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Webmaster\2021\Agosto\PARA_PUBLICAR_EN_LA_PAGINA_WEB__-_EJECUCION_DE_INGRESOS_Y_GASTOS_A_JULIO_31_DE_2021\"/>
    </mc:Choice>
  </mc:AlternateContent>
  <bookViews>
    <workbookView xWindow="0" yWindow="0" windowWidth="25200" windowHeight="11490" tabRatio="839" activeTab="3"/>
  </bookViews>
  <sheets>
    <sheet name="JULIO  2021" sheetId="432" r:id="rId1"/>
    <sheet name="ADICIONES  2021" sheetId="5" r:id="rId2"/>
    <sheet name="SISTEMA GENERAL REGALIAS JULIO" sheetId="434" r:id="rId3"/>
    <sheet name="EJECUTIVO JULIO  2021" sheetId="433" r:id="rId4"/>
    <sheet name="RESERVA  JULIO DTO 83  " sheetId="435" r:id="rId5"/>
  </sheets>
  <externalReferences>
    <externalReference r:id="rId6"/>
    <externalReference r:id="rId7"/>
  </externalReferences>
  <definedNames>
    <definedName name="_xlnm._FilterDatabase" localSheetId="3" hidden="1">'EJECUTIVO JULIO  2021'!$A$8:$AC$1025</definedName>
    <definedName name="_xlnm._FilterDatabase" localSheetId="0" hidden="1">'JULIO  2021'!$A$9:$AC$1025</definedName>
    <definedName name="_xlnm._FilterDatabase" localSheetId="4" hidden="1">'RESERVA  JULIO DTO 83  '!$A$121:$AA$170</definedName>
    <definedName name="_xlnm._FilterDatabase" localSheetId="2" hidden="1">'SISTEMA GENERAL REGALIAS JULIO'!$A$8:$AB$51</definedName>
    <definedName name="AGRICULTURA" localSheetId="3">[1]!AGRICULTURA</definedName>
    <definedName name="AGRICULTURA" localSheetId="0">[1]!AGRICULTURA</definedName>
    <definedName name="AGRICULTURA" localSheetId="4">[1]!AGRICULTURA</definedName>
    <definedName name="AGRICULTURA" localSheetId="2">[1]!AGRICULTURA</definedName>
    <definedName name="AGRICULTURA">[1]!AGRICULTURA</definedName>
    <definedName name="Apreciado" localSheetId="3">#REF!</definedName>
    <definedName name="Apreciado" localSheetId="0">#REF!</definedName>
    <definedName name="Apreciado" localSheetId="4">#REF!</definedName>
    <definedName name="Apreciado" localSheetId="2">#REF!</definedName>
    <definedName name="Apreciado">#REF!</definedName>
    <definedName name="Ciud" localSheetId="3">#REF!</definedName>
    <definedName name="Ciud" localSheetId="0">#REF!</definedName>
    <definedName name="Ciud" localSheetId="4">#REF!</definedName>
    <definedName name="Ciud" localSheetId="2">#REF!</definedName>
    <definedName name="Ciud">#REF!</definedName>
    <definedName name="ConFin" localSheetId="3">#REF!</definedName>
    <definedName name="ConFin" localSheetId="0">#REF!</definedName>
    <definedName name="ConFin" localSheetId="4">#REF!</definedName>
    <definedName name="ConFin" localSheetId="2">#REF!</definedName>
    <definedName name="ConFin">#REF!</definedName>
    <definedName name="ConFin1" localSheetId="3">#REF!</definedName>
    <definedName name="ConFin1" localSheetId="0">#REF!</definedName>
    <definedName name="ConFin1" localSheetId="4">#REF!</definedName>
    <definedName name="ConFin1" localSheetId="2">#REF!</definedName>
    <definedName name="ConFin1">#REF!</definedName>
    <definedName name="CUANTIA" localSheetId="3">#REF!</definedName>
    <definedName name="CUANTIA" localSheetId="0">#REF!</definedName>
    <definedName name="CUANTIA" localSheetId="4">#REF!</definedName>
    <definedName name="CUANTIA" localSheetId="2">#REF!</definedName>
    <definedName name="CUANTIA">#REF!</definedName>
    <definedName name="CUANTIA1" localSheetId="3">#REF!</definedName>
    <definedName name="CUANTIA1" localSheetId="0">#REF!</definedName>
    <definedName name="CUANTIA1" localSheetId="4">#REF!</definedName>
    <definedName name="CUANTIA1" localSheetId="2">#REF!</definedName>
    <definedName name="CUANTIA1">#REF!</definedName>
    <definedName name="DESTINO" localSheetId="3">#REF!</definedName>
    <definedName name="DESTINO" localSheetId="0">#REF!</definedName>
    <definedName name="DESTINO" localSheetId="4">#REF!</definedName>
    <definedName name="DESTINO" localSheetId="2">#REF!</definedName>
    <definedName name="DESTINO">#REF!</definedName>
    <definedName name="DESTINO1" localSheetId="3">#REF!</definedName>
    <definedName name="DESTINO1" localSheetId="0">#REF!</definedName>
    <definedName name="DESTINO1" localSheetId="4">#REF!</definedName>
    <definedName name="DESTINO1" localSheetId="2">#REF!</definedName>
    <definedName name="DESTINO1">#REF!</definedName>
    <definedName name="Doctor" localSheetId="3">#REF!</definedName>
    <definedName name="Doctor" localSheetId="0">#REF!</definedName>
    <definedName name="Doctor" localSheetId="4">#REF!</definedName>
    <definedName name="Doctor" localSheetId="2">#REF!</definedName>
    <definedName name="Doctor">#REF!</definedName>
    <definedName name="Doctora" localSheetId="3">#REF!</definedName>
    <definedName name="Doctora" localSheetId="0">#REF!</definedName>
    <definedName name="Doctora" localSheetId="4">#REF!</definedName>
    <definedName name="Doctora" localSheetId="2">#REF!</definedName>
    <definedName name="Doctora">#REF!</definedName>
    <definedName name="FechaActa" localSheetId="3">#REF!</definedName>
    <definedName name="FechaActa" localSheetId="0">#REF!</definedName>
    <definedName name="FechaActa" localSheetId="4">#REF!</definedName>
    <definedName name="FechaActa" localSheetId="2">#REF!</definedName>
    <definedName name="FechaActa">#REF!</definedName>
    <definedName name="FELIX" localSheetId="3">[1]!FELIX</definedName>
    <definedName name="FELIX" localSheetId="0">[1]!FELIX</definedName>
    <definedName name="FELIX" localSheetId="4">[1]!FELIX</definedName>
    <definedName name="FELIX" localSheetId="2">[1]!FELIX</definedName>
    <definedName name="FELIX">[1]!FELIX</definedName>
    <definedName name="GARANTIA" localSheetId="3">#REF!</definedName>
    <definedName name="GARANTIA" localSheetId="0">#REF!</definedName>
    <definedName name="GARANTIA" localSheetId="4">#REF!</definedName>
    <definedName name="GARANTIA" localSheetId="2">#REF!</definedName>
    <definedName name="GARANTIA">#REF!</definedName>
    <definedName name="INGRES" localSheetId="3">[1]!INGRES</definedName>
    <definedName name="INGRES" localSheetId="0">[1]!INGRES</definedName>
    <definedName name="INGRES" localSheetId="4">[1]!INGRES</definedName>
    <definedName name="INGRES" localSheetId="2">[1]!INGRES</definedName>
    <definedName name="INGRES">[1]!INGRES</definedName>
    <definedName name="INICIALES" localSheetId="3">#REF!</definedName>
    <definedName name="INICIALES" localSheetId="0">#REF!</definedName>
    <definedName name="INICIALES" localSheetId="4">#REF!</definedName>
    <definedName name="INICIALES" localSheetId="2">#REF!</definedName>
    <definedName name="INICIALES">#REF!</definedName>
    <definedName name="JOSE" localSheetId="3">#REF!</definedName>
    <definedName name="JOSE" localSheetId="0">#REF!</definedName>
    <definedName name="JOSE" localSheetId="4">#REF!</definedName>
    <definedName name="JOSE" localSheetId="2">#REF!</definedName>
    <definedName name="JOSE">#REF!</definedName>
    <definedName name="MargFin" localSheetId="3">#REF!</definedName>
    <definedName name="MargFin" localSheetId="0">#REF!</definedName>
    <definedName name="MargFin" localSheetId="4">#REF!</definedName>
    <definedName name="MargFin" localSheetId="2">#REF!</definedName>
    <definedName name="MargFin">#REF!</definedName>
    <definedName name="MarGtias" localSheetId="3">#REF!</definedName>
    <definedName name="MarGtias" localSheetId="0">#REF!</definedName>
    <definedName name="MarGtias" localSheetId="4">#REF!</definedName>
    <definedName name="MarGtias" localSheetId="2">#REF!</definedName>
    <definedName name="MarGtias">#REF!</definedName>
    <definedName name="MaxResFut" localSheetId="3">#REF!</definedName>
    <definedName name="MaxResFut" localSheetId="0">#REF!</definedName>
    <definedName name="MaxResFut" localSheetId="4">#REF!</definedName>
    <definedName name="MaxResFut" localSheetId="2">#REF!</definedName>
    <definedName name="MaxResFut">#REF!</definedName>
    <definedName name="MENSAJE" localSheetId="3">[1]!MENSAJE</definedName>
    <definedName name="MENSAJE" localSheetId="0">[1]!MENSAJE</definedName>
    <definedName name="MENSAJE" localSheetId="4">[1]!MENSAJE</definedName>
    <definedName name="MENSAJE" localSheetId="2">[1]!MENSAJE</definedName>
    <definedName name="MENSAJE">[1]!MENSAJE</definedName>
    <definedName name="MENSAJE2" localSheetId="3">[1]!MENSAJE2</definedName>
    <definedName name="MENSAJE2" localSheetId="0">[1]!MENSAJE2</definedName>
    <definedName name="MENSAJE2" localSheetId="4">[1]!MENSAJE2</definedName>
    <definedName name="MENSAJE2" localSheetId="2">[1]!MENSAJE2</definedName>
    <definedName name="MENSAJE2">[1]!MENSAJE2</definedName>
    <definedName name="MENSAJE3" localSheetId="3">[1]!MENSAJE3</definedName>
    <definedName name="MENSAJE3" localSheetId="0">[1]!MENSAJE3</definedName>
    <definedName name="MENSAJE3" localSheetId="4">[1]!MENSAJE3</definedName>
    <definedName name="MENSAJE3" localSheetId="2">[1]!MENSAJE3</definedName>
    <definedName name="MENSAJE3">[1]!MENSAJE3</definedName>
    <definedName name="MODALIDAD" localSheetId="3">#REF!</definedName>
    <definedName name="MODALIDAD" localSheetId="0">#REF!</definedName>
    <definedName name="MODALIDAD" localSheetId="4">#REF!</definedName>
    <definedName name="MODALIDAD" localSheetId="2">#REF!</definedName>
    <definedName name="MODALIDAD">#REF!</definedName>
    <definedName name="MODALIDAD1" localSheetId="3">#REF!</definedName>
    <definedName name="MODALIDAD1" localSheetId="0">#REF!</definedName>
    <definedName name="MODALIDAD1" localSheetId="4">#REF!</definedName>
    <definedName name="MODALIDAD1" localSheetId="2">#REF!</definedName>
    <definedName name="MODALIDAD1">#REF!</definedName>
    <definedName name="NoActa" localSheetId="3">#REF!</definedName>
    <definedName name="NoActa" localSheetId="0">#REF!</definedName>
    <definedName name="NoActa" localSheetId="4">#REF!</definedName>
    <definedName name="NoActa" localSheetId="2">#REF!</definedName>
    <definedName name="NoActa">#REF!</definedName>
    <definedName name="NOMBRE">[2]DECIS!$F$3</definedName>
    <definedName name="Oficina" localSheetId="3">#REF!</definedName>
    <definedName name="Oficina" localSheetId="0">#REF!</definedName>
    <definedName name="Oficina" localSheetId="4">#REF!</definedName>
    <definedName name="Oficina" localSheetId="2">#REF!</definedName>
    <definedName name="Oficina">#REF!</definedName>
    <definedName name="OLE_LINK1" localSheetId="3">'EJECUTIVO JULIO  2021'!#REF!</definedName>
    <definedName name="OLE_LINK1" localSheetId="0">'JULIO  2021'!#REF!</definedName>
    <definedName name="OLE_LINK1" localSheetId="4">'RESERVA  JULIO DTO 83  '!#REF!</definedName>
    <definedName name="OLE_LINK1" localSheetId="2">'SISTEMA GENERAL REGALIAS JULIO'!#REF!</definedName>
    <definedName name="OrgDeAprobacion" localSheetId="3">#REF!</definedName>
    <definedName name="OrgDeAprobacion" localSheetId="0">#REF!</definedName>
    <definedName name="OrgDeAprobacion" localSheetId="4">#REF!</definedName>
    <definedName name="OrgDeAprobacion" localSheetId="2">#REF!</definedName>
    <definedName name="OrgDeAprobacion">#REF!</definedName>
    <definedName name="PAGO2" localSheetId="3">#REF!</definedName>
    <definedName name="PAGO2" localSheetId="0">#REF!</definedName>
    <definedName name="PAGO2" localSheetId="4">#REF!</definedName>
    <definedName name="PAGO2" localSheetId="2">#REF!</definedName>
    <definedName name="PAGO2">#REF!</definedName>
    <definedName name="pg_tmp_ejecucion_ingresos_mayores" localSheetId="3">#REF!</definedName>
    <definedName name="pg_tmp_ejecucion_ingresos_mayores" localSheetId="0">#REF!</definedName>
    <definedName name="pg_tmp_ejecucion_ingresos_mayores" localSheetId="4">#REF!</definedName>
    <definedName name="pg_tmp_ejecucion_ingresos_mayores" localSheetId="2">#REF!</definedName>
    <definedName name="pg_tmp_ejecucion_ingresos_mayores">#REF!</definedName>
    <definedName name="PROYECCIONES" localSheetId="3">#REF!</definedName>
    <definedName name="PROYECCIONES" localSheetId="0">#REF!</definedName>
    <definedName name="PROYECCIONES" localSheetId="4">#REF!</definedName>
    <definedName name="PROYECCIONES" localSheetId="2">#REF!</definedName>
    <definedName name="PROYECCIONES">#REF!</definedName>
    <definedName name="REFERENCIA" localSheetId="3">#REF!</definedName>
    <definedName name="REFERENCIA" localSheetId="0">#REF!</definedName>
    <definedName name="REFERENCIA" localSheetId="4">#REF!</definedName>
    <definedName name="REFERENCIA" localSheetId="2">#REF!</definedName>
    <definedName name="REFERENCIA">#REF!</definedName>
    <definedName name="Reg" localSheetId="3">#REF!</definedName>
    <definedName name="Reg" localSheetId="0">#REF!</definedName>
    <definedName name="Reg" localSheetId="4">#REF!</definedName>
    <definedName name="Reg" localSheetId="2">#REF!</definedName>
    <definedName name="Reg">#REF!</definedName>
    <definedName name="Regional" localSheetId="3">#REF!</definedName>
    <definedName name="Regional" localSheetId="0">#REF!</definedName>
    <definedName name="Regional" localSheetId="4">#REF!</definedName>
    <definedName name="Regional" localSheetId="2">#REF!</definedName>
    <definedName name="Regional">#REF!</definedName>
    <definedName name="RINFBAS" localSheetId="3">#REF!</definedName>
    <definedName name="RINFBAS" localSheetId="0">#REF!</definedName>
    <definedName name="RINFBAS" localSheetId="4">#REF!</definedName>
    <definedName name="RINFBAS" localSheetId="2">#REF!</definedName>
    <definedName name="RINFBAS">#REF!</definedName>
    <definedName name="SUPUESTO1" localSheetId="3">#REF!</definedName>
    <definedName name="SUPUESTO1" localSheetId="0">#REF!</definedName>
    <definedName name="SUPUESTO1" localSheetId="4">#REF!</definedName>
    <definedName name="SUPUESTO1" localSheetId="2">#REF!</definedName>
    <definedName name="SUPUESTO1">#REF!</definedName>
    <definedName name="SUPUESTO2" localSheetId="3">#REF!</definedName>
    <definedName name="SUPUESTO2" localSheetId="0">#REF!</definedName>
    <definedName name="SUPUESTO2" localSheetId="4">#REF!</definedName>
    <definedName name="SUPUESTO2" localSheetId="2">#REF!</definedName>
    <definedName name="SUPUESTO2">#REF!</definedName>
    <definedName name="SUPUESTOS" localSheetId="3">#REF!</definedName>
    <definedName name="SUPUESTOS" localSheetId="0">#REF!</definedName>
    <definedName name="SUPUESTOS" localSheetId="4">#REF!</definedName>
    <definedName name="SUPUESTOS" localSheetId="2">#REF!</definedName>
    <definedName name="SUPUESTOS">#REF!</definedName>
    <definedName name="_xlnm.Print_Titles" localSheetId="3">'EJECUTIVO JULIO  2021'!$C:$C,'EJECUTIVO JULIO  2021'!$1:$10</definedName>
    <definedName name="_xlnm.Print_Titles" localSheetId="0">'JULIO  2021'!$C:$C,'JULIO  2021'!$1:$10</definedName>
    <definedName name="_xlnm.Print_Titles" localSheetId="4">'RESERVA  JULIO DTO 83  '!$A:$A,'RESERVA  JULIO DTO 83  '!$1:$3</definedName>
    <definedName name="_xlnm.Print_Titles" localSheetId="2">'SISTEMA GENERAL REGALIAS JULIO'!$B:$B,'SISTEMA GENERAL REGALIAS JULIO'!$1:$10</definedName>
    <definedName name="VIGENCIA" localSheetId="3">#REF!</definedName>
    <definedName name="VIGENCIA" localSheetId="0">#REF!</definedName>
    <definedName name="VIGENCIA" localSheetId="4">#REF!</definedName>
    <definedName name="VIGENCIA" localSheetId="2">#REF!</definedName>
    <definedName name="VIGENCIA">#REF!</definedName>
    <definedName name="VIGENCIA1" localSheetId="3">#REF!</definedName>
    <definedName name="VIGENCIA1" localSheetId="0">#REF!</definedName>
    <definedName name="VIGENCIA1" localSheetId="4">#REF!</definedName>
    <definedName name="VIGENCIA1" localSheetId="2">#REF!</definedName>
    <definedName name="VIGENCIA1">#REF!</definedName>
  </definedNames>
  <calcPr calcId="162913"/>
</workbook>
</file>

<file path=xl/calcChain.xml><?xml version="1.0" encoding="utf-8"?>
<calcChain xmlns="http://schemas.openxmlformats.org/spreadsheetml/2006/main">
  <c r="K5" i="435" l="1"/>
  <c r="Z174" i="435"/>
  <c r="AA174" i="435" s="1"/>
  <c r="Y174" i="435"/>
  <c r="P174" i="435"/>
  <c r="I174" i="435"/>
  <c r="Z172" i="435"/>
  <c r="Y172" i="435"/>
  <c r="P172" i="435"/>
  <c r="V170" i="435"/>
  <c r="R170" i="435"/>
  <c r="Y169" i="435"/>
  <c r="P169" i="435"/>
  <c r="Z169" i="435" s="1"/>
  <c r="AA169" i="435" s="1"/>
  <c r="I169" i="435"/>
  <c r="Y168" i="435"/>
  <c r="P168" i="435"/>
  <c r="I168" i="435"/>
  <c r="Y167" i="435"/>
  <c r="Z167" i="435" s="1"/>
  <c r="AA167" i="435" s="1"/>
  <c r="P167" i="435"/>
  <c r="I167" i="435"/>
  <c r="Y166" i="435"/>
  <c r="Z166" i="435" s="1"/>
  <c r="P166" i="435"/>
  <c r="I166" i="435"/>
  <c r="Y165" i="435"/>
  <c r="P165" i="435"/>
  <c r="Z165" i="435" s="1"/>
  <c r="AA165" i="435" s="1"/>
  <c r="I165" i="435"/>
  <c r="Y164" i="435"/>
  <c r="P164" i="435"/>
  <c r="I164" i="435"/>
  <c r="Y163" i="435"/>
  <c r="P163" i="435"/>
  <c r="Y162" i="435"/>
  <c r="P162" i="435"/>
  <c r="Z162" i="435" s="1"/>
  <c r="I162" i="435"/>
  <c r="Y161" i="435"/>
  <c r="P161" i="435"/>
  <c r="I161" i="435"/>
  <c r="Y160" i="435"/>
  <c r="Z160" i="435" s="1"/>
  <c r="AA160" i="435" s="1"/>
  <c r="P160" i="435"/>
  <c r="I160" i="435"/>
  <c r="Y159" i="435"/>
  <c r="Z159" i="435" s="1"/>
  <c r="P159" i="435"/>
  <c r="I159" i="435"/>
  <c r="Y158" i="435"/>
  <c r="P158" i="435"/>
  <c r="Z158" i="435" s="1"/>
  <c r="AA158" i="435" s="1"/>
  <c r="I158" i="435"/>
  <c r="Y157" i="435"/>
  <c r="P157" i="435"/>
  <c r="I157" i="435"/>
  <c r="Y156" i="435"/>
  <c r="Z156" i="435" s="1"/>
  <c r="AA156" i="435" s="1"/>
  <c r="P156" i="435"/>
  <c r="I156" i="435"/>
  <c r="Y155" i="435"/>
  <c r="Z155" i="435" s="1"/>
  <c r="P155" i="435"/>
  <c r="I155" i="435"/>
  <c r="Y154" i="435"/>
  <c r="P154" i="435"/>
  <c r="Z154" i="435" s="1"/>
  <c r="AA154" i="435" s="1"/>
  <c r="I154" i="435"/>
  <c r="Y153" i="435"/>
  <c r="P153" i="435"/>
  <c r="I153" i="435"/>
  <c r="Y152" i="435"/>
  <c r="Z152" i="435" s="1"/>
  <c r="AA152" i="435" s="1"/>
  <c r="P152" i="435"/>
  <c r="I152" i="435"/>
  <c r="Y151" i="435"/>
  <c r="P151" i="435"/>
  <c r="Y150" i="435"/>
  <c r="P150" i="435"/>
  <c r="Y149" i="435"/>
  <c r="Z149" i="435" s="1"/>
  <c r="P149" i="435"/>
  <c r="I149" i="435"/>
  <c r="Y148" i="435"/>
  <c r="P148" i="435"/>
  <c r="Z148" i="435" s="1"/>
  <c r="AA148" i="435" s="1"/>
  <c r="I148" i="435"/>
  <c r="Y147" i="435"/>
  <c r="P147" i="435"/>
  <c r="I147" i="435"/>
  <c r="Y146" i="435"/>
  <c r="Z146" i="435" s="1"/>
  <c r="P146" i="435"/>
  <c r="I146" i="435"/>
  <c r="Y145" i="435"/>
  <c r="Z145" i="435" s="1"/>
  <c r="P145" i="435"/>
  <c r="I145" i="435"/>
  <c r="Y144" i="435"/>
  <c r="P144" i="435"/>
  <c r="Z144" i="435" s="1"/>
  <c r="AA144" i="435" s="1"/>
  <c r="I144" i="435"/>
  <c r="Y143" i="435"/>
  <c r="P143" i="435"/>
  <c r="I143" i="435"/>
  <c r="Y142" i="435"/>
  <c r="Z142" i="435" s="1"/>
  <c r="AA142" i="435" s="1"/>
  <c r="P142" i="435"/>
  <c r="I142" i="435"/>
  <c r="Y141" i="435"/>
  <c r="Z141" i="435" s="1"/>
  <c r="AA141" i="435" s="1"/>
  <c r="P141" i="435"/>
  <c r="I141" i="435"/>
  <c r="Y140" i="435"/>
  <c r="P140" i="435"/>
  <c r="I140" i="435"/>
  <c r="Y139" i="435"/>
  <c r="P139" i="435"/>
  <c r="Z139" i="435" s="1"/>
  <c r="AA139" i="435" s="1"/>
  <c r="I139" i="435"/>
  <c r="Z138" i="435"/>
  <c r="AA138" i="435" s="1"/>
  <c r="Y138" i="435"/>
  <c r="P138" i="435"/>
  <c r="I138" i="435"/>
  <c r="AA137" i="435"/>
  <c r="Y137" i="435"/>
  <c r="Z137" i="435" s="1"/>
  <c r="P137" i="435"/>
  <c r="I137" i="435"/>
  <c r="Y136" i="435"/>
  <c r="P136" i="435"/>
  <c r="I136" i="435"/>
  <c r="Y135" i="435"/>
  <c r="P135" i="435"/>
  <c r="I135" i="435"/>
  <c r="Z134" i="435"/>
  <c r="AA134" i="435" s="1"/>
  <c r="Y134" i="435"/>
  <c r="P134" i="435"/>
  <c r="I134" i="435"/>
  <c r="Y133" i="435"/>
  <c r="Z133" i="435" s="1"/>
  <c r="AA133" i="435" s="1"/>
  <c r="P133" i="435"/>
  <c r="I133" i="435"/>
  <c r="Y132" i="435"/>
  <c r="P132" i="435"/>
  <c r="I132" i="435"/>
  <c r="Y131" i="435"/>
  <c r="P131" i="435"/>
  <c r="I131" i="435"/>
  <c r="Y130" i="435"/>
  <c r="Z130" i="435" s="1"/>
  <c r="AA130" i="435" s="1"/>
  <c r="P130" i="435"/>
  <c r="I130" i="435"/>
  <c r="Y129" i="435"/>
  <c r="Z129" i="435" s="1"/>
  <c r="AA129" i="435" s="1"/>
  <c r="P129" i="435"/>
  <c r="I129" i="435"/>
  <c r="Y128" i="435"/>
  <c r="P128" i="435"/>
  <c r="Z128" i="435" s="1"/>
  <c r="AA128" i="435" s="1"/>
  <c r="I128" i="435"/>
  <c r="Y127" i="435"/>
  <c r="P127" i="435"/>
  <c r="Z126" i="435"/>
  <c r="Y126" i="435"/>
  <c r="P126" i="435"/>
  <c r="I126" i="435"/>
  <c r="Y125" i="435"/>
  <c r="P125" i="435"/>
  <c r="Z125" i="435" s="1"/>
  <c r="AA125" i="435" s="1"/>
  <c r="I125" i="435"/>
  <c r="P124" i="435"/>
  <c r="X123" i="435"/>
  <c r="W123" i="435"/>
  <c r="V123" i="435"/>
  <c r="V122" i="435" s="1"/>
  <c r="U123" i="435"/>
  <c r="U122" i="435" s="1"/>
  <c r="U170" i="435" s="1"/>
  <c r="T123" i="435"/>
  <c r="S123" i="435"/>
  <c r="R123" i="435"/>
  <c r="R122" i="435" s="1"/>
  <c r="Q123" i="435"/>
  <c r="Q122" i="435" s="1"/>
  <c r="Q170" i="435" s="1"/>
  <c r="O123" i="435"/>
  <c r="N123" i="435"/>
  <c r="N122" i="435" s="1"/>
  <c r="N170" i="435" s="1"/>
  <c r="M123" i="435"/>
  <c r="M122" i="435" s="1"/>
  <c r="M170" i="435" s="1"/>
  <c r="L123" i="435"/>
  <c r="K123" i="435"/>
  <c r="J123" i="435"/>
  <c r="H123" i="435"/>
  <c r="G123" i="435"/>
  <c r="F123" i="435"/>
  <c r="F122" i="435" s="1"/>
  <c r="F170" i="435" s="1"/>
  <c r="E123" i="435"/>
  <c r="E122" i="435" s="1"/>
  <c r="E170" i="435" s="1"/>
  <c r="D123" i="435"/>
  <c r="C123" i="435"/>
  <c r="B123" i="435"/>
  <c r="X122" i="435"/>
  <c r="X170" i="435" s="1"/>
  <c r="W122" i="435"/>
  <c r="W170" i="435" s="1"/>
  <c r="T122" i="435"/>
  <c r="T170" i="435" s="1"/>
  <c r="S122" i="435"/>
  <c r="S170" i="435" s="1"/>
  <c r="O122" i="435"/>
  <c r="O170" i="435" s="1"/>
  <c r="L122" i="435"/>
  <c r="L170" i="435" s="1"/>
  <c r="K122" i="435"/>
  <c r="K170" i="435" s="1"/>
  <c r="H122" i="435"/>
  <c r="H170" i="435" s="1"/>
  <c r="G122" i="435"/>
  <c r="G170" i="435" s="1"/>
  <c r="D122" i="435"/>
  <c r="D170" i="435" s="1"/>
  <c r="C122" i="435"/>
  <c r="C170" i="435" s="1"/>
  <c r="Y118" i="435"/>
  <c r="P118" i="435"/>
  <c r="I118" i="435"/>
  <c r="Y117" i="435"/>
  <c r="P117" i="435"/>
  <c r="Z117" i="435" s="1"/>
  <c r="AA117" i="435" s="1"/>
  <c r="I117" i="435"/>
  <c r="Z116" i="435"/>
  <c r="AA116" i="435" s="1"/>
  <c r="Y116" i="435"/>
  <c r="P116" i="435"/>
  <c r="I116" i="435"/>
  <c r="Y115" i="435"/>
  <c r="P115" i="435"/>
  <c r="Y114" i="435"/>
  <c r="P114" i="435"/>
  <c r="I114" i="435"/>
  <c r="Y113" i="435"/>
  <c r="Z113" i="435" s="1"/>
  <c r="AA113" i="435" s="1"/>
  <c r="P113" i="435"/>
  <c r="I113" i="435"/>
  <c r="Y112" i="435"/>
  <c r="Z112" i="435" s="1"/>
  <c r="AA112" i="435" s="1"/>
  <c r="P112" i="435"/>
  <c r="I112" i="435"/>
  <c r="Y111" i="435"/>
  <c r="P111" i="435"/>
  <c r="Z110" i="435"/>
  <c r="Y110" i="435"/>
  <c r="P110" i="435"/>
  <c r="I110" i="435"/>
  <c r="Y109" i="435"/>
  <c r="P109" i="435"/>
  <c r="I109" i="435"/>
  <c r="Y108" i="435"/>
  <c r="P108" i="435"/>
  <c r="Z108" i="435" s="1"/>
  <c r="I108" i="435"/>
  <c r="Y107" i="435"/>
  <c r="P107" i="435"/>
  <c r="I107" i="435"/>
  <c r="Y106" i="435"/>
  <c r="Z106" i="435" s="1"/>
  <c r="P106" i="435"/>
  <c r="I106" i="435"/>
  <c r="Y105" i="435"/>
  <c r="P105" i="435"/>
  <c r="I105" i="435"/>
  <c r="Y104" i="435"/>
  <c r="P104" i="435"/>
  <c r="I104" i="435"/>
  <c r="Y103" i="435"/>
  <c r="K103" i="435"/>
  <c r="P103" i="435" s="1"/>
  <c r="Z103" i="435" s="1"/>
  <c r="AA103" i="435" s="1"/>
  <c r="I103" i="435"/>
  <c r="Y102" i="435"/>
  <c r="P102" i="435"/>
  <c r="Z102" i="435" s="1"/>
  <c r="AA102" i="435" s="1"/>
  <c r="I102" i="435"/>
  <c r="Y101" i="435"/>
  <c r="P101" i="435"/>
  <c r="K101" i="435"/>
  <c r="I101" i="435"/>
  <c r="Z100" i="435"/>
  <c r="AA100" i="435" s="1"/>
  <c r="Y100" i="435"/>
  <c r="K100" i="435"/>
  <c r="P100" i="435" s="1"/>
  <c r="I100" i="435"/>
  <c r="Y99" i="435"/>
  <c r="P99" i="435"/>
  <c r="K99" i="435"/>
  <c r="I99" i="435"/>
  <c r="Z98" i="435"/>
  <c r="AA98" i="435" s="1"/>
  <c r="Y98" i="435"/>
  <c r="P98" i="435"/>
  <c r="I98" i="435"/>
  <c r="Y97" i="435"/>
  <c r="P97" i="435"/>
  <c r="Y96" i="435"/>
  <c r="P96" i="435"/>
  <c r="I96" i="435"/>
  <c r="Y95" i="435"/>
  <c r="P95" i="435"/>
  <c r="Y94" i="435"/>
  <c r="P94" i="435"/>
  <c r="Z94" i="435" s="1"/>
  <c r="AA94" i="435" s="1"/>
  <c r="I94" i="435"/>
  <c r="Y93" i="435"/>
  <c r="P93" i="435"/>
  <c r="Y92" i="435"/>
  <c r="P92" i="435"/>
  <c r="Z92" i="435" s="1"/>
  <c r="AA92" i="435" s="1"/>
  <c r="I92" i="435"/>
  <c r="Y91" i="435"/>
  <c r="P91" i="435"/>
  <c r="Z90" i="435"/>
  <c r="AA90" i="435" s="1"/>
  <c r="Y90" i="435"/>
  <c r="P90" i="435"/>
  <c r="I90" i="435"/>
  <c r="Y89" i="435"/>
  <c r="P89" i="435"/>
  <c r="I89" i="435"/>
  <c r="Y88" i="435"/>
  <c r="P88" i="435"/>
  <c r="Z88" i="435" s="1"/>
  <c r="AA88" i="435" s="1"/>
  <c r="I88" i="435"/>
  <c r="Y87" i="435"/>
  <c r="P87" i="435"/>
  <c r="I87" i="435"/>
  <c r="Y86" i="435"/>
  <c r="P86" i="435"/>
  <c r="Y85" i="435"/>
  <c r="P85" i="435"/>
  <c r="Z85" i="435" s="1"/>
  <c r="AA85" i="435" s="1"/>
  <c r="I85" i="435"/>
  <c r="Y84" i="435"/>
  <c r="P84" i="435"/>
  <c r="AA83" i="435"/>
  <c r="Y83" i="435"/>
  <c r="P83" i="435"/>
  <c r="Z83" i="435" s="1"/>
  <c r="I83" i="435"/>
  <c r="Y82" i="435"/>
  <c r="P82" i="435"/>
  <c r="Y81" i="435"/>
  <c r="Z81" i="435" s="1"/>
  <c r="P81" i="435"/>
  <c r="I81" i="435"/>
  <c r="Y80" i="435"/>
  <c r="P80" i="435"/>
  <c r="Y79" i="435"/>
  <c r="P79" i="435"/>
  <c r="I79" i="435"/>
  <c r="Y78" i="435"/>
  <c r="P78" i="435"/>
  <c r="Y77" i="435"/>
  <c r="P77" i="435"/>
  <c r="Z77" i="435" s="1"/>
  <c r="I77" i="435"/>
  <c r="Y76" i="435"/>
  <c r="P76" i="435"/>
  <c r="Y75" i="435"/>
  <c r="P75" i="435"/>
  <c r="I75" i="435"/>
  <c r="Y74" i="435"/>
  <c r="P74" i="435"/>
  <c r="Y73" i="435"/>
  <c r="Z73" i="435" s="1"/>
  <c r="AA73" i="435" s="1"/>
  <c r="P73" i="435"/>
  <c r="I73" i="435"/>
  <c r="Y72" i="435"/>
  <c r="P72" i="435"/>
  <c r="I72" i="435"/>
  <c r="Y71" i="435"/>
  <c r="P71" i="435"/>
  <c r="Z71" i="435" s="1"/>
  <c r="AA71" i="435" s="1"/>
  <c r="I71" i="435"/>
  <c r="Y70" i="435"/>
  <c r="P70" i="435"/>
  <c r="I70" i="435"/>
  <c r="Y69" i="435"/>
  <c r="Z69" i="435" s="1"/>
  <c r="AA69" i="435" s="1"/>
  <c r="P69" i="435"/>
  <c r="I69" i="435"/>
  <c r="Y68" i="435"/>
  <c r="P68" i="435"/>
  <c r="Y67" i="435"/>
  <c r="P67" i="435"/>
  <c r="Z67" i="435" s="1"/>
  <c r="I67" i="435"/>
  <c r="Y66" i="435"/>
  <c r="P66" i="435"/>
  <c r="Y65" i="435"/>
  <c r="P65" i="435"/>
  <c r="I65" i="435"/>
  <c r="Y64" i="435"/>
  <c r="P64" i="435"/>
  <c r="Y63" i="435"/>
  <c r="P63" i="435"/>
  <c r="Z63" i="435" s="1"/>
  <c r="AA63" i="435" s="1"/>
  <c r="I63" i="435"/>
  <c r="Y62" i="435"/>
  <c r="P62" i="435"/>
  <c r="I62" i="435"/>
  <c r="Y61" i="435"/>
  <c r="P61" i="435"/>
  <c r="I61" i="435"/>
  <c r="Z60" i="435"/>
  <c r="AA60" i="435" s="1"/>
  <c r="Y60" i="435"/>
  <c r="P60" i="435"/>
  <c r="I60" i="435"/>
  <c r="Y59" i="435"/>
  <c r="P59" i="435"/>
  <c r="Z59" i="435" s="1"/>
  <c r="AA59" i="435" s="1"/>
  <c r="I59" i="435"/>
  <c r="Y58" i="435"/>
  <c r="P58" i="435"/>
  <c r="I58" i="435"/>
  <c r="Y57" i="435"/>
  <c r="P57" i="435"/>
  <c r="Z57" i="435" s="1"/>
  <c r="AA57" i="435" s="1"/>
  <c r="I57" i="435"/>
  <c r="Y56" i="435"/>
  <c r="P56" i="435"/>
  <c r="Y55" i="435"/>
  <c r="P55" i="435"/>
  <c r="I55" i="435"/>
  <c r="Y54" i="435"/>
  <c r="P54" i="435"/>
  <c r="Y53" i="435"/>
  <c r="P53" i="435"/>
  <c r="I53" i="435"/>
  <c r="Y52" i="435"/>
  <c r="P52" i="435"/>
  <c r="Z52" i="435" s="1"/>
  <c r="AA52" i="435" s="1"/>
  <c r="I52" i="435"/>
  <c r="Y51" i="435"/>
  <c r="P51" i="435"/>
  <c r="I51" i="435"/>
  <c r="Y50" i="435"/>
  <c r="Z50" i="435" s="1"/>
  <c r="AA50" i="435" s="1"/>
  <c r="P50" i="435"/>
  <c r="I50" i="435"/>
  <c r="Y49" i="435"/>
  <c r="P49" i="435"/>
  <c r="Y48" i="435"/>
  <c r="P48" i="435"/>
  <c r="I48" i="435"/>
  <c r="Y47" i="435"/>
  <c r="P47" i="435"/>
  <c r="Y46" i="435"/>
  <c r="P46" i="435"/>
  <c r="I46" i="435"/>
  <c r="Y45" i="435"/>
  <c r="P45" i="435"/>
  <c r="Y44" i="435"/>
  <c r="P44" i="435"/>
  <c r="Z44" i="435" s="1"/>
  <c r="AA44" i="435" s="1"/>
  <c r="I44" i="435"/>
  <c r="Y43" i="435"/>
  <c r="P43" i="435"/>
  <c r="Z42" i="435"/>
  <c r="AA42" i="435" s="1"/>
  <c r="Y42" i="435"/>
  <c r="P42" i="435"/>
  <c r="I42" i="435"/>
  <c r="Y41" i="435"/>
  <c r="P41" i="435"/>
  <c r="Y40" i="435"/>
  <c r="P40" i="435"/>
  <c r="I40" i="435"/>
  <c r="Y39" i="435"/>
  <c r="Z39" i="435" s="1"/>
  <c r="AA39" i="435" s="1"/>
  <c r="P39" i="435"/>
  <c r="I39" i="435"/>
  <c r="Y38" i="435"/>
  <c r="P38" i="435"/>
  <c r="Z38" i="435" s="1"/>
  <c r="AA38" i="435" s="1"/>
  <c r="I38" i="435"/>
  <c r="Y37" i="435"/>
  <c r="P37" i="435"/>
  <c r="I37" i="435"/>
  <c r="Y36" i="435"/>
  <c r="P36" i="435"/>
  <c r="I36" i="435"/>
  <c r="Z35" i="435"/>
  <c r="AA35" i="435" s="1"/>
  <c r="Y35" i="435"/>
  <c r="P35" i="435"/>
  <c r="I35" i="435"/>
  <c r="Y34" i="435"/>
  <c r="P34" i="435"/>
  <c r="Y33" i="435"/>
  <c r="P33" i="435"/>
  <c r="I33" i="435"/>
  <c r="Y32" i="435"/>
  <c r="P32" i="435"/>
  <c r="Y31" i="435"/>
  <c r="P31" i="435"/>
  <c r="Z31" i="435" s="1"/>
  <c r="AA31" i="435" s="1"/>
  <c r="I31" i="435"/>
  <c r="Y30" i="435"/>
  <c r="P30" i="435"/>
  <c r="AA29" i="435"/>
  <c r="Y29" i="435"/>
  <c r="P29" i="435"/>
  <c r="Z29" i="435" s="1"/>
  <c r="I29" i="435"/>
  <c r="Y28" i="435"/>
  <c r="P28" i="435"/>
  <c r="I28" i="435"/>
  <c r="Y27" i="435"/>
  <c r="Z27" i="435" s="1"/>
  <c r="AA27" i="435" s="1"/>
  <c r="P27" i="435"/>
  <c r="I27" i="435"/>
  <c r="Y26" i="435"/>
  <c r="Z26" i="435" s="1"/>
  <c r="P26" i="435"/>
  <c r="I26" i="435"/>
  <c r="Y25" i="435"/>
  <c r="Z25" i="435" s="1"/>
  <c r="AA25" i="435" s="1"/>
  <c r="P25" i="435"/>
  <c r="I25" i="435"/>
  <c r="Y24" i="435"/>
  <c r="P24" i="435"/>
  <c r="Z24" i="435" s="1"/>
  <c r="AA24" i="435" s="1"/>
  <c r="I24" i="435"/>
  <c r="Y23" i="435"/>
  <c r="P23" i="435"/>
  <c r="I23" i="435"/>
  <c r="Y22" i="435"/>
  <c r="P22" i="435"/>
  <c r="Z22" i="435" s="1"/>
  <c r="I22" i="435"/>
  <c r="Y21" i="435"/>
  <c r="Z21" i="435" s="1"/>
  <c r="AA21" i="435" s="1"/>
  <c r="P21" i="435"/>
  <c r="I21" i="435"/>
  <c r="Y20" i="435"/>
  <c r="P20" i="435"/>
  <c r="Y19" i="435"/>
  <c r="P19" i="435"/>
  <c r="Z19" i="435" s="1"/>
  <c r="AA19" i="435" s="1"/>
  <c r="I19" i="435"/>
  <c r="Y18" i="435"/>
  <c r="Z18" i="435" s="1"/>
  <c r="AA18" i="435" s="1"/>
  <c r="P18" i="435"/>
  <c r="I18" i="435"/>
  <c r="Y17" i="435"/>
  <c r="P17" i="435"/>
  <c r="Y16" i="435"/>
  <c r="P16" i="435"/>
  <c r="Y15" i="435"/>
  <c r="Z15" i="435" s="1"/>
  <c r="P15" i="435"/>
  <c r="I15" i="435"/>
  <c r="Y14" i="435"/>
  <c r="P14" i="435"/>
  <c r="Z14" i="435" s="1"/>
  <c r="I14" i="435"/>
  <c r="Y13" i="435"/>
  <c r="P13" i="435"/>
  <c r="I13" i="435"/>
  <c r="Y12" i="435"/>
  <c r="Z12" i="435" s="1"/>
  <c r="AA12" i="435" s="1"/>
  <c r="P12" i="435"/>
  <c r="I12" i="435"/>
  <c r="Z11" i="435"/>
  <c r="AA11" i="435" s="1"/>
  <c r="Y11" i="435"/>
  <c r="P11" i="435"/>
  <c r="I11" i="435"/>
  <c r="Y10" i="435"/>
  <c r="P10" i="435"/>
  <c r="I10" i="435"/>
  <c r="Y9" i="435"/>
  <c r="P9" i="435"/>
  <c r="Z9" i="435" s="1"/>
  <c r="AA9" i="435" s="1"/>
  <c r="I9" i="435"/>
  <c r="Y8" i="435"/>
  <c r="Z8" i="435" s="1"/>
  <c r="AA8" i="435" s="1"/>
  <c r="P8" i="435"/>
  <c r="I8" i="435"/>
  <c r="Y7" i="435"/>
  <c r="P7" i="435"/>
  <c r="X6" i="435"/>
  <c r="X5" i="435" s="1"/>
  <c r="X119" i="435" s="1"/>
  <c r="X176" i="435" s="1"/>
  <c r="W6" i="435"/>
  <c r="V6" i="435"/>
  <c r="U6" i="435"/>
  <c r="U5" i="435" s="1"/>
  <c r="U119" i="435" s="1"/>
  <c r="U176" i="435" s="1"/>
  <c r="T6" i="435"/>
  <c r="T5" i="435" s="1"/>
  <c r="T119" i="435" s="1"/>
  <c r="T176" i="435" s="1"/>
  <c r="S6" i="435"/>
  <c r="R6" i="435"/>
  <c r="Q6" i="435"/>
  <c r="Q5" i="435" s="1"/>
  <c r="O6" i="435"/>
  <c r="N6" i="435"/>
  <c r="M6" i="435"/>
  <c r="M5" i="435" s="1"/>
  <c r="M119" i="435" s="1"/>
  <c r="M176" i="435" s="1"/>
  <c r="L6" i="435"/>
  <c r="P6" i="435" s="1"/>
  <c r="K6" i="435"/>
  <c r="J6" i="435"/>
  <c r="H6" i="435"/>
  <c r="H5" i="435" s="1"/>
  <c r="H119" i="435" s="1"/>
  <c r="H176" i="435" s="1"/>
  <c r="G6" i="435"/>
  <c r="F6" i="435"/>
  <c r="F5" i="435" s="1"/>
  <c r="F119" i="435" s="1"/>
  <c r="E6" i="435"/>
  <c r="E5" i="435" s="1"/>
  <c r="E119" i="435" s="1"/>
  <c r="E176" i="435" s="1"/>
  <c r="D6" i="435"/>
  <c r="D5" i="435" s="1"/>
  <c r="D119" i="435" s="1"/>
  <c r="D176" i="435" s="1"/>
  <c r="C6" i="435"/>
  <c r="B6" i="435"/>
  <c r="W5" i="435"/>
  <c r="W119" i="435" s="1"/>
  <c r="W176" i="435" s="1"/>
  <c r="V5" i="435"/>
  <c r="V119" i="435" s="1"/>
  <c r="V176" i="435" s="1"/>
  <c r="S5" i="435"/>
  <c r="S119" i="435" s="1"/>
  <c r="S176" i="435" s="1"/>
  <c r="R5" i="435"/>
  <c r="R119" i="435" s="1"/>
  <c r="R176" i="435" s="1"/>
  <c r="O5" i="435"/>
  <c r="O119" i="435" s="1"/>
  <c r="O176" i="435" s="1"/>
  <c r="N5" i="435"/>
  <c r="N119" i="435" s="1"/>
  <c r="K119" i="435"/>
  <c r="K176" i="435" s="1"/>
  <c r="J5" i="435"/>
  <c r="G5" i="435"/>
  <c r="G119" i="435" s="1"/>
  <c r="G176" i="435" s="1"/>
  <c r="C5" i="435"/>
  <c r="C119" i="435" s="1"/>
  <c r="C176" i="435" s="1"/>
  <c r="B5" i="435"/>
  <c r="AB44" i="434"/>
  <c r="Z44" i="434"/>
  <c r="AA44" i="434" s="1"/>
  <c r="Q44" i="434"/>
  <c r="J44" i="434"/>
  <c r="AA43" i="434"/>
  <c r="AB43" i="434" s="1"/>
  <c r="Z43" i="434"/>
  <c r="Q43" i="434"/>
  <c r="J43" i="434"/>
  <c r="Y42" i="434"/>
  <c r="X42" i="434"/>
  <c r="W42" i="434"/>
  <c r="V42" i="434"/>
  <c r="U42" i="434"/>
  <c r="T42" i="434"/>
  <c r="S42" i="434"/>
  <c r="R42" i="434"/>
  <c r="Z42" i="434" s="1"/>
  <c r="P42" i="434"/>
  <c r="O42" i="434"/>
  <c r="N42" i="434"/>
  <c r="M42" i="434"/>
  <c r="Q42" i="434" s="1"/>
  <c r="AA42" i="434" s="1"/>
  <c r="AB42" i="434" s="1"/>
  <c r="L42" i="434"/>
  <c r="K42" i="434"/>
  <c r="I42" i="434"/>
  <c r="I34" i="434" s="1"/>
  <c r="I33" i="434" s="1"/>
  <c r="I32" i="434" s="1"/>
  <c r="I31" i="434" s="1"/>
  <c r="I30" i="434" s="1"/>
  <c r="I29" i="434" s="1"/>
  <c r="H42" i="434"/>
  <c r="G42" i="434"/>
  <c r="F42" i="434"/>
  <c r="E42" i="434"/>
  <c r="J42" i="434" s="1"/>
  <c r="D42" i="434"/>
  <c r="C42" i="434"/>
  <c r="AA41" i="434"/>
  <c r="AB41" i="434" s="1"/>
  <c r="Z41" i="434"/>
  <c r="Q41" i="434"/>
  <c r="J41" i="434"/>
  <c r="Y40" i="434"/>
  <c r="X40" i="434"/>
  <c r="W40" i="434"/>
  <c r="V40" i="434"/>
  <c r="U40" i="434"/>
  <c r="T40" i="434"/>
  <c r="S40" i="434"/>
  <c r="R40" i="434"/>
  <c r="P40" i="434"/>
  <c r="O40" i="434"/>
  <c r="N40" i="434"/>
  <c r="M40" i="434"/>
  <c r="M34" i="434" s="1"/>
  <c r="M33" i="434" s="1"/>
  <c r="L40" i="434"/>
  <c r="Q40" i="434" s="1"/>
  <c r="K40" i="434"/>
  <c r="I40" i="434"/>
  <c r="H40" i="434"/>
  <c r="G40" i="434"/>
  <c r="F40" i="434"/>
  <c r="E40" i="434"/>
  <c r="D40" i="434"/>
  <c r="C40" i="434"/>
  <c r="J40" i="434" s="1"/>
  <c r="Z39" i="434"/>
  <c r="Q39" i="434"/>
  <c r="AA39" i="434" s="1"/>
  <c r="AB39" i="434" s="1"/>
  <c r="J39" i="434"/>
  <c r="Y38" i="434"/>
  <c r="X38" i="434"/>
  <c r="X34" i="434" s="1"/>
  <c r="X33" i="434" s="1"/>
  <c r="X32" i="434" s="1"/>
  <c r="X31" i="434" s="1"/>
  <c r="X30" i="434" s="1"/>
  <c r="X29" i="434" s="1"/>
  <c r="W38" i="434"/>
  <c r="V38" i="434"/>
  <c r="U38" i="434"/>
  <c r="T38" i="434"/>
  <c r="T34" i="434" s="1"/>
  <c r="S38" i="434"/>
  <c r="R38" i="434"/>
  <c r="Z38" i="434" s="1"/>
  <c r="P38" i="434"/>
  <c r="O38" i="434"/>
  <c r="N38" i="434"/>
  <c r="M38" i="434"/>
  <c r="L38" i="434"/>
  <c r="K38" i="434"/>
  <c r="Q38" i="434" s="1"/>
  <c r="I38" i="434"/>
  <c r="H38" i="434"/>
  <c r="G38" i="434"/>
  <c r="F38" i="434"/>
  <c r="E38" i="434"/>
  <c r="D38" i="434"/>
  <c r="C38" i="434"/>
  <c r="J38" i="434" s="1"/>
  <c r="Z37" i="434"/>
  <c r="Q37" i="434"/>
  <c r="J37" i="434"/>
  <c r="Z36" i="434"/>
  <c r="Q36" i="434"/>
  <c r="AA36" i="434" s="1"/>
  <c r="AB36" i="434" s="1"/>
  <c r="J36" i="434"/>
  <c r="Y35" i="434"/>
  <c r="X35" i="434"/>
  <c r="W35" i="434"/>
  <c r="W34" i="434" s="1"/>
  <c r="W33" i="434" s="1"/>
  <c r="W32" i="434" s="1"/>
  <c r="W31" i="434" s="1"/>
  <c r="W30" i="434" s="1"/>
  <c r="W29" i="434" s="1"/>
  <c r="V35" i="434"/>
  <c r="V34" i="434" s="1"/>
  <c r="V33" i="434" s="1"/>
  <c r="V32" i="434" s="1"/>
  <c r="V31" i="434" s="1"/>
  <c r="V30" i="434" s="1"/>
  <c r="V29" i="434" s="1"/>
  <c r="U35" i="434"/>
  <c r="T35" i="434"/>
  <c r="S35" i="434"/>
  <c r="S34" i="434" s="1"/>
  <c r="R35" i="434"/>
  <c r="R34" i="434" s="1"/>
  <c r="R33" i="434" s="1"/>
  <c r="R32" i="434" s="1"/>
  <c r="P35" i="434"/>
  <c r="P34" i="434" s="1"/>
  <c r="P33" i="434" s="1"/>
  <c r="P32" i="434" s="1"/>
  <c r="P31" i="434" s="1"/>
  <c r="P30" i="434" s="1"/>
  <c r="P29" i="434" s="1"/>
  <c r="O35" i="434"/>
  <c r="N35" i="434"/>
  <c r="M35" i="434"/>
  <c r="L35" i="434"/>
  <c r="L34" i="434" s="1"/>
  <c r="L33" i="434" s="1"/>
  <c r="L32" i="434" s="1"/>
  <c r="L31" i="434" s="1"/>
  <c r="L30" i="434" s="1"/>
  <c r="L29" i="434" s="1"/>
  <c r="K35" i="434"/>
  <c r="I35" i="434"/>
  <c r="H35" i="434"/>
  <c r="H34" i="434" s="1"/>
  <c r="G35" i="434"/>
  <c r="F35" i="434"/>
  <c r="E35" i="434"/>
  <c r="D35" i="434"/>
  <c r="J35" i="434" s="1"/>
  <c r="C35" i="434"/>
  <c r="Y34" i="434"/>
  <c r="Y33" i="434" s="1"/>
  <c r="Y32" i="434" s="1"/>
  <c r="Y31" i="434" s="1"/>
  <c r="Y30" i="434" s="1"/>
  <c r="Y29" i="434" s="1"/>
  <c r="U34" i="434"/>
  <c r="U33" i="434" s="1"/>
  <c r="N34" i="434"/>
  <c r="N33" i="434" s="1"/>
  <c r="N32" i="434" s="1"/>
  <c r="N31" i="434" s="1"/>
  <c r="N30" i="434" s="1"/>
  <c r="N29" i="434" s="1"/>
  <c r="F34" i="434"/>
  <c r="F33" i="434" s="1"/>
  <c r="F32" i="434" s="1"/>
  <c r="F31" i="434" s="1"/>
  <c r="F30" i="434" s="1"/>
  <c r="F29" i="434" s="1"/>
  <c r="E34" i="434"/>
  <c r="E33" i="434" s="1"/>
  <c r="D34" i="434"/>
  <c r="D33" i="434" s="1"/>
  <c r="D32" i="434" s="1"/>
  <c r="D31" i="434" s="1"/>
  <c r="D30" i="434" s="1"/>
  <c r="D29" i="434" s="1"/>
  <c r="S33" i="434"/>
  <c r="S32" i="434" s="1"/>
  <c r="H33" i="434"/>
  <c r="H32" i="434" s="1"/>
  <c r="H31" i="434" s="1"/>
  <c r="H30" i="434" s="1"/>
  <c r="H29" i="434" s="1"/>
  <c r="U32" i="434"/>
  <c r="U31" i="434" s="1"/>
  <c r="U30" i="434" s="1"/>
  <c r="U29" i="434" s="1"/>
  <c r="M32" i="434"/>
  <c r="M31" i="434" s="1"/>
  <c r="M30" i="434" s="1"/>
  <c r="M29" i="434" s="1"/>
  <c r="E32" i="434"/>
  <c r="E31" i="434" s="1"/>
  <c r="E30" i="434" s="1"/>
  <c r="E29" i="434" s="1"/>
  <c r="S31" i="434"/>
  <c r="S30" i="434" s="1"/>
  <c r="S29" i="434"/>
  <c r="Z28" i="434"/>
  <c r="Q28" i="434"/>
  <c r="J28" i="434"/>
  <c r="Y27" i="434"/>
  <c r="X27" i="434"/>
  <c r="W27" i="434"/>
  <c r="V27" i="434"/>
  <c r="U27" i="434"/>
  <c r="T27" i="434"/>
  <c r="S27" i="434"/>
  <c r="R27" i="434"/>
  <c r="Z27" i="434" s="1"/>
  <c r="P27" i="434"/>
  <c r="O27" i="434"/>
  <c r="N27" i="434"/>
  <c r="M27" i="434"/>
  <c r="L27" i="434"/>
  <c r="K27" i="434"/>
  <c r="I27" i="434"/>
  <c r="H27" i="434"/>
  <c r="G27" i="434"/>
  <c r="F27" i="434"/>
  <c r="J27" i="434" s="1"/>
  <c r="E27" i="434"/>
  <c r="D27" i="434"/>
  <c r="C27" i="434"/>
  <c r="Z26" i="434"/>
  <c r="Q26" i="434"/>
  <c r="AA26" i="434" s="1"/>
  <c r="AB26" i="434" s="1"/>
  <c r="J26" i="434"/>
  <c r="Y25" i="434"/>
  <c r="X25" i="434"/>
  <c r="W25" i="434"/>
  <c r="V25" i="434"/>
  <c r="V20" i="434" s="1"/>
  <c r="U25" i="434"/>
  <c r="U20" i="434" s="1"/>
  <c r="T25" i="434"/>
  <c r="T20" i="434" s="1"/>
  <c r="S25" i="434"/>
  <c r="R25" i="434"/>
  <c r="Z25" i="434" s="1"/>
  <c r="P25" i="434"/>
  <c r="O25" i="434"/>
  <c r="N25" i="434"/>
  <c r="M25" i="434"/>
  <c r="L25" i="434"/>
  <c r="Q25" i="434" s="1"/>
  <c r="AA25" i="434" s="1"/>
  <c r="AB25" i="434" s="1"/>
  <c r="K25" i="434"/>
  <c r="I25" i="434"/>
  <c r="H25" i="434"/>
  <c r="G25" i="434"/>
  <c r="F25" i="434"/>
  <c r="E25" i="434"/>
  <c r="D25" i="434"/>
  <c r="J25" i="434" s="1"/>
  <c r="C25" i="434"/>
  <c r="Z24" i="434"/>
  <c r="AA24" i="434" s="1"/>
  <c r="AB24" i="434" s="1"/>
  <c r="Q24" i="434"/>
  <c r="J24" i="434"/>
  <c r="Y23" i="434"/>
  <c r="X23" i="434"/>
  <c r="W23" i="434"/>
  <c r="V23" i="434"/>
  <c r="U23" i="434"/>
  <c r="T23" i="434"/>
  <c r="S23" i="434"/>
  <c r="R23" i="434"/>
  <c r="Z23" i="434" s="1"/>
  <c r="AA23" i="434" s="1"/>
  <c r="P23" i="434"/>
  <c r="O23" i="434"/>
  <c r="N23" i="434"/>
  <c r="M23" i="434"/>
  <c r="L23" i="434"/>
  <c r="K23" i="434"/>
  <c r="Q23" i="434" s="1"/>
  <c r="I23" i="434"/>
  <c r="H23" i="434"/>
  <c r="G23" i="434"/>
  <c r="F23" i="434"/>
  <c r="E23" i="434"/>
  <c r="E20" i="434" s="1"/>
  <c r="D23" i="434"/>
  <c r="C23" i="434"/>
  <c r="Z22" i="434"/>
  <c r="AA22" i="434" s="1"/>
  <c r="AB22" i="434" s="1"/>
  <c r="Q22" i="434"/>
  <c r="J22" i="434"/>
  <c r="Y21" i="434"/>
  <c r="X21" i="434"/>
  <c r="W21" i="434"/>
  <c r="W20" i="434" s="1"/>
  <c r="V21" i="434"/>
  <c r="U21" i="434"/>
  <c r="T21" i="434"/>
  <c r="S21" i="434"/>
  <c r="S20" i="434" s="1"/>
  <c r="R21" i="434"/>
  <c r="P21" i="434"/>
  <c r="P20" i="434" s="1"/>
  <c r="P16" i="434" s="1"/>
  <c r="P15" i="434" s="1"/>
  <c r="P14" i="434" s="1"/>
  <c r="P13" i="434" s="1"/>
  <c r="P12" i="434" s="1"/>
  <c r="P11" i="434" s="1"/>
  <c r="P45" i="434" s="1"/>
  <c r="O21" i="434"/>
  <c r="N21" i="434"/>
  <c r="N20" i="434" s="1"/>
  <c r="M21" i="434"/>
  <c r="L21" i="434"/>
  <c r="L20" i="434" s="1"/>
  <c r="L16" i="434" s="1"/>
  <c r="L15" i="434" s="1"/>
  <c r="K21" i="434"/>
  <c r="I21" i="434"/>
  <c r="H21" i="434"/>
  <c r="H20" i="434" s="1"/>
  <c r="H16" i="434" s="1"/>
  <c r="H15" i="434" s="1"/>
  <c r="H14" i="434" s="1"/>
  <c r="H13" i="434" s="1"/>
  <c r="H12" i="434" s="1"/>
  <c r="H11" i="434" s="1"/>
  <c r="H45" i="434" s="1"/>
  <c r="G21" i="434"/>
  <c r="G20" i="434" s="1"/>
  <c r="F21" i="434"/>
  <c r="E21" i="434"/>
  <c r="D21" i="434"/>
  <c r="J21" i="434" s="1"/>
  <c r="C21" i="434"/>
  <c r="C20" i="434" s="1"/>
  <c r="Y20" i="434"/>
  <c r="X20" i="434"/>
  <c r="R20" i="434"/>
  <c r="M20" i="434"/>
  <c r="I20" i="434"/>
  <c r="F20" i="434"/>
  <c r="AA19" i="434"/>
  <c r="Z19" i="434"/>
  <c r="Q19" i="434"/>
  <c r="J19" i="434"/>
  <c r="AB19" i="434" s="1"/>
  <c r="Y18" i="434"/>
  <c r="Y17" i="434" s="1"/>
  <c r="Y16" i="434" s="1"/>
  <c r="Y15" i="434" s="1"/>
  <c r="Y14" i="434" s="1"/>
  <c r="Y13" i="434" s="1"/>
  <c r="X18" i="434"/>
  <c r="X17" i="434" s="1"/>
  <c r="X16" i="434" s="1"/>
  <c r="X15" i="434" s="1"/>
  <c r="X14" i="434" s="1"/>
  <c r="X13" i="434" s="1"/>
  <c r="X12" i="434" s="1"/>
  <c r="X11" i="434" s="1"/>
  <c r="X45" i="434" s="1"/>
  <c r="W18" i="434"/>
  <c r="W17" i="434" s="1"/>
  <c r="W16" i="434" s="1"/>
  <c r="W15" i="434" s="1"/>
  <c r="W14" i="434" s="1"/>
  <c r="W13" i="434" s="1"/>
  <c r="W12" i="434" s="1"/>
  <c r="V18" i="434"/>
  <c r="U18" i="434"/>
  <c r="U17" i="434" s="1"/>
  <c r="T18" i="434"/>
  <c r="T17" i="434" s="1"/>
  <c r="S18" i="434"/>
  <c r="R18" i="434"/>
  <c r="P18" i="434"/>
  <c r="P17" i="434" s="1"/>
  <c r="O18" i="434"/>
  <c r="O17" i="434" s="1"/>
  <c r="N18" i="434"/>
  <c r="M18" i="434"/>
  <c r="L18" i="434"/>
  <c r="L17" i="434" s="1"/>
  <c r="K18" i="434"/>
  <c r="Q18" i="434" s="1"/>
  <c r="I18" i="434"/>
  <c r="H18" i="434"/>
  <c r="H17" i="434" s="1"/>
  <c r="G18" i="434"/>
  <c r="F18" i="434"/>
  <c r="E18" i="434"/>
  <c r="D18" i="434"/>
  <c r="D17" i="434" s="1"/>
  <c r="C18" i="434"/>
  <c r="J18" i="434" s="1"/>
  <c r="V17" i="434"/>
  <c r="S17" i="434"/>
  <c r="R17" i="434"/>
  <c r="N17" i="434"/>
  <c r="M17" i="434"/>
  <c r="M16" i="434" s="1"/>
  <c r="M15" i="434" s="1"/>
  <c r="M14" i="434" s="1"/>
  <c r="M13" i="434" s="1"/>
  <c r="I17" i="434"/>
  <c r="G17" i="434"/>
  <c r="F17" i="434"/>
  <c r="F16" i="434" s="1"/>
  <c r="F15" i="434" s="1"/>
  <c r="F14" i="434" s="1"/>
  <c r="F13" i="434" s="1"/>
  <c r="F12" i="434" s="1"/>
  <c r="F11" i="434" s="1"/>
  <c r="F45" i="434" s="1"/>
  <c r="E17" i="434"/>
  <c r="C17" i="434"/>
  <c r="C16" i="434" s="1"/>
  <c r="U16" i="434"/>
  <c r="S16" i="434"/>
  <c r="S15" i="434" s="1"/>
  <c r="S14" i="434" s="1"/>
  <c r="S13" i="434" s="1"/>
  <c r="S12" i="434" s="1"/>
  <c r="G16" i="434"/>
  <c r="E16" i="434"/>
  <c r="E15" i="434" s="1"/>
  <c r="E14" i="434" s="1"/>
  <c r="E13" i="434" s="1"/>
  <c r="U15" i="434"/>
  <c r="U14" i="434" s="1"/>
  <c r="U13" i="434" s="1"/>
  <c r="U12" i="434" s="1"/>
  <c r="U11" i="434" s="1"/>
  <c r="U45" i="434" s="1"/>
  <c r="G15" i="434"/>
  <c r="L14" i="434"/>
  <c r="L13" i="434" s="1"/>
  <c r="L12" i="434" s="1"/>
  <c r="L11" i="434" s="1"/>
  <c r="L45" i="434" s="1"/>
  <c r="G14" i="434"/>
  <c r="G13" i="434" s="1"/>
  <c r="G12" i="434" s="1"/>
  <c r="Y12" i="434"/>
  <c r="Y11" i="434" s="1"/>
  <c r="Y45" i="434" s="1"/>
  <c r="M12" i="434"/>
  <c r="M11" i="434" s="1"/>
  <c r="M45" i="434" s="1"/>
  <c r="E12" i="434"/>
  <c r="E11" i="434" s="1"/>
  <c r="E45" i="434" s="1"/>
  <c r="W11" i="434"/>
  <c r="W45" i="434" s="1"/>
  <c r="S11" i="434"/>
  <c r="S45" i="434" s="1"/>
  <c r="AA1016" i="433"/>
  <c r="R1016" i="433"/>
  <c r="K1016" i="433"/>
  <c r="E1016" i="433"/>
  <c r="AA1015" i="433"/>
  <c r="R1015" i="433"/>
  <c r="AB1015" i="433" s="1"/>
  <c r="E1015" i="433"/>
  <c r="K1015" i="433" s="1"/>
  <c r="Z1014" i="433"/>
  <c r="Y1014" i="433"/>
  <c r="X1014" i="433"/>
  <c r="W1014" i="433"/>
  <c r="V1014" i="433"/>
  <c r="U1014" i="433"/>
  <c r="T1014" i="433"/>
  <c r="S1014" i="433"/>
  <c r="Q1014" i="433"/>
  <c r="P1014" i="433"/>
  <c r="O1014" i="433"/>
  <c r="N1014" i="433"/>
  <c r="R1014" i="433" s="1"/>
  <c r="M1014" i="433"/>
  <c r="L1014" i="433"/>
  <c r="J1014" i="433"/>
  <c r="I1014" i="433"/>
  <c r="H1014" i="433"/>
  <c r="G1014" i="433"/>
  <c r="F1014" i="433"/>
  <c r="K1014" i="433" s="1"/>
  <c r="E1014" i="433"/>
  <c r="D1014" i="433"/>
  <c r="AA1013" i="433"/>
  <c r="R1013" i="433"/>
  <c r="AB1013" i="433" s="1"/>
  <c r="E1013" i="433"/>
  <c r="K1013" i="433" s="1"/>
  <c r="AA1012" i="433"/>
  <c r="R1012" i="433"/>
  <c r="AB1012" i="433" s="1"/>
  <c r="K1012" i="433"/>
  <c r="E1012" i="433"/>
  <c r="Z1011" i="433"/>
  <c r="Y1011" i="433"/>
  <c r="X1011" i="433"/>
  <c r="W1011" i="433"/>
  <c r="V1011" i="433"/>
  <c r="U1011" i="433"/>
  <c r="T1011" i="433"/>
  <c r="AA1011" i="433" s="1"/>
  <c r="S1011" i="433"/>
  <c r="Q1011" i="433"/>
  <c r="Q1009" i="433" s="1"/>
  <c r="P1011" i="433"/>
  <c r="P1009" i="433" s="1"/>
  <c r="O1011" i="433"/>
  <c r="O1009" i="433" s="1"/>
  <c r="N1011" i="433"/>
  <c r="M1011" i="433"/>
  <c r="M1009" i="433" s="1"/>
  <c r="L1011" i="433"/>
  <c r="J1011" i="433"/>
  <c r="I1011" i="433"/>
  <c r="H1011" i="433"/>
  <c r="G1011" i="433"/>
  <c r="G1009" i="433" s="1"/>
  <c r="F1011" i="433"/>
  <c r="F1009" i="433" s="1"/>
  <c r="E1011" i="433"/>
  <c r="D1011" i="433"/>
  <c r="AA1010" i="433"/>
  <c r="R1010" i="433"/>
  <c r="AB1010" i="433" s="1"/>
  <c r="E1010" i="433"/>
  <c r="K1010" i="433" s="1"/>
  <c r="Z1009" i="433"/>
  <c r="Y1009" i="433"/>
  <c r="X1009" i="433"/>
  <c r="W1009" i="433"/>
  <c r="V1009" i="433"/>
  <c r="U1009" i="433"/>
  <c r="T1009" i="433"/>
  <c r="AA1009" i="433" s="1"/>
  <c r="S1009" i="433"/>
  <c r="N1009" i="433"/>
  <c r="J1009" i="433"/>
  <c r="I1009" i="433"/>
  <c r="H1009" i="433"/>
  <c r="E1009" i="433"/>
  <c r="D1009" i="433"/>
  <c r="AA1008" i="433"/>
  <c r="R1008" i="433"/>
  <c r="AB1008" i="433" s="1"/>
  <c r="E1008" i="433"/>
  <c r="K1008" i="433" s="1"/>
  <c r="Z1007" i="433"/>
  <c r="Z1006" i="433" s="1"/>
  <c r="Z1005" i="433" s="1"/>
  <c r="Z1004" i="433" s="1"/>
  <c r="Y1007" i="433"/>
  <c r="Y1006" i="433" s="1"/>
  <c r="Y1005" i="433" s="1"/>
  <c r="X1007" i="433"/>
  <c r="X1006" i="433" s="1"/>
  <c r="X1005" i="433" s="1"/>
  <c r="W1007" i="433"/>
  <c r="W1006" i="433" s="1"/>
  <c r="W1005" i="433" s="1"/>
  <c r="V1007" i="433"/>
  <c r="U1007" i="433"/>
  <c r="U1006" i="433" s="1"/>
  <c r="U1005" i="433" s="1"/>
  <c r="T1007" i="433"/>
  <c r="S1007" i="433"/>
  <c r="S1006" i="433" s="1"/>
  <c r="S1005" i="433" s="1"/>
  <c r="Q1007" i="433"/>
  <c r="Q1006" i="433" s="1"/>
  <c r="Q1005" i="433" s="1"/>
  <c r="P1007" i="433"/>
  <c r="P1006" i="433" s="1"/>
  <c r="P1005" i="433" s="1"/>
  <c r="O1007" i="433"/>
  <c r="O1006" i="433" s="1"/>
  <c r="O1005" i="433" s="1"/>
  <c r="N1007" i="433"/>
  <c r="N1006" i="433" s="1"/>
  <c r="N1005" i="433" s="1"/>
  <c r="M1007" i="433"/>
  <c r="M1006" i="433" s="1"/>
  <c r="M1005" i="433" s="1"/>
  <c r="M1004" i="433" s="1"/>
  <c r="L1007" i="433"/>
  <c r="J1007" i="433"/>
  <c r="J1006" i="433" s="1"/>
  <c r="J1005" i="433" s="1"/>
  <c r="I1007" i="433"/>
  <c r="I1006" i="433" s="1"/>
  <c r="I1005" i="433" s="1"/>
  <c r="H1007" i="433"/>
  <c r="H1006" i="433" s="1"/>
  <c r="H1005" i="433" s="1"/>
  <c r="H1004" i="433" s="1"/>
  <c r="G1007" i="433"/>
  <c r="F1007" i="433"/>
  <c r="F1006" i="433" s="1"/>
  <c r="F1005" i="433" s="1"/>
  <c r="E1007" i="433"/>
  <c r="D1007" i="433"/>
  <c r="V1006" i="433"/>
  <c r="V1005" i="433" s="1"/>
  <c r="V1004" i="433" s="1"/>
  <c r="G1006" i="433"/>
  <c r="G1005" i="433" s="1"/>
  <c r="G1004" i="433" s="1"/>
  <c r="E1006" i="433"/>
  <c r="E1005" i="433"/>
  <c r="E1004" i="433"/>
  <c r="AB1003" i="433"/>
  <c r="AC1003" i="433" s="1"/>
  <c r="AA1003" i="433"/>
  <c r="R1003" i="433"/>
  <c r="E1003" i="433"/>
  <c r="K1003" i="433" s="1"/>
  <c r="Z1002" i="433"/>
  <c r="Z1000" i="433" s="1"/>
  <c r="Z999" i="433" s="1"/>
  <c r="Z998" i="433" s="1"/>
  <c r="Z997" i="433" s="1"/>
  <c r="Z996" i="433" s="1"/>
  <c r="Y1002" i="433"/>
  <c r="Y1000" i="433" s="1"/>
  <c r="Y999" i="433" s="1"/>
  <c r="Y998" i="433" s="1"/>
  <c r="Y997" i="433" s="1"/>
  <c r="X1002" i="433"/>
  <c r="W1002" i="433"/>
  <c r="V1002" i="433"/>
  <c r="V1000" i="433" s="1"/>
  <c r="V999" i="433" s="1"/>
  <c r="V998" i="433" s="1"/>
  <c r="V997" i="433" s="1"/>
  <c r="V996" i="433" s="1"/>
  <c r="U1002" i="433"/>
  <c r="T1002" i="433"/>
  <c r="T1000" i="433" s="1"/>
  <c r="T999" i="433" s="1"/>
  <c r="S1002" i="433"/>
  <c r="Q1002" i="433"/>
  <c r="Q1000" i="433" s="1"/>
  <c r="Q999" i="433" s="1"/>
  <c r="Q998" i="433" s="1"/>
  <c r="Q997" i="433" s="1"/>
  <c r="Q996" i="433" s="1"/>
  <c r="P1002" i="433"/>
  <c r="N1002" i="433"/>
  <c r="M1002" i="433"/>
  <c r="M1000" i="433" s="1"/>
  <c r="L1002" i="433"/>
  <c r="L1000" i="433" s="1"/>
  <c r="L999" i="433" s="1"/>
  <c r="L998" i="433" s="1"/>
  <c r="L997" i="433" s="1"/>
  <c r="L996" i="433" s="1"/>
  <c r="J1002" i="433"/>
  <c r="I1002" i="433"/>
  <c r="I1000" i="433" s="1"/>
  <c r="I999" i="433" s="1"/>
  <c r="I998" i="433" s="1"/>
  <c r="I997" i="433" s="1"/>
  <c r="I996" i="433" s="1"/>
  <c r="H1002" i="433"/>
  <c r="G1002" i="433"/>
  <c r="G1000" i="433" s="1"/>
  <c r="G999" i="433" s="1"/>
  <c r="G998" i="433" s="1"/>
  <c r="G997" i="433" s="1"/>
  <c r="G996" i="433" s="1"/>
  <c r="F1002" i="433"/>
  <c r="E1002" i="433"/>
  <c r="D1002" i="433"/>
  <c r="AA1001" i="433"/>
  <c r="AB1001" i="433" s="1"/>
  <c r="R1001" i="433"/>
  <c r="E1001" i="433"/>
  <c r="K1001" i="433" s="1"/>
  <c r="X1000" i="433"/>
  <c r="X999" i="433" s="1"/>
  <c r="X998" i="433" s="1"/>
  <c r="X997" i="433" s="1"/>
  <c r="X996" i="433" s="1"/>
  <c r="W1000" i="433"/>
  <c r="U1000" i="433"/>
  <c r="U999" i="433" s="1"/>
  <c r="U998" i="433" s="1"/>
  <c r="U997" i="433" s="1"/>
  <c r="U996" i="433" s="1"/>
  <c r="S1000" i="433"/>
  <c r="P1000" i="433"/>
  <c r="P999" i="433" s="1"/>
  <c r="P998" i="433" s="1"/>
  <c r="P997" i="433" s="1"/>
  <c r="P996" i="433" s="1"/>
  <c r="O1000" i="433"/>
  <c r="N1000" i="433"/>
  <c r="N999" i="433" s="1"/>
  <c r="N998" i="433" s="1"/>
  <c r="J1000" i="433"/>
  <c r="H1000" i="433"/>
  <c r="F1000" i="433"/>
  <c r="F999" i="433" s="1"/>
  <c r="F998" i="433" s="1"/>
  <c r="F997" i="433" s="1"/>
  <c r="F996" i="433" s="1"/>
  <c r="E1000" i="433"/>
  <c r="D1000" i="433"/>
  <c r="W999" i="433"/>
  <c r="W998" i="433" s="1"/>
  <c r="W997" i="433" s="1"/>
  <c r="W996" i="433" s="1"/>
  <c r="S999" i="433"/>
  <c r="S998" i="433" s="1"/>
  <c r="S997" i="433" s="1"/>
  <c r="S996" i="433" s="1"/>
  <c r="O999" i="433"/>
  <c r="O998" i="433" s="1"/>
  <c r="O997" i="433" s="1"/>
  <c r="O996" i="433" s="1"/>
  <c r="J999" i="433"/>
  <c r="J998" i="433" s="1"/>
  <c r="J997" i="433" s="1"/>
  <c r="J996" i="433" s="1"/>
  <c r="H999" i="433"/>
  <c r="E999" i="433"/>
  <c r="D999" i="433"/>
  <c r="D998" i="433" s="1"/>
  <c r="D997" i="433" s="1"/>
  <c r="D996" i="433" s="1"/>
  <c r="T998" i="433"/>
  <c r="T997" i="433" s="1"/>
  <c r="H998" i="433"/>
  <c r="E998" i="433"/>
  <c r="N997" i="433"/>
  <c r="N996" i="433" s="1"/>
  <c r="H997" i="433"/>
  <c r="E997" i="433"/>
  <c r="Y996" i="433"/>
  <c r="T996" i="433"/>
  <c r="H996" i="433"/>
  <c r="E996" i="433"/>
  <c r="E995" i="433"/>
  <c r="E1017" i="433" s="1"/>
  <c r="Z992" i="433"/>
  <c r="Y992" i="433"/>
  <c r="X992" i="433"/>
  <c r="W992" i="433"/>
  <c r="V992" i="433"/>
  <c r="U992" i="433"/>
  <c r="T992" i="433"/>
  <c r="S992" i="433"/>
  <c r="R992" i="433"/>
  <c r="Q992" i="433"/>
  <c r="P992" i="433"/>
  <c r="O992" i="433"/>
  <c r="N992" i="433"/>
  <c r="M992" i="433"/>
  <c r="L992" i="433"/>
  <c r="J992" i="433"/>
  <c r="I992" i="433"/>
  <c r="H992" i="433"/>
  <c r="G992" i="433"/>
  <c r="F992" i="433"/>
  <c r="E992" i="433"/>
  <c r="D992" i="433"/>
  <c r="AA991" i="433"/>
  <c r="R991" i="433"/>
  <c r="E991" i="433"/>
  <c r="K991" i="433" s="1"/>
  <c r="K992" i="433" s="1"/>
  <c r="AA987" i="433"/>
  <c r="R987" i="433"/>
  <c r="AB987" i="433" s="1"/>
  <c r="E987" i="433"/>
  <c r="K987" i="433" s="1"/>
  <c r="AB986" i="433"/>
  <c r="AC986" i="433" s="1"/>
  <c r="AA986" i="433"/>
  <c r="R986" i="433"/>
  <c r="E986" i="433"/>
  <c r="K986" i="433" s="1"/>
  <c r="AA985" i="433"/>
  <c r="R985" i="433"/>
  <c r="E985" i="433"/>
  <c r="K985" i="433" s="1"/>
  <c r="AA984" i="433"/>
  <c r="AB984" i="433" s="1"/>
  <c r="R984" i="433"/>
  <c r="E984" i="433"/>
  <c r="K984" i="433" s="1"/>
  <c r="AA983" i="433"/>
  <c r="R983" i="433"/>
  <c r="AB983" i="433" s="1"/>
  <c r="AC983" i="433" s="1"/>
  <c r="E983" i="433"/>
  <c r="K983" i="433" s="1"/>
  <c r="AA982" i="433"/>
  <c r="R982" i="433"/>
  <c r="E982" i="433"/>
  <c r="K982" i="433" s="1"/>
  <c r="AA981" i="433"/>
  <c r="R981" i="433"/>
  <c r="AB981" i="433" s="1"/>
  <c r="E981" i="433"/>
  <c r="K981" i="433" s="1"/>
  <c r="AA980" i="433"/>
  <c r="R980" i="433"/>
  <c r="AB980" i="433" s="1"/>
  <c r="E980" i="433"/>
  <c r="K980" i="433" s="1"/>
  <c r="AA979" i="433"/>
  <c r="R979" i="433"/>
  <c r="AB979" i="433" s="1"/>
  <c r="E979" i="433"/>
  <c r="K979" i="433" s="1"/>
  <c r="AB978" i="433"/>
  <c r="AC978" i="433" s="1"/>
  <c r="AA978" i="433"/>
  <c r="R978" i="433"/>
  <c r="E978" i="433"/>
  <c r="K978" i="433" s="1"/>
  <c r="AA977" i="433"/>
  <c r="R977" i="433"/>
  <c r="E977" i="433"/>
  <c r="K977" i="433" s="1"/>
  <c r="AA976" i="433"/>
  <c r="AB976" i="433" s="1"/>
  <c r="R976" i="433"/>
  <c r="E976" i="433"/>
  <c r="K976" i="433" s="1"/>
  <c r="AA975" i="433"/>
  <c r="R975" i="433"/>
  <c r="AB975" i="433" s="1"/>
  <c r="AC975" i="433" s="1"/>
  <c r="E975" i="433"/>
  <c r="K975" i="433" s="1"/>
  <c r="AA974" i="433"/>
  <c r="R974" i="433"/>
  <c r="AB974" i="433" s="1"/>
  <c r="E974" i="433"/>
  <c r="K974" i="433" s="1"/>
  <c r="AA973" i="433"/>
  <c r="R973" i="433"/>
  <c r="AB973" i="433" s="1"/>
  <c r="E973" i="433"/>
  <c r="K973" i="433" s="1"/>
  <c r="AA972" i="433"/>
  <c r="R972" i="433"/>
  <c r="E972" i="433"/>
  <c r="K972" i="433" s="1"/>
  <c r="AA971" i="433"/>
  <c r="R971" i="433"/>
  <c r="AB971" i="433" s="1"/>
  <c r="AC971" i="433" s="1"/>
  <c r="E971" i="433"/>
  <c r="K971" i="433" s="1"/>
  <c r="AA970" i="433"/>
  <c r="R970" i="433"/>
  <c r="AB970" i="433" s="1"/>
  <c r="AC970" i="433" s="1"/>
  <c r="E970" i="433"/>
  <c r="K970" i="433" s="1"/>
  <c r="AA969" i="433"/>
  <c r="R969" i="433"/>
  <c r="E969" i="433"/>
  <c r="K969" i="433" s="1"/>
  <c r="Z968" i="433"/>
  <c r="Y968" i="433"/>
  <c r="Y967" i="433" s="1"/>
  <c r="Y966" i="433" s="1"/>
  <c r="Y965" i="433" s="1"/>
  <c r="X968" i="433"/>
  <c r="X967" i="433" s="1"/>
  <c r="W968" i="433"/>
  <c r="W967" i="433" s="1"/>
  <c r="W966" i="433" s="1"/>
  <c r="W965" i="433" s="1"/>
  <c r="V968" i="433"/>
  <c r="U968" i="433"/>
  <c r="T968" i="433"/>
  <c r="T967" i="433" s="1"/>
  <c r="T966" i="433" s="1"/>
  <c r="T965" i="433" s="1"/>
  <c r="S968" i="433"/>
  <c r="Q968" i="433"/>
  <c r="P968" i="433"/>
  <c r="P967" i="433" s="1"/>
  <c r="O968" i="433"/>
  <c r="O967" i="433" s="1"/>
  <c r="O966" i="433" s="1"/>
  <c r="O965" i="433" s="1"/>
  <c r="N968" i="433"/>
  <c r="N967" i="433" s="1"/>
  <c r="N966" i="433" s="1"/>
  <c r="M968" i="433"/>
  <c r="L968" i="433"/>
  <c r="J968" i="433"/>
  <c r="I968" i="433"/>
  <c r="H968" i="433"/>
  <c r="H967" i="433" s="1"/>
  <c r="H966" i="433" s="1"/>
  <c r="H965" i="433" s="1"/>
  <c r="G968" i="433"/>
  <c r="G967" i="433" s="1"/>
  <c r="G966" i="433" s="1"/>
  <c r="G965" i="433" s="1"/>
  <c r="F968" i="433"/>
  <c r="E968" i="433"/>
  <c r="D968" i="433"/>
  <c r="Z967" i="433"/>
  <c r="Z966" i="433" s="1"/>
  <c r="V967" i="433"/>
  <c r="V966" i="433" s="1"/>
  <c r="U967" i="433"/>
  <c r="U966" i="433" s="1"/>
  <c r="U965" i="433" s="1"/>
  <c r="Q967" i="433"/>
  <c r="Q966" i="433" s="1"/>
  <c r="Q965" i="433" s="1"/>
  <c r="M967" i="433"/>
  <c r="M966" i="433" s="1"/>
  <c r="M965" i="433" s="1"/>
  <c r="J967" i="433"/>
  <c r="J966" i="433" s="1"/>
  <c r="J965" i="433" s="1"/>
  <c r="I967" i="433"/>
  <c r="I966" i="433" s="1"/>
  <c r="I965" i="433" s="1"/>
  <c r="F967" i="433"/>
  <c r="F966" i="433" s="1"/>
  <c r="E967" i="433"/>
  <c r="X966" i="433"/>
  <c r="X965" i="433" s="1"/>
  <c r="P966" i="433"/>
  <c r="P965" i="433" s="1"/>
  <c r="E966" i="433"/>
  <c r="Z965" i="433"/>
  <c r="V965" i="433"/>
  <c r="N965" i="433"/>
  <c r="F965" i="433"/>
  <c r="F988" i="433" s="1"/>
  <c r="E965" i="433"/>
  <c r="AA964" i="433"/>
  <c r="R964" i="433"/>
  <c r="K964" i="433"/>
  <c r="E964" i="433"/>
  <c r="Z963" i="433"/>
  <c r="Y963" i="433"/>
  <c r="X963" i="433"/>
  <c r="W963" i="433"/>
  <c r="V963" i="433"/>
  <c r="U963" i="433"/>
  <c r="T963" i="433"/>
  <c r="S963" i="433"/>
  <c r="Q963" i="433"/>
  <c r="P963" i="433"/>
  <c r="O963" i="433"/>
  <c r="N963" i="433"/>
  <c r="M963" i="433"/>
  <c r="L963" i="433"/>
  <c r="R963" i="433" s="1"/>
  <c r="J963" i="433"/>
  <c r="I963" i="433"/>
  <c r="H963" i="433"/>
  <c r="G963" i="433"/>
  <c r="F963" i="433"/>
  <c r="E963" i="433"/>
  <c r="D963" i="433"/>
  <c r="AA962" i="433"/>
  <c r="R962" i="433"/>
  <c r="E962" i="433"/>
  <c r="K962" i="433" s="1"/>
  <c r="AA961" i="433"/>
  <c r="AB961" i="433" s="1"/>
  <c r="R961" i="433"/>
  <c r="E961" i="433"/>
  <c r="K961" i="433" s="1"/>
  <c r="AA960" i="433"/>
  <c r="R960" i="433"/>
  <c r="AB960" i="433" s="1"/>
  <c r="AC960" i="433" s="1"/>
  <c r="E960" i="433"/>
  <c r="K960" i="433" s="1"/>
  <c r="AA959" i="433"/>
  <c r="R959" i="433"/>
  <c r="E959" i="433"/>
  <c r="K959" i="433" s="1"/>
  <c r="AA958" i="433"/>
  <c r="R958" i="433"/>
  <c r="AB958" i="433" s="1"/>
  <c r="AC958" i="433" s="1"/>
  <c r="E958" i="433"/>
  <c r="K958" i="433" s="1"/>
  <c r="AA957" i="433"/>
  <c r="R957" i="433"/>
  <c r="AB957" i="433" s="1"/>
  <c r="E957" i="433"/>
  <c r="K957" i="433" s="1"/>
  <c r="AA956" i="433"/>
  <c r="R956" i="433"/>
  <c r="E956" i="433"/>
  <c r="K956" i="433" s="1"/>
  <c r="AA955" i="433"/>
  <c r="R955" i="433"/>
  <c r="E955" i="433"/>
  <c r="K955" i="433" s="1"/>
  <c r="AA954" i="433"/>
  <c r="R954" i="433"/>
  <c r="AB954" i="433" s="1"/>
  <c r="AC954" i="433" s="1"/>
  <c r="E954" i="433"/>
  <c r="K954" i="433" s="1"/>
  <c r="AA953" i="433"/>
  <c r="R953" i="433"/>
  <c r="AB953" i="433" s="1"/>
  <c r="E953" i="433"/>
  <c r="K953" i="433" s="1"/>
  <c r="AA952" i="433"/>
  <c r="R952" i="433"/>
  <c r="E952" i="433"/>
  <c r="K952" i="433" s="1"/>
  <c r="AA951" i="433"/>
  <c r="R951" i="433"/>
  <c r="E951" i="433"/>
  <c r="K951" i="433" s="1"/>
  <c r="AA950" i="433"/>
  <c r="R950" i="433"/>
  <c r="AB950" i="433" s="1"/>
  <c r="AC950" i="433" s="1"/>
  <c r="E950" i="433"/>
  <c r="K950" i="433" s="1"/>
  <c r="AA949" i="433"/>
  <c r="R949" i="433"/>
  <c r="AB949" i="433" s="1"/>
  <c r="E949" i="433"/>
  <c r="K949" i="433" s="1"/>
  <c r="AA948" i="433"/>
  <c r="R948" i="433"/>
  <c r="E948" i="433"/>
  <c r="K948" i="433" s="1"/>
  <c r="AA947" i="433"/>
  <c r="R947" i="433"/>
  <c r="E947" i="433"/>
  <c r="K947" i="433" s="1"/>
  <c r="AA946" i="433"/>
  <c r="R946" i="433"/>
  <c r="AB946" i="433" s="1"/>
  <c r="AC946" i="433" s="1"/>
  <c r="E946" i="433"/>
  <c r="K946" i="433" s="1"/>
  <c r="AA945" i="433"/>
  <c r="R945" i="433"/>
  <c r="AB945" i="433" s="1"/>
  <c r="E945" i="433"/>
  <c r="K945" i="433" s="1"/>
  <c r="AA944" i="433"/>
  <c r="R944" i="433"/>
  <c r="E944" i="433"/>
  <c r="K944" i="433" s="1"/>
  <c r="AA943" i="433"/>
  <c r="R943" i="433"/>
  <c r="E943" i="433"/>
  <c r="K943" i="433" s="1"/>
  <c r="AA942" i="433"/>
  <c r="R942" i="433"/>
  <c r="AB942" i="433" s="1"/>
  <c r="AC942" i="433" s="1"/>
  <c r="E942" i="433"/>
  <c r="K942" i="433" s="1"/>
  <c r="AA941" i="433"/>
  <c r="R941" i="433"/>
  <c r="AB941" i="433" s="1"/>
  <c r="E941" i="433"/>
  <c r="K941" i="433" s="1"/>
  <c r="AB940" i="433"/>
  <c r="AA940" i="433"/>
  <c r="R940" i="433"/>
  <c r="E940" i="433"/>
  <c r="K940" i="433" s="1"/>
  <c r="AA939" i="433"/>
  <c r="R939" i="433"/>
  <c r="AB939" i="433" s="1"/>
  <c r="K939" i="433"/>
  <c r="AC939" i="433" s="1"/>
  <c r="E939" i="433"/>
  <c r="AA938" i="433"/>
  <c r="R938" i="433"/>
  <c r="AB938" i="433" s="1"/>
  <c r="E938" i="433"/>
  <c r="K938" i="433" s="1"/>
  <c r="AA937" i="433"/>
  <c r="R937" i="433"/>
  <c r="AB937" i="433" s="1"/>
  <c r="K937" i="433"/>
  <c r="AC937" i="433" s="1"/>
  <c r="E937" i="433"/>
  <c r="AA936" i="433"/>
  <c r="R936" i="433"/>
  <c r="E936" i="433"/>
  <c r="K936" i="433" s="1"/>
  <c r="AA935" i="433"/>
  <c r="R935" i="433"/>
  <c r="AB935" i="433" s="1"/>
  <c r="K935" i="433"/>
  <c r="E935" i="433"/>
  <c r="AA934" i="433"/>
  <c r="R934" i="433"/>
  <c r="E934" i="433"/>
  <c r="K934" i="433" s="1"/>
  <c r="AA933" i="433"/>
  <c r="R933" i="433"/>
  <c r="K933" i="433"/>
  <c r="E933" i="433"/>
  <c r="AA932" i="433"/>
  <c r="R932" i="433"/>
  <c r="AB932" i="433" s="1"/>
  <c r="AC932" i="433" s="1"/>
  <c r="E932" i="433"/>
  <c r="K932" i="433" s="1"/>
  <c r="AA931" i="433"/>
  <c r="R931" i="433"/>
  <c r="AB931" i="433" s="1"/>
  <c r="AC931" i="433" s="1"/>
  <c r="K931" i="433"/>
  <c r="E931" i="433"/>
  <c r="AA930" i="433"/>
  <c r="R930" i="433"/>
  <c r="AB930" i="433" s="1"/>
  <c r="E930" i="433"/>
  <c r="K930" i="433" s="1"/>
  <c r="AA929" i="433"/>
  <c r="R929" i="433"/>
  <c r="AB929" i="433" s="1"/>
  <c r="K929" i="433"/>
  <c r="AC929" i="433" s="1"/>
  <c r="E929" i="433"/>
  <c r="AA928" i="433"/>
  <c r="R928" i="433"/>
  <c r="AB928" i="433" s="1"/>
  <c r="E928" i="433"/>
  <c r="K928" i="433" s="1"/>
  <c r="AA927" i="433"/>
  <c r="R927" i="433"/>
  <c r="AB927" i="433" s="1"/>
  <c r="K927" i="433"/>
  <c r="E927" i="433"/>
  <c r="AA926" i="433"/>
  <c r="R926" i="433"/>
  <c r="E926" i="433"/>
  <c r="K926" i="433" s="1"/>
  <c r="AA925" i="433"/>
  <c r="R925" i="433"/>
  <c r="K925" i="433"/>
  <c r="E925" i="433"/>
  <c r="AA924" i="433"/>
  <c r="AB924" i="433" s="1"/>
  <c r="AC924" i="433" s="1"/>
  <c r="R924" i="433"/>
  <c r="E924" i="433"/>
  <c r="K924" i="433" s="1"/>
  <c r="AA923" i="433"/>
  <c r="R923" i="433"/>
  <c r="K923" i="433"/>
  <c r="E923" i="433"/>
  <c r="AB922" i="433"/>
  <c r="AC922" i="433" s="1"/>
  <c r="AA922" i="433"/>
  <c r="R922" i="433"/>
  <c r="E922" i="433"/>
  <c r="K922" i="433" s="1"/>
  <c r="AC921" i="433"/>
  <c r="AA921" i="433"/>
  <c r="R921" i="433"/>
  <c r="AB921" i="433" s="1"/>
  <c r="K921" i="433"/>
  <c r="E921" i="433"/>
  <c r="AA920" i="433"/>
  <c r="R920" i="433"/>
  <c r="AB920" i="433" s="1"/>
  <c r="E920" i="433"/>
  <c r="K920" i="433" s="1"/>
  <c r="AA919" i="433"/>
  <c r="R919" i="433"/>
  <c r="AB919" i="433" s="1"/>
  <c r="K919" i="433"/>
  <c r="E919" i="433"/>
  <c r="AA918" i="433"/>
  <c r="R918" i="433"/>
  <c r="E918" i="433"/>
  <c r="K918" i="433" s="1"/>
  <c r="AA917" i="433"/>
  <c r="R917" i="433"/>
  <c r="K917" i="433"/>
  <c r="E917" i="433"/>
  <c r="AA916" i="433"/>
  <c r="AB916" i="433" s="1"/>
  <c r="AC916" i="433" s="1"/>
  <c r="R916" i="433"/>
  <c r="E916" i="433"/>
  <c r="K916" i="433" s="1"/>
  <c r="AA915" i="433"/>
  <c r="R915" i="433"/>
  <c r="K915" i="433"/>
  <c r="E915" i="433"/>
  <c r="Z914" i="433"/>
  <c r="Z913" i="433" s="1"/>
  <c r="Z912" i="433" s="1"/>
  <c r="Y914" i="433"/>
  <c r="X914" i="433"/>
  <c r="X913" i="433" s="1"/>
  <c r="W914" i="433"/>
  <c r="W913" i="433" s="1"/>
  <c r="W912" i="433" s="1"/>
  <c r="V914" i="433"/>
  <c r="V913" i="433" s="1"/>
  <c r="V912" i="433" s="1"/>
  <c r="U914" i="433"/>
  <c r="T914" i="433"/>
  <c r="T913" i="433" s="1"/>
  <c r="T912" i="433" s="1"/>
  <c r="S914" i="433"/>
  <c r="S913" i="433" s="1"/>
  <c r="S912" i="433" s="1"/>
  <c r="Q914" i="433"/>
  <c r="Q913" i="433" s="1"/>
  <c r="Q912" i="433" s="1"/>
  <c r="P914" i="433"/>
  <c r="P913" i="433" s="1"/>
  <c r="O914" i="433"/>
  <c r="O913" i="433" s="1"/>
  <c r="O912" i="433" s="1"/>
  <c r="N914" i="433"/>
  <c r="M914" i="433"/>
  <c r="L914" i="433"/>
  <c r="J914" i="433"/>
  <c r="I914" i="433"/>
  <c r="I913" i="433" s="1"/>
  <c r="I912" i="433" s="1"/>
  <c r="H914" i="433"/>
  <c r="H913" i="433" s="1"/>
  <c r="H912" i="433" s="1"/>
  <c r="G914" i="433"/>
  <c r="G913" i="433" s="1"/>
  <c r="F914" i="433"/>
  <c r="E914" i="433"/>
  <c r="D914" i="433"/>
  <c r="D913" i="433" s="1"/>
  <c r="Y913" i="433"/>
  <c r="Y912" i="433" s="1"/>
  <c r="U913" i="433"/>
  <c r="U912" i="433" s="1"/>
  <c r="N913" i="433"/>
  <c r="N912" i="433" s="1"/>
  <c r="M913" i="433"/>
  <c r="M912" i="433" s="1"/>
  <c r="J913" i="433"/>
  <c r="J912" i="433" s="1"/>
  <c r="F913" i="433"/>
  <c r="F912" i="433" s="1"/>
  <c r="E913" i="433"/>
  <c r="X912" i="433"/>
  <c r="P912" i="433"/>
  <c r="G912" i="433"/>
  <c r="E912" i="433"/>
  <c r="AA911" i="433"/>
  <c r="R911" i="433"/>
  <c r="AB911" i="433" s="1"/>
  <c r="AC911" i="433" s="1"/>
  <c r="K911" i="433"/>
  <c r="E911" i="433"/>
  <c r="Z910" i="433"/>
  <c r="Z909" i="433" s="1"/>
  <c r="Y910" i="433"/>
  <c r="Y909" i="433" s="1"/>
  <c r="X910" i="433"/>
  <c r="X909" i="433" s="1"/>
  <c r="W910" i="433"/>
  <c r="W909" i="433" s="1"/>
  <c r="V910" i="433"/>
  <c r="V909" i="433" s="1"/>
  <c r="U910" i="433"/>
  <c r="U909" i="433" s="1"/>
  <c r="U905" i="433" s="1"/>
  <c r="U904" i="433" s="1"/>
  <c r="T910" i="433"/>
  <c r="S910" i="433"/>
  <c r="S909" i="433" s="1"/>
  <c r="Q910" i="433"/>
  <c r="Q909" i="433" s="1"/>
  <c r="P910" i="433"/>
  <c r="P909" i="433" s="1"/>
  <c r="O910" i="433"/>
  <c r="O909" i="433" s="1"/>
  <c r="N910" i="433"/>
  <c r="N909" i="433" s="1"/>
  <c r="M910" i="433"/>
  <c r="L910" i="433"/>
  <c r="R910" i="433" s="1"/>
  <c r="J910" i="433"/>
  <c r="J909" i="433" s="1"/>
  <c r="I910" i="433"/>
  <c r="I909" i="433" s="1"/>
  <c r="H910" i="433"/>
  <c r="H909" i="433" s="1"/>
  <c r="G910" i="433"/>
  <c r="G909" i="433" s="1"/>
  <c r="E910" i="433"/>
  <c r="D910" i="433"/>
  <c r="T909" i="433"/>
  <c r="M909" i="433"/>
  <c r="L909" i="433"/>
  <c r="R909" i="433" s="1"/>
  <c r="E909" i="433"/>
  <c r="D909" i="433"/>
  <c r="AA908" i="433"/>
  <c r="R908" i="433"/>
  <c r="K908" i="433"/>
  <c r="E908" i="433"/>
  <c r="Z907" i="433"/>
  <c r="Z906" i="433" s="1"/>
  <c r="Y907" i="433"/>
  <c r="X907" i="433"/>
  <c r="X906" i="433" s="1"/>
  <c r="X905" i="433" s="1"/>
  <c r="X904" i="433" s="1"/>
  <c r="W907" i="433"/>
  <c r="W906" i="433" s="1"/>
  <c r="W905" i="433" s="1"/>
  <c r="W904" i="433" s="1"/>
  <c r="V907" i="433"/>
  <c r="V906" i="433" s="1"/>
  <c r="V905" i="433" s="1"/>
  <c r="U907" i="433"/>
  <c r="T907" i="433"/>
  <c r="S907" i="433"/>
  <c r="S906" i="433" s="1"/>
  <c r="Q907" i="433"/>
  <c r="Q906" i="433" s="1"/>
  <c r="Q905" i="433" s="1"/>
  <c r="Q904" i="433" s="1"/>
  <c r="P907" i="433"/>
  <c r="O907" i="433"/>
  <c r="O906" i="433" s="1"/>
  <c r="N907" i="433"/>
  <c r="N906" i="433" s="1"/>
  <c r="N905" i="433" s="1"/>
  <c r="N904" i="433" s="1"/>
  <c r="M907" i="433"/>
  <c r="L907" i="433"/>
  <c r="J907" i="433"/>
  <c r="J906" i="433" s="1"/>
  <c r="J905" i="433" s="1"/>
  <c r="J904" i="433" s="1"/>
  <c r="I907" i="433"/>
  <c r="H907" i="433"/>
  <c r="H906" i="433" s="1"/>
  <c r="H905" i="433" s="1"/>
  <c r="H904" i="433" s="1"/>
  <c r="G907" i="433"/>
  <c r="G906" i="433" s="1"/>
  <c r="E907" i="433"/>
  <c r="D907" i="433"/>
  <c r="Y906" i="433"/>
  <c r="U906" i="433"/>
  <c r="T906" i="433"/>
  <c r="P906" i="433"/>
  <c r="M906" i="433"/>
  <c r="M905" i="433" s="1"/>
  <c r="M904" i="433" s="1"/>
  <c r="I906" i="433"/>
  <c r="I905" i="433" s="1"/>
  <c r="I904" i="433" s="1"/>
  <c r="E906" i="433"/>
  <c r="D906" i="433"/>
  <c r="Z905" i="433"/>
  <c r="Z904" i="433" s="1"/>
  <c r="E905" i="433"/>
  <c r="V904" i="433"/>
  <c r="E904" i="433"/>
  <c r="AA903" i="433"/>
  <c r="R903" i="433"/>
  <c r="AB903" i="433" s="1"/>
  <c r="E903" i="433"/>
  <c r="K903" i="433" s="1"/>
  <c r="AA902" i="433"/>
  <c r="R902" i="433"/>
  <c r="K902" i="433"/>
  <c r="E902" i="433"/>
  <c r="Z901" i="433"/>
  <c r="Z900" i="433" s="1"/>
  <c r="Z899" i="433" s="1"/>
  <c r="Y901" i="433"/>
  <c r="X901" i="433"/>
  <c r="X900" i="433" s="1"/>
  <c r="X899" i="433" s="1"/>
  <c r="W901" i="433"/>
  <c r="W900" i="433" s="1"/>
  <c r="W899" i="433" s="1"/>
  <c r="V901" i="433"/>
  <c r="U901" i="433"/>
  <c r="T901" i="433"/>
  <c r="T900" i="433" s="1"/>
  <c r="T899" i="433" s="1"/>
  <c r="S901" i="433"/>
  <c r="S900" i="433" s="1"/>
  <c r="Q901" i="433"/>
  <c r="Q900" i="433" s="1"/>
  <c r="Q899" i="433" s="1"/>
  <c r="P901" i="433"/>
  <c r="P900" i="433" s="1"/>
  <c r="P899" i="433" s="1"/>
  <c r="O901" i="433"/>
  <c r="O900" i="433" s="1"/>
  <c r="O899" i="433" s="1"/>
  <c r="N901" i="433"/>
  <c r="N900" i="433" s="1"/>
  <c r="N899" i="433" s="1"/>
  <c r="M901" i="433"/>
  <c r="L901" i="433"/>
  <c r="J901" i="433"/>
  <c r="J900" i="433" s="1"/>
  <c r="J899" i="433" s="1"/>
  <c r="I901" i="433"/>
  <c r="I900" i="433" s="1"/>
  <c r="I899" i="433" s="1"/>
  <c r="H901" i="433"/>
  <c r="H900" i="433" s="1"/>
  <c r="H899" i="433" s="1"/>
  <c r="G901" i="433"/>
  <c r="G900" i="433" s="1"/>
  <c r="F901" i="433"/>
  <c r="F900" i="433" s="1"/>
  <c r="F899" i="433" s="1"/>
  <c r="E901" i="433"/>
  <c r="D901" i="433"/>
  <c r="Y900" i="433"/>
  <c r="Y899" i="433" s="1"/>
  <c r="V900" i="433"/>
  <c r="V899" i="433" s="1"/>
  <c r="U900" i="433"/>
  <c r="U899" i="433" s="1"/>
  <c r="M900" i="433"/>
  <c r="M899" i="433" s="1"/>
  <c r="E900" i="433"/>
  <c r="S899" i="433"/>
  <c r="G899" i="433"/>
  <c r="E899" i="433"/>
  <c r="AA898" i="433"/>
  <c r="R898" i="433"/>
  <c r="AB898" i="433" s="1"/>
  <c r="K898" i="433"/>
  <c r="E898" i="433"/>
  <c r="AA897" i="433"/>
  <c r="AB897" i="433" s="1"/>
  <c r="R897" i="433"/>
  <c r="E897" i="433"/>
  <c r="K897" i="433" s="1"/>
  <c r="AA896" i="433"/>
  <c r="R896" i="433"/>
  <c r="AB896" i="433" s="1"/>
  <c r="AC896" i="433" s="1"/>
  <c r="K896" i="433"/>
  <c r="E896" i="433"/>
  <c r="Z895" i="433"/>
  <c r="Y895" i="433"/>
  <c r="Y891" i="433" s="1"/>
  <c r="Y890" i="433" s="1"/>
  <c r="X895" i="433"/>
  <c r="W895" i="433"/>
  <c r="V895" i="433"/>
  <c r="U895" i="433"/>
  <c r="T895" i="433"/>
  <c r="S895" i="433"/>
  <c r="Q895" i="433"/>
  <c r="P895" i="433"/>
  <c r="O895" i="433"/>
  <c r="N895" i="433"/>
  <c r="M895" i="433"/>
  <c r="L895" i="433"/>
  <c r="R895" i="433" s="1"/>
  <c r="J895" i="433"/>
  <c r="I895" i="433"/>
  <c r="H895" i="433"/>
  <c r="G895" i="433"/>
  <c r="K895" i="433" s="1"/>
  <c r="E895" i="433"/>
  <c r="D895" i="433"/>
  <c r="AA894" i="433"/>
  <c r="AB894" i="433" s="1"/>
  <c r="R894" i="433"/>
  <c r="K894" i="433"/>
  <c r="E894" i="433"/>
  <c r="AA893" i="433"/>
  <c r="R893" i="433"/>
  <c r="K893" i="433"/>
  <c r="E893" i="433"/>
  <c r="Z892" i="433"/>
  <c r="Y892" i="433"/>
  <c r="X892" i="433"/>
  <c r="W892" i="433"/>
  <c r="V892" i="433"/>
  <c r="V891" i="433" s="1"/>
  <c r="V890" i="433" s="1"/>
  <c r="U892" i="433"/>
  <c r="U891" i="433" s="1"/>
  <c r="U890" i="433" s="1"/>
  <c r="T892" i="433"/>
  <c r="S892" i="433"/>
  <c r="Q892" i="433"/>
  <c r="P892" i="433"/>
  <c r="O892" i="433"/>
  <c r="N892" i="433"/>
  <c r="N891" i="433" s="1"/>
  <c r="N890" i="433" s="1"/>
  <c r="M892" i="433"/>
  <c r="M891" i="433" s="1"/>
  <c r="M890" i="433" s="1"/>
  <c r="L892" i="433"/>
  <c r="J892" i="433"/>
  <c r="I892" i="433"/>
  <c r="I891" i="433" s="1"/>
  <c r="I890" i="433" s="1"/>
  <c r="H892" i="433"/>
  <c r="H891" i="433" s="1"/>
  <c r="H890" i="433" s="1"/>
  <c r="G892" i="433"/>
  <c r="E892" i="433"/>
  <c r="D892" i="433"/>
  <c r="Z891" i="433"/>
  <c r="Z890" i="433" s="1"/>
  <c r="Q891" i="433"/>
  <c r="Q890" i="433" s="1"/>
  <c r="J891" i="433"/>
  <c r="E891" i="433"/>
  <c r="J890" i="433"/>
  <c r="E890" i="433"/>
  <c r="E889" i="433"/>
  <c r="AA888" i="433"/>
  <c r="R888" i="433"/>
  <c r="K888" i="433"/>
  <c r="E888" i="433"/>
  <c r="Z887" i="433"/>
  <c r="Z884" i="433" s="1"/>
  <c r="Y887" i="433"/>
  <c r="X887" i="433"/>
  <c r="X884" i="433" s="1"/>
  <c r="W887" i="433"/>
  <c r="W884" i="433" s="1"/>
  <c r="V887" i="433"/>
  <c r="V884" i="433" s="1"/>
  <c r="U887" i="433"/>
  <c r="T887" i="433"/>
  <c r="T884" i="433" s="1"/>
  <c r="S887" i="433"/>
  <c r="S884" i="433" s="1"/>
  <c r="Q887" i="433"/>
  <c r="Q884" i="433" s="1"/>
  <c r="P887" i="433"/>
  <c r="P884" i="433" s="1"/>
  <c r="O887" i="433"/>
  <c r="O884" i="433" s="1"/>
  <c r="N887" i="433"/>
  <c r="N884" i="433" s="1"/>
  <c r="M887" i="433"/>
  <c r="L887" i="433"/>
  <c r="J887" i="433"/>
  <c r="J884" i="433" s="1"/>
  <c r="I887" i="433"/>
  <c r="H887" i="433"/>
  <c r="H884" i="433" s="1"/>
  <c r="G887" i="433"/>
  <c r="G884" i="433" s="1"/>
  <c r="E887" i="433"/>
  <c r="D887" i="433"/>
  <c r="AA886" i="433"/>
  <c r="R886" i="433"/>
  <c r="AB886" i="433" s="1"/>
  <c r="K886" i="433"/>
  <c r="E886" i="433"/>
  <c r="AA885" i="433"/>
  <c r="R885" i="433"/>
  <c r="AB885" i="433" s="1"/>
  <c r="AC885" i="433" s="1"/>
  <c r="K885" i="433"/>
  <c r="E885" i="433"/>
  <c r="Y884" i="433"/>
  <c r="U884" i="433"/>
  <c r="M884" i="433"/>
  <c r="L884" i="433"/>
  <c r="I884" i="433"/>
  <c r="E884" i="433"/>
  <c r="D884" i="433"/>
  <c r="K884" i="433" s="1"/>
  <c r="AA883" i="433"/>
  <c r="R883" i="433"/>
  <c r="K883" i="433"/>
  <c r="E883" i="433"/>
  <c r="Z882" i="433"/>
  <c r="Z879" i="433" s="1"/>
  <c r="Y882" i="433"/>
  <c r="X882" i="433"/>
  <c r="W882" i="433"/>
  <c r="W879" i="433" s="1"/>
  <c r="V882" i="433"/>
  <c r="V879" i="433" s="1"/>
  <c r="U882" i="433"/>
  <c r="T882" i="433"/>
  <c r="S882" i="433"/>
  <c r="S879" i="433" s="1"/>
  <c r="Q882" i="433"/>
  <c r="Q879" i="433" s="1"/>
  <c r="P882" i="433"/>
  <c r="P879" i="433" s="1"/>
  <c r="O882" i="433"/>
  <c r="O879" i="433" s="1"/>
  <c r="N882" i="433"/>
  <c r="N879" i="433" s="1"/>
  <c r="N873" i="433" s="1"/>
  <c r="N872" i="433" s="1"/>
  <c r="M882" i="433"/>
  <c r="M879" i="433" s="1"/>
  <c r="M873" i="433" s="1"/>
  <c r="M872" i="433" s="1"/>
  <c r="L882" i="433"/>
  <c r="J882" i="433"/>
  <c r="J879" i="433" s="1"/>
  <c r="I882" i="433"/>
  <c r="I879" i="433" s="1"/>
  <c r="H882" i="433"/>
  <c r="H879" i="433" s="1"/>
  <c r="G882" i="433"/>
  <c r="G879" i="433" s="1"/>
  <c r="E882" i="433"/>
  <c r="D882" i="433"/>
  <c r="D879" i="433" s="1"/>
  <c r="AB881" i="433"/>
  <c r="AA881" i="433"/>
  <c r="R881" i="433"/>
  <c r="K881" i="433"/>
  <c r="E881" i="433"/>
  <c r="AA880" i="433"/>
  <c r="R880" i="433"/>
  <c r="K880" i="433"/>
  <c r="E880" i="433"/>
  <c r="Y879" i="433"/>
  <c r="X879" i="433"/>
  <c r="U879" i="433"/>
  <c r="U873" i="433" s="1"/>
  <c r="U872" i="433" s="1"/>
  <c r="T879" i="433"/>
  <c r="E879" i="433"/>
  <c r="AA878" i="433"/>
  <c r="R878" i="433"/>
  <c r="K878" i="433"/>
  <c r="E878" i="433"/>
  <c r="Z877" i="433"/>
  <c r="Z874" i="433" s="1"/>
  <c r="Y877" i="433"/>
  <c r="X877" i="433"/>
  <c r="W877" i="433"/>
  <c r="W874" i="433" s="1"/>
  <c r="V877" i="433"/>
  <c r="V874" i="433" s="1"/>
  <c r="U877" i="433"/>
  <c r="U874" i="433" s="1"/>
  <c r="T877" i="433"/>
  <c r="S877" i="433"/>
  <c r="S874" i="433" s="1"/>
  <c r="Q877" i="433"/>
  <c r="P877" i="433"/>
  <c r="P874" i="433" s="1"/>
  <c r="O877" i="433"/>
  <c r="O874" i="433" s="1"/>
  <c r="O873" i="433" s="1"/>
  <c r="N877" i="433"/>
  <c r="N874" i="433" s="1"/>
  <c r="M877" i="433"/>
  <c r="M874" i="433" s="1"/>
  <c r="L877" i="433"/>
  <c r="J877" i="433"/>
  <c r="J874" i="433" s="1"/>
  <c r="J873" i="433" s="1"/>
  <c r="J872" i="433" s="1"/>
  <c r="I877" i="433"/>
  <c r="H877" i="433"/>
  <c r="H874" i="433" s="1"/>
  <c r="G877" i="433"/>
  <c r="G874" i="433" s="1"/>
  <c r="E877" i="433"/>
  <c r="D877" i="433"/>
  <c r="AA876" i="433"/>
  <c r="R876" i="433"/>
  <c r="AB876" i="433" s="1"/>
  <c r="K876" i="433"/>
  <c r="E876" i="433"/>
  <c r="AA875" i="433"/>
  <c r="R875" i="433"/>
  <c r="AB875" i="433" s="1"/>
  <c r="AC875" i="433" s="1"/>
  <c r="K875" i="433"/>
  <c r="E875" i="433"/>
  <c r="Y874" i="433"/>
  <c r="X874" i="433"/>
  <c r="X873" i="433" s="1"/>
  <c r="X872" i="433" s="1"/>
  <c r="T874" i="433"/>
  <c r="Q874" i="433"/>
  <c r="I874" i="433"/>
  <c r="E874" i="433"/>
  <c r="D874" i="433"/>
  <c r="K874" i="433" s="1"/>
  <c r="E873" i="433"/>
  <c r="O872" i="433"/>
  <c r="E872" i="433"/>
  <c r="AA871" i="433"/>
  <c r="R871" i="433"/>
  <c r="E871" i="433"/>
  <c r="K871" i="433" s="1"/>
  <c r="Z870" i="433"/>
  <c r="Y870" i="433"/>
  <c r="Y869" i="433" s="1"/>
  <c r="Y868" i="433" s="1"/>
  <c r="X870" i="433"/>
  <c r="X869" i="433" s="1"/>
  <c r="X868" i="433" s="1"/>
  <c r="W870" i="433"/>
  <c r="W869" i="433" s="1"/>
  <c r="W868" i="433" s="1"/>
  <c r="V870" i="433"/>
  <c r="V869" i="433" s="1"/>
  <c r="V868" i="433" s="1"/>
  <c r="U870" i="433"/>
  <c r="U869" i="433" s="1"/>
  <c r="U868" i="433" s="1"/>
  <c r="T870" i="433"/>
  <c r="T869" i="433" s="1"/>
  <c r="T868" i="433" s="1"/>
  <c r="S870" i="433"/>
  <c r="S869" i="433" s="1"/>
  <c r="Q870" i="433"/>
  <c r="Q869" i="433" s="1"/>
  <c r="Q868" i="433" s="1"/>
  <c r="P870" i="433"/>
  <c r="P869" i="433" s="1"/>
  <c r="P868" i="433" s="1"/>
  <c r="O870" i="433"/>
  <c r="O869" i="433" s="1"/>
  <c r="O868" i="433" s="1"/>
  <c r="N870" i="433"/>
  <c r="M870" i="433"/>
  <c r="L870" i="433"/>
  <c r="J870" i="433"/>
  <c r="J869" i="433" s="1"/>
  <c r="I870" i="433"/>
  <c r="H870" i="433"/>
  <c r="H869" i="433" s="1"/>
  <c r="H868" i="433" s="1"/>
  <c r="G870" i="433"/>
  <c r="G869" i="433" s="1"/>
  <c r="G868" i="433" s="1"/>
  <c r="F870" i="433"/>
  <c r="E870" i="433"/>
  <c r="D870" i="433"/>
  <c r="D869" i="433" s="1"/>
  <c r="Z869" i="433"/>
  <c r="Z868" i="433" s="1"/>
  <c r="N869" i="433"/>
  <c r="N868" i="433" s="1"/>
  <c r="M869" i="433"/>
  <c r="M868" i="433" s="1"/>
  <c r="I869" i="433"/>
  <c r="I868" i="433" s="1"/>
  <c r="F869" i="433"/>
  <c r="F868" i="433" s="1"/>
  <c r="F835" i="433" s="1"/>
  <c r="E869" i="433"/>
  <c r="J868" i="433"/>
  <c r="E868" i="433"/>
  <c r="AA867" i="433"/>
  <c r="S867" i="433"/>
  <c r="Q867" i="433"/>
  <c r="P867" i="433"/>
  <c r="O867" i="433"/>
  <c r="N867" i="433"/>
  <c r="M867" i="433"/>
  <c r="L867" i="433"/>
  <c r="K867" i="433"/>
  <c r="E867" i="433"/>
  <c r="AA866" i="433"/>
  <c r="S866" i="433"/>
  <c r="Q866" i="433"/>
  <c r="Q861" i="433" s="1"/>
  <c r="P866" i="433"/>
  <c r="O866" i="433"/>
  <c r="N866" i="433"/>
  <c r="R866" i="433" s="1"/>
  <c r="AB866" i="433" s="1"/>
  <c r="AC866" i="433" s="1"/>
  <c r="M866" i="433"/>
  <c r="L866" i="433"/>
  <c r="E866" i="433"/>
  <c r="K866" i="433" s="1"/>
  <c r="S865" i="433"/>
  <c r="Q865" i="433"/>
  <c r="P865" i="433"/>
  <c r="O865" i="433"/>
  <c r="O861" i="433" s="1"/>
  <c r="O860" i="433" s="1"/>
  <c r="O859" i="433" s="1"/>
  <c r="N865" i="433"/>
  <c r="M865" i="433"/>
  <c r="L865" i="433"/>
  <c r="K865" i="433"/>
  <c r="E865" i="433"/>
  <c r="AA864" i="433"/>
  <c r="R864" i="433"/>
  <c r="K864" i="433"/>
  <c r="E864" i="433"/>
  <c r="AB863" i="433"/>
  <c r="AA863" i="433"/>
  <c r="R863" i="433"/>
  <c r="E863" i="433"/>
  <c r="K863" i="433" s="1"/>
  <c r="AA862" i="433"/>
  <c r="R862" i="433"/>
  <c r="K862" i="433"/>
  <c r="E862" i="433"/>
  <c r="Z861" i="433"/>
  <c r="Y861" i="433"/>
  <c r="Y860" i="433" s="1"/>
  <c r="Y859" i="433" s="1"/>
  <c r="X861" i="433"/>
  <c r="X860" i="433" s="1"/>
  <c r="X859" i="433" s="1"/>
  <c r="W861" i="433"/>
  <c r="W860" i="433" s="1"/>
  <c r="W859" i="433" s="1"/>
  <c r="V861" i="433"/>
  <c r="V860" i="433" s="1"/>
  <c r="U861" i="433"/>
  <c r="U860" i="433" s="1"/>
  <c r="U859" i="433" s="1"/>
  <c r="T861" i="433"/>
  <c r="T860" i="433" s="1"/>
  <c r="T859" i="433" s="1"/>
  <c r="P861" i="433"/>
  <c r="M861" i="433"/>
  <c r="M860" i="433" s="1"/>
  <c r="M859" i="433" s="1"/>
  <c r="L861" i="433"/>
  <c r="J861" i="433"/>
  <c r="I861" i="433"/>
  <c r="I860" i="433" s="1"/>
  <c r="I859" i="433" s="1"/>
  <c r="H861" i="433"/>
  <c r="H860" i="433" s="1"/>
  <c r="H859" i="433" s="1"/>
  <c r="G861" i="433"/>
  <c r="G860" i="433" s="1"/>
  <c r="G859" i="433" s="1"/>
  <c r="E861" i="433"/>
  <c r="D861" i="433"/>
  <c r="D860" i="433" s="1"/>
  <c r="Z860" i="433"/>
  <c r="Z859" i="433" s="1"/>
  <c r="J860" i="433"/>
  <c r="J859" i="433" s="1"/>
  <c r="E860" i="433"/>
  <c r="V859" i="433"/>
  <c r="E859" i="433"/>
  <c r="AA858" i="433"/>
  <c r="R858" i="433"/>
  <c r="AB858" i="433" s="1"/>
  <c r="AC858" i="433" s="1"/>
  <c r="E858" i="433"/>
  <c r="K858" i="433" s="1"/>
  <c r="Z857" i="433"/>
  <c r="Y857" i="433"/>
  <c r="X857" i="433"/>
  <c r="W857" i="433"/>
  <c r="V857" i="433"/>
  <c r="U857" i="433"/>
  <c r="T857" i="433"/>
  <c r="S857" i="433"/>
  <c r="Q857" i="433"/>
  <c r="P857" i="433"/>
  <c r="O857" i="433"/>
  <c r="N857" i="433"/>
  <c r="M857" i="433"/>
  <c r="L857" i="433"/>
  <c r="J857" i="433"/>
  <c r="I857" i="433"/>
  <c r="H857" i="433"/>
  <c r="G857" i="433"/>
  <c r="F857" i="433"/>
  <c r="E857" i="433"/>
  <c r="D857" i="433"/>
  <c r="AA856" i="433"/>
  <c r="R856" i="433"/>
  <c r="E856" i="433"/>
  <c r="K856" i="433" s="1"/>
  <c r="AA855" i="433"/>
  <c r="R855" i="433"/>
  <c r="AB855" i="433" s="1"/>
  <c r="E855" i="433"/>
  <c r="K855" i="433" s="1"/>
  <c r="AA854" i="433"/>
  <c r="R854" i="433"/>
  <c r="K854" i="433"/>
  <c r="E854" i="433"/>
  <c r="Z853" i="433"/>
  <c r="Z852" i="433" s="1"/>
  <c r="Y853" i="433"/>
  <c r="Y852" i="433" s="1"/>
  <c r="X853" i="433"/>
  <c r="X852" i="433" s="1"/>
  <c r="W853" i="433"/>
  <c r="W852" i="433" s="1"/>
  <c r="W843" i="433" s="1"/>
  <c r="V853" i="433"/>
  <c r="U853" i="433"/>
  <c r="U852" i="433" s="1"/>
  <c r="T853" i="433"/>
  <c r="T852" i="433" s="1"/>
  <c r="S853" i="433"/>
  <c r="S852" i="433" s="1"/>
  <c r="S843" i="433" s="1"/>
  <c r="Q853" i="433"/>
  <c r="Q852" i="433" s="1"/>
  <c r="P853" i="433"/>
  <c r="P852" i="433" s="1"/>
  <c r="O853" i="433"/>
  <c r="O852" i="433" s="1"/>
  <c r="N853" i="433"/>
  <c r="N852" i="433" s="1"/>
  <c r="M853" i="433"/>
  <c r="M852" i="433" s="1"/>
  <c r="L853" i="433"/>
  <c r="J853" i="433"/>
  <c r="J852" i="433" s="1"/>
  <c r="I853" i="433"/>
  <c r="I852" i="433" s="1"/>
  <c r="H853" i="433"/>
  <c r="H852" i="433" s="1"/>
  <c r="G853" i="433"/>
  <c r="F853" i="433"/>
  <c r="F852" i="433" s="1"/>
  <c r="E853" i="433"/>
  <c r="D853" i="433"/>
  <c r="V852" i="433"/>
  <c r="G852" i="433"/>
  <c r="E852" i="433"/>
  <c r="AB851" i="433"/>
  <c r="AA851" i="433"/>
  <c r="R851" i="433"/>
  <c r="E851" i="433"/>
  <c r="K851" i="433" s="1"/>
  <c r="AA850" i="433"/>
  <c r="R850" i="433"/>
  <c r="K850" i="433"/>
  <c r="E850" i="433"/>
  <c r="AA849" i="433"/>
  <c r="R849" i="433"/>
  <c r="AB849" i="433" s="1"/>
  <c r="E849" i="433"/>
  <c r="K849" i="433" s="1"/>
  <c r="Z848" i="433"/>
  <c r="Y848" i="433"/>
  <c r="X848" i="433"/>
  <c r="W848" i="433"/>
  <c r="V848" i="433"/>
  <c r="U848" i="433"/>
  <c r="T848" i="433"/>
  <c r="S848" i="433"/>
  <c r="Q848" i="433"/>
  <c r="P848" i="433"/>
  <c r="O848" i="433"/>
  <c r="N848" i="433"/>
  <c r="M848" i="433"/>
  <c r="L848" i="433"/>
  <c r="J848" i="433"/>
  <c r="I848" i="433"/>
  <c r="H848" i="433"/>
  <c r="G848" i="433"/>
  <c r="F848" i="433"/>
  <c r="E848" i="433"/>
  <c r="D848" i="433"/>
  <c r="AA847" i="433"/>
  <c r="R847" i="433"/>
  <c r="E847" i="433"/>
  <c r="K847" i="433" s="1"/>
  <c r="AA846" i="433"/>
  <c r="R846" i="433"/>
  <c r="K846" i="433"/>
  <c r="E846" i="433"/>
  <c r="AB845" i="433"/>
  <c r="AA845" i="433"/>
  <c r="R845" i="433"/>
  <c r="E845" i="433"/>
  <c r="K845" i="433" s="1"/>
  <c r="Z844" i="433"/>
  <c r="Y844" i="433"/>
  <c r="Y843" i="433" s="1"/>
  <c r="Y842" i="433" s="1"/>
  <c r="X844" i="433"/>
  <c r="W844" i="433"/>
  <c r="V844" i="433"/>
  <c r="U844" i="433"/>
  <c r="U843" i="433" s="1"/>
  <c r="U842" i="433" s="1"/>
  <c r="T844" i="433"/>
  <c r="S844" i="433"/>
  <c r="Q844" i="433"/>
  <c r="Q843" i="433" s="1"/>
  <c r="P844" i="433"/>
  <c r="P843" i="433" s="1"/>
  <c r="O844" i="433"/>
  <c r="N844" i="433"/>
  <c r="M844" i="433"/>
  <c r="L844" i="433"/>
  <c r="J844" i="433"/>
  <c r="I844" i="433"/>
  <c r="H844" i="433"/>
  <c r="H843" i="433" s="1"/>
  <c r="H842" i="433" s="1"/>
  <c r="H835" i="433" s="1"/>
  <c r="G844" i="433"/>
  <c r="G843" i="433" s="1"/>
  <c r="E844" i="433"/>
  <c r="D844" i="433"/>
  <c r="E843" i="433"/>
  <c r="E842" i="433"/>
  <c r="AA841" i="433"/>
  <c r="R841" i="433"/>
  <c r="K841" i="433"/>
  <c r="E841" i="433"/>
  <c r="AB840" i="433"/>
  <c r="AC840" i="433" s="1"/>
  <c r="AA840" i="433"/>
  <c r="R840" i="433"/>
  <c r="E840" i="433"/>
  <c r="K840" i="433" s="1"/>
  <c r="AA839" i="433"/>
  <c r="R839" i="433"/>
  <c r="K839" i="433"/>
  <c r="E839" i="433"/>
  <c r="AA838" i="433"/>
  <c r="R838" i="433"/>
  <c r="AB838" i="433" s="1"/>
  <c r="E838" i="433"/>
  <c r="K838" i="433" s="1"/>
  <c r="Z837" i="433"/>
  <c r="Z836" i="433" s="1"/>
  <c r="Y837" i="433"/>
  <c r="Y836" i="433" s="1"/>
  <c r="X837" i="433"/>
  <c r="X836" i="433" s="1"/>
  <c r="W837" i="433"/>
  <c r="W836" i="433" s="1"/>
  <c r="V837" i="433"/>
  <c r="V836" i="433" s="1"/>
  <c r="U837" i="433"/>
  <c r="U836" i="433" s="1"/>
  <c r="T837" i="433"/>
  <c r="S837" i="433"/>
  <c r="Q837" i="433"/>
  <c r="Q836" i="433" s="1"/>
  <c r="P837" i="433"/>
  <c r="O837" i="433"/>
  <c r="N837" i="433"/>
  <c r="N836" i="433" s="1"/>
  <c r="M837" i="433"/>
  <c r="M836" i="433" s="1"/>
  <c r="L837" i="433"/>
  <c r="J837" i="433"/>
  <c r="J836" i="433" s="1"/>
  <c r="I837" i="433"/>
  <c r="I836" i="433" s="1"/>
  <c r="H837" i="433"/>
  <c r="G837" i="433"/>
  <c r="F837" i="433"/>
  <c r="E837" i="433"/>
  <c r="D837" i="433"/>
  <c r="T836" i="433"/>
  <c r="P836" i="433"/>
  <c r="O836" i="433"/>
  <c r="L836" i="433"/>
  <c r="H836" i="433"/>
  <c r="G836" i="433"/>
  <c r="E836" i="433"/>
  <c r="E835" i="433"/>
  <c r="AA834" i="433"/>
  <c r="R834" i="433"/>
  <c r="K834" i="433"/>
  <c r="E834" i="433"/>
  <c r="Z833" i="433"/>
  <c r="Y833" i="433"/>
  <c r="Y832" i="433" s="1"/>
  <c r="Y831" i="433" s="1"/>
  <c r="X833" i="433"/>
  <c r="X832" i="433" s="1"/>
  <c r="X831" i="433" s="1"/>
  <c r="W833" i="433"/>
  <c r="W832" i="433" s="1"/>
  <c r="W831" i="433" s="1"/>
  <c r="V833" i="433"/>
  <c r="U833" i="433"/>
  <c r="T833" i="433"/>
  <c r="T832" i="433" s="1"/>
  <c r="T831" i="433" s="1"/>
  <c r="S833" i="433"/>
  <c r="Q833" i="433"/>
  <c r="Q832" i="433" s="1"/>
  <c r="Q831" i="433" s="1"/>
  <c r="P833" i="433"/>
  <c r="P832" i="433" s="1"/>
  <c r="P831" i="433" s="1"/>
  <c r="O833" i="433"/>
  <c r="O832" i="433" s="1"/>
  <c r="O831" i="433" s="1"/>
  <c r="N833" i="433"/>
  <c r="M833" i="433"/>
  <c r="M832" i="433" s="1"/>
  <c r="M831" i="433" s="1"/>
  <c r="L833" i="433"/>
  <c r="J833" i="433"/>
  <c r="J832" i="433" s="1"/>
  <c r="J831" i="433" s="1"/>
  <c r="I833" i="433"/>
  <c r="I832" i="433" s="1"/>
  <c r="I831" i="433" s="1"/>
  <c r="H833" i="433"/>
  <c r="H832" i="433" s="1"/>
  <c r="H831" i="433" s="1"/>
  <c r="G833" i="433"/>
  <c r="G832" i="433" s="1"/>
  <c r="E833" i="433"/>
  <c r="D833" i="433"/>
  <c r="Z832" i="433"/>
  <c r="Z831" i="433" s="1"/>
  <c r="V832" i="433"/>
  <c r="U832" i="433"/>
  <c r="U831" i="433" s="1"/>
  <c r="N832" i="433"/>
  <c r="N831" i="433" s="1"/>
  <c r="E832" i="433"/>
  <c r="D832" i="433"/>
  <c r="V831" i="433"/>
  <c r="G831" i="433"/>
  <c r="E831" i="433"/>
  <c r="AA830" i="433"/>
  <c r="R830" i="433"/>
  <c r="E830" i="433"/>
  <c r="K830" i="433" s="1"/>
  <c r="AB829" i="433"/>
  <c r="AA829" i="433"/>
  <c r="R829" i="433"/>
  <c r="E829" i="433"/>
  <c r="K829" i="433" s="1"/>
  <c r="AB828" i="433"/>
  <c r="AA828" i="433"/>
  <c r="R828" i="433"/>
  <c r="E828" i="433"/>
  <c r="K828" i="433" s="1"/>
  <c r="AA827" i="433"/>
  <c r="R827" i="433"/>
  <c r="K827" i="433"/>
  <c r="E827" i="433"/>
  <c r="Z826" i="433"/>
  <c r="Z825" i="433" s="1"/>
  <c r="Y826" i="433"/>
  <c r="X826" i="433"/>
  <c r="W826" i="433"/>
  <c r="W825" i="433" s="1"/>
  <c r="V826" i="433"/>
  <c r="V825" i="433" s="1"/>
  <c r="U826" i="433"/>
  <c r="T826" i="433"/>
  <c r="S826" i="433"/>
  <c r="S825" i="433" s="1"/>
  <c r="Q826" i="433"/>
  <c r="P826" i="433"/>
  <c r="O826" i="433"/>
  <c r="O825" i="433" s="1"/>
  <c r="N826" i="433"/>
  <c r="N825" i="433" s="1"/>
  <c r="M826" i="433"/>
  <c r="M825" i="433" s="1"/>
  <c r="L826" i="433"/>
  <c r="J826" i="433"/>
  <c r="J825" i="433" s="1"/>
  <c r="I826" i="433"/>
  <c r="H826" i="433"/>
  <c r="H825" i="433" s="1"/>
  <c r="G826" i="433"/>
  <c r="E826" i="433"/>
  <c r="D826" i="433"/>
  <c r="Y825" i="433"/>
  <c r="X825" i="433"/>
  <c r="U825" i="433"/>
  <c r="T825" i="433"/>
  <c r="Q825" i="433"/>
  <c r="P825" i="433"/>
  <c r="L825" i="433"/>
  <c r="I825" i="433"/>
  <c r="G825" i="433"/>
  <c r="E825" i="433"/>
  <c r="D825" i="433"/>
  <c r="E824" i="433"/>
  <c r="AA823" i="433"/>
  <c r="R823" i="433"/>
  <c r="E823" i="433"/>
  <c r="K823" i="433" s="1"/>
  <c r="Z822" i="433"/>
  <c r="Y822" i="433"/>
  <c r="X822" i="433"/>
  <c r="W822" i="433"/>
  <c r="V822" i="433"/>
  <c r="U822" i="433"/>
  <c r="T822" i="433"/>
  <c r="S822" i="433"/>
  <c r="Q822" i="433"/>
  <c r="P822" i="433"/>
  <c r="O822" i="433"/>
  <c r="O819" i="433" s="1"/>
  <c r="O818" i="433" s="1"/>
  <c r="N822" i="433"/>
  <c r="N819" i="433" s="1"/>
  <c r="N818" i="433" s="1"/>
  <c r="M822" i="433"/>
  <c r="L822" i="433"/>
  <c r="J822" i="433"/>
  <c r="J819" i="433" s="1"/>
  <c r="J818" i="433" s="1"/>
  <c r="I822" i="433"/>
  <c r="I819" i="433" s="1"/>
  <c r="I818" i="433" s="1"/>
  <c r="H822" i="433"/>
  <c r="G822" i="433"/>
  <c r="E822" i="433"/>
  <c r="D822" i="433"/>
  <c r="AA821" i="433"/>
  <c r="R821" i="433"/>
  <c r="E821" i="433"/>
  <c r="K821" i="433" s="1"/>
  <c r="Z820" i="433"/>
  <c r="Y820" i="433"/>
  <c r="X820" i="433"/>
  <c r="W820" i="433"/>
  <c r="V820" i="433"/>
  <c r="U820" i="433"/>
  <c r="U819" i="433" s="1"/>
  <c r="U818" i="433" s="1"/>
  <c r="T820" i="433"/>
  <c r="S820" i="433"/>
  <c r="Q820" i="433"/>
  <c r="Q819" i="433" s="1"/>
  <c r="Q818" i="433" s="1"/>
  <c r="P820" i="433"/>
  <c r="P819" i="433" s="1"/>
  <c r="P818" i="433" s="1"/>
  <c r="O820" i="433"/>
  <c r="N820" i="433"/>
  <c r="M820" i="433"/>
  <c r="M819" i="433" s="1"/>
  <c r="M818" i="433" s="1"/>
  <c r="L820" i="433"/>
  <c r="J820" i="433"/>
  <c r="I820" i="433"/>
  <c r="H820" i="433"/>
  <c r="H819" i="433" s="1"/>
  <c r="H818" i="433" s="1"/>
  <c r="G820" i="433"/>
  <c r="G819" i="433" s="1"/>
  <c r="G818" i="433" s="1"/>
  <c r="E820" i="433"/>
  <c r="D820" i="433"/>
  <c r="Y819" i="433"/>
  <c r="Y818" i="433" s="1"/>
  <c r="E819" i="433"/>
  <c r="E818" i="433"/>
  <c r="AA817" i="433"/>
  <c r="R817" i="433"/>
  <c r="E817" i="433"/>
  <c r="K817" i="433" s="1"/>
  <c r="Z816" i="433"/>
  <c r="Z813" i="433" s="1"/>
  <c r="Y816" i="433"/>
  <c r="Y813" i="433" s="1"/>
  <c r="X816" i="433"/>
  <c r="X813" i="433" s="1"/>
  <c r="X807" i="433" s="1"/>
  <c r="W816" i="433"/>
  <c r="W813" i="433" s="1"/>
  <c r="V816" i="433"/>
  <c r="V813" i="433" s="1"/>
  <c r="U816" i="433"/>
  <c r="U813" i="433" s="1"/>
  <c r="T816" i="433"/>
  <c r="S816" i="433"/>
  <c r="Q816" i="433"/>
  <c r="Q813" i="433" s="1"/>
  <c r="P816" i="433"/>
  <c r="O816" i="433"/>
  <c r="O813" i="433" s="1"/>
  <c r="N816" i="433"/>
  <c r="M816" i="433"/>
  <c r="M813" i="433" s="1"/>
  <c r="L816" i="433"/>
  <c r="J816" i="433"/>
  <c r="J813" i="433" s="1"/>
  <c r="I816" i="433"/>
  <c r="I813" i="433" s="1"/>
  <c r="H816" i="433"/>
  <c r="G816" i="433"/>
  <c r="E816" i="433"/>
  <c r="D816" i="433"/>
  <c r="AA815" i="433"/>
  <c r="R815" i="433"/>
  <c r="E815" i="433"/>
  <c r="K815" i="433" s="1"/>
  <c r="AB814" i="433"/>
  <c r="AA814" i="433"/>
  <c r="R814" i="433"/>
  <c r="K814" i="433"/>
  <c r="AC814" i="433" s="1"/>
  <c r="E814" i="433"/>
  <c r="T813" i="433"/>
  <c r="T807" i="433" s="1"/>
  <c r="S813" i="433"/>
  <c r="AA813" i="433" s="1"/>
  <c r="P813" i="433"/>
  <c r="N813" i="433"/>
  <c r="L813" i="433"/>
  <c r="H813" i="433"/>
  <c r="G813" i="433"/>
  <c r="E813" i="433"/>
  <c r="AA812" i="433"/>
  <c r="AB812" i="433" s="1"/>
  <c r="R812" i="433"/>
  <c r="E812" i="433"/>
  <c r="K812" i="433" s="1"/>
  <c r="Z811" i="433"/>
  <c r="Z808" i="433" s="1"/>
  <c r="Z807" i="433" s="1"/>
  <c r="Y811" i="433"/>
  <c r="Y808" i="433" s="1"/>
  <c r="Y807" i="433" s="1"/>
  <c r="X811" i="433"/>
  <c r="W811" i="433"/>
  <c r="W808" i="433" s="1"/>
  <c r="W807" i="433" s="1"/>
  <c r="V811" i="433"/>
  <c r="V808" i="433" s="1"/>
  <c r="V807" i="433" s="1"/>
  <c r="U811" i="433"/>
  <c r="U808" i="433" s="1"/>
  <c r="U807" i="433" s="1"/>
  <c r="T811" i="433"/>
  <c r="S811" i="433"/>
  <c r="Q811" i="433"/>
  <c r="Q808" i="433" s="1"/>
  <c r="Q807" i="433" s="1"/>
  <c r="P811" i="433"/>
  <c r="O811" i="433"/>
  <c r="N811" i="433"/>
  <c r="M811" i="433"/>
  <c r="M808" i="433" s="1"/>
  <c r="M807" i="433" s="1"/>
  <c r="L811" i="433"/>
  <c r="J811" i="433"/>
  <c r="I811" i="433"/>
  <c r="I808" i="433" s="1"/>
  <c r="I807" i="433" s="1"/>
  <c r="H811" i="433"/>
  <c r="H808" i="433" s="1"/>
  <c r="H807" i="433" s="1"/>
  <c r="G811" i="433"/>
  <c r="G808" i="433" s="1"/>
  <c r="G807" i="433" s="1"/>
  <c r="E811" i="433"/>
  <c r="D811" i="433"/>
  <c r="AA810" i="433"/>
  <c r="R810" i="433"/>
  <c r="E810" i="433"/>
  <c r="K810" i="433" s="1"/>
  <c r="AB809" i="433"/>
  <c r="AA809" i="433"/>
  <c r="R809" i="433"/>
  <c r="K809" i="433"/>
  <c r="E809" i="433"/>
  <c r="X808" i="433"/>
  <c r="T808" i="433"/>
  <c r="S808" i="433"/>
  <c r="S807" i="433" s="1"/>
  <c r="AA807" i="433" s="1"/>
  <c r="P808" i="433"/>
  <c r="O808" i="433"/>
  <c r="L808" i="433"/>
  <c r="L807" i="433" s="1"/>
  <c r="J808" i="433"/>
  <c r="J807" i="433" s="1"/>
  <c r="E808" i="433"/>
  <c r="P807" i="433"/>
  <c r="E807" i="433"/>
  <c r="AA806" i="433"/>
  <c r="R806" i="433"/>
  <c r="AB806" i="433" s="1"/>
  <c r="K806" i="433"/>
  <c r="E806" i="433"/>
  <c r="Z805" i="433"/>
  <c r="Z802" i="433" s="1"/>
  <c r="Y805" i="433"/>
  <c r="Y802" i="433" s="1"/>
  <c r="Y796" i="433" s="1"/>
  <c r="X805" i="433"/>
  <c r="X802" i="433" s="1"/>
  <c r="W805" i="433"/>
  <c r="V805" i="433"/>
  <c r="V802" i="433" s="1"/>
  <c r="U805" i="433"/>
  <c r="U802" i="433" s="1"/>
  <c r="T805" i="433"/>
  <c r="T802" i="433" s="1"/>
  <c r="T796" i="433" s="1"/>
  <c r="S805" i="433"/>
  <c r="S802" i="433" s="1"/>
  <c r="Q805" i="433"/>
  <c r="P805" i="433"/>
  <c r="P802" i="433" s="1"/>
  <c r="O805" i="433"/>
  <c r="O802" i="433" s="1"/>
  <c r="N805" i="433"/>
  <c r="N802" i="433" s="1"/>
  <c r="M805" i="433"/>
  <c r="L805" i="433"/>
  <c r="L802" i="433" s="1"/>
  <c r="L796" i="433" s="1"/>
  <c r="J805" i="433"/>
  <c r="J802" i="433" s="1"/>
  <c r="I805" i="433"/>
  <c r="H805" i="433"/>
  <c r="G805" i="433"/>
  <c r="G802" i="433" s="1"/>
  <c r="E805" i="433"/>
  <c r="D805" i="433"/>
  <c r="AA804" i="433"/>
  <c r="R804" i="433"/>
  <c r="E804" i="433"/>
  <c r="K804" i="433" s="1"/>
  <c r="AA803" i="433"/>
  <c r="R803" i="433"/>
  <c r="K803" i="433"/>
  <c r="E803" i="433"/>
  <c r="W802" i="433"/>
  <c r="Q802" i="433"/>
  <c r="M802" i="433"/>
  <c r="I802" i="433"/>
  <c r="H802" i="433"/>
  <c r="E802" i="433"/>
  <c r="D802" i="433"/>
  <c r="K802" i="433" s="1"/>
  <c r="AA801" i="433"/>
  <c r="R801" i="433"/>
  <c r="AB801" i="433" s="1"/>
  <c r="E801" i="433"/>
  <c r="K801" i="433" s="1"/>
  <c r="Z800" i="433"/>
  <c r="Z797" i="433" s="1"/>
  <c r="Z796" i="433" s="1"/>
  <c r="Y800" i="433"/>
  <c r="X800" i="433"/>
  <c r="X797" i="433" s="1"/>
  <c r="W800" i="433"/>
  <c r="W797" i="433" s="1"/>
  <c r="V800" i="433"/>
  <c r="V797" i="433" s="1"/>
  <c r="V796" i="433" s="1"/>
  <c r="U800" i="433"/>
  <c r="T800" i="433"/>
  <c r="T797" i="433" s="1"/>
  <c r="S800" i="433"/>
  <c r="S797" i="433" s="1"/>
  <c r="Q800" i="433"/>
  <c r="Q797" i="433" s="1"/>
  <c r="Q796" i="433" s="1"/>
  <c r="P800" i="433"/>
  <c r="O800" i="433"/>
  <c r="O797" i="433" s="1"/>
  <c r="N800" i="433"/>
  <c r="N797" i="433" s="1"/>
  <c r="N796" i="433" s="1"/>
  <c r="M800" i="433"/>
  <c r="L800" i="433"/>
  <c r="J800" i="433"/>
  <c r="J797" i="433" s="1"/>
  <c r="I800" i="433"/>
  <c r="I797" i="433" s="1"/>
  <c r="I796" i="433" s="1"/>
  <c r="H800" i="433"/>
  <c r="G800" i="433"/>
  <c r="E800" i="433"/>
  <c r="D800" i="433"/>
  <c r="D797" i="433" s="1"/>
  <c r="K797" i="433" s="1"/>
  <c r="AA799" i="433"/>
  <c r="AB799" i="433" s="1"/>
  <c r="R799" i="433"/>
  <c r="E799" i="433"/>
  <c r="K799" i="433" s="1"/>
  <c r="AA798" i="433"/>
  <c r="R798" i="433"/>
  <c r="K798" i="433"/>
  <c r="E798" i="433"/>
  <c r="Y797" i="433"/>
  <c r="U797" i="433"/>
  <c r="P797" i="433"/>
  <c r="M797" i="433"/>
  <c r="M796" i="433" s="1"/>
  <c r="M789" i="433" s="1"/>
  <c r="L797" i="433"/>
  <c r="H797" i="433"/>
  <c r="H796" i="433" s="1"/>
  <c r="H789" i="433" s="1"/>
  <c r="G797" i="433"/>
  <c r="E797" i="433"/>
  <c r="E796" i="433"/>
  <c r="AA795" i="433"/>
  <c r="R795" i="433"/>
  <c r="K795" i="433"/>
  <c r="E795" i="433"/>
  <c r="Z794" i="433"/>
  <c r="Y794" i="433"/>
  <c r="Y791" i="433" s="1"/>
  <c r="Y790" i="433" s="1"/>
  <c r="X794" i="433"/>
  <c r="X791" i="433" s="1"/>
  <c r="X790" i="433" s="1"/>
  <c r="W794" i="433"/>
  <c r="V794" i="433"/>
  <c r="U794" i="433"/>
  <c r="U791" i="433" s="1"/>
  <c r="U790" i="433" s="1"/>
  <c r="T794" i="433"/>
  <c r="T791" i="433" s="1"/>
  <c r="S794" i="433"/>
  <c r="S791" i="433" s="1"/>
  <c r="Q794" i="433"/>
  <c r="P794" i="433"/>
  <c r="P791" i="433" s="1"/>
  <c r="P790" i="433" s="1"/>
  <c r="O794" i="433"/>
  <c r="N794" i="433"/>
  <c r="M794" i="433"/>
  <c r="L794" i="433"/>
  <c r="J794" i="433"/>
  <c r="J791" i="433" s="1"/>
  <c r="J790" i="433" s="1"/>
  <c r="I794" i="433"/>
  <c r="I791" i="433" s="1"/>
  <c r="I790" i="433" s="1"/>
  <c r="H794" i="433"/>
  <c r="H791" i="433" s="1"/>
  <c r="H790" i="433" s="1"/>
  <c r="G794" i="433"/>
  <c r="E794" i="433"/>
  <c r="D794" i="433"/>
  <c r="AA793" i="433"/>
  <c r="R793" i="433"/>
  <c r="AB793" i="433" s="1"/>
  <c r="K793" i="433"/>
  <c r="AC793" i="433" s="1"/>
  <c r="E793" i="433"/>
  <c r="AA792" i="433"/>
  <c r="R792" i="433"/>
  <c r="AB792" i="433" s="1"/>
  <c r="AC792" i="433" s="1"/>
  <c r="E792" i="433"/>
  <c r="D792" i="433"/>
  <c r="K792" i="433" s="1"/>
  <c r="Z791" i="433"/>
  <c r="Z790" i="433" s="1"/>
  <c r="W791" i="433"/>
  <c r="W790" i="433" s="1"/>
  <c r="V791" i="433"/>
  <c r="V790" i="433" s="1"/>
  <c r="Q791" i="433"/>
  <c r="Q790" i="433" s="1"/>
  <c r="O791" i="433"/>
  <c r="O790" i="433" s="1"/>
  <c r="N791" i="433"/>
  <c r="N790" i="433" s="1"/>
  <c r="M791" i="433"/>
  <c r="M790" i="433" s="1"/>
  <c r="G791" i="433"/>
  <c r="G790" i="433" s="1"/>
  <c r="E791" i="433"/>
  <c r="T790" i="433"/>
  <c r="E790" i="433"/>
  <c r="E789" i="433"/>
  <c r="AA788" i="433"/>
  <c r="R788" i="433"/>
  <c r="AB788" i="433" s="1"/>
  <c r="AC788" i="433" s="1"/>
  <c r="K788" i="433"/>
  <c r="E788" i="433"/>
  <c r="AA787" i="433"/>
  <c r="R787" i="433"/>
  <c r="AB787" i="433" s="1"/>
  <c r="AC787" i="433" s="1"/>
  <c r="E787" i="433"/>
  <c r="K787" i="433" s="1"/>
  <c r="Z786" i="433"/>
  <c r="Z783" i="433" s="1"/>
  <c r="Y786" i="433"/>
  <c r="Y783" i="433" s="1"/>
  <c r="X786" i="433"/>
  <c r="X783" i="433" s="1"/>
  <c r="W786" i="433"/>
  <c r="V786" i="433"/>
  <c r="V783" i="433" s="1"/>
  <c r="U786" i="433"/>
  <c r="U783" i="433" s="1"/>
  <c r="T786" i="433"/>
  <c r="S786" i="433"/>
  <c r="Q786" i="433"/>
  <c r="Q783" i="433" s="1"/>
  <c r="P786" i="433"/>
  <c r="P783" i="433" s="1"/>
  <c r="O786" i="433"/>
  <c r="O783" i="433" s="1"/>
  <c r="N786" i="433"/>
  <c r="N783" i="433" s="1"/>
  <c r="M786" i="433"/>
  <c r="M783" i="433" s="1"/>
  <c r="L786" i="433"/>
  <c r="J786" i="433"/>
  <c r="J783" i="433" s="1"/>
  <c r="I786" i="433"/>
  <c r="I783" i="433" s="1"/>
  <c r="H786" i="433"/>
  <c r="G786" i="433"/>
  <c r="G783" i="433" s="1"/>
  <c r="F786" i="433"/>
  <c r="E786" i="433"/>
  <c r="D786" i="433"/>
  <c r="AA785" i="433"/>
  <c r="R785" i="433"/>
  <c r="AB785" i="433" s="1"/>
  <c r="AC785" i="433" s="1"/>
  <c r="E785" i="433"/>
  <c r="K785" i="433" s="1"/>
  <c r="AA784" i="433"/>
  <c r="R784" i="433"/>
  <c r="AB784" i="433" s="1"/>
  <c r="AC784" i="433" s="1"/>
  <c r="E784" i="433"/>
  <c r="K784" i="433" s="1"/>
  <c r="W783" i="433"/>
  <c r="T783" i="433"/>
  <c r="S783" i="433"/>
  <c r="L783" i="433"/>
  <c r="R783" i="433" s="1"/>
  <c r="H783" i="433"/>
  <c r="E783" i="433"/>
  <c r="AA782" i="433"/>
  <c r="AB782" i="433" s="1"/>
  <c r="R782" i="433"/>
  <c r="E782" i="433"/>
  <c r="K782" i="433" s="1"/>
  <c r="Z781" i="433"/>
  <c r="Y781" i="433"/>
  <c r="Y778" i="433" s="1"/>
  <c r="X781" i="433"/>
  <c r="W781" i="433"/>
  <c r="V781" i="433"/>
  <c r="V778" i="433" s="1"/>
  <c r="U781" i="433"/>
  <c r="U778" i="433" s="1"/>
  <c r="T781" i="433"/>
  <c r="S781" i="433"/>
  <c r="Q781" i="433"/>
  <c r="Q778" i="433" s="1"/>
  <c r="P781" i="433"/>
  <c r="P778" i="433" s="1"/>
  <c r="O781" i="433"/>
  <c r="N781" i="433"/>
  <c r="M781" i="433"/>
  <c r="M778" i="433" s="1"/>
  <c r="L781" i="433"/>
  <c r="L778" i="433" s="1"/>
  <c r="J781" i="433"/>
  <c r="J778" i="433" s="1"/>
  <c r="I781" i="433"/>
  <c r="I778" i="433" s="1"/>
  <c r="H781" i="433"/>
  <c r="G781" i="433"/>
  <c r="G778" i="433" s="1"/>
  <c r="E781" i="433"/>
  <c r="D781" i="433"/>
  <c r="AA780" i="433"/>
  <c r="AB780" i="433" s="1"/>
  <c r="AC780" i="433" s="1"/>
  <c r="R780" i="433"/>
  <c r="E780" i="433"/>
  <c r="K780" i="433" s="1"/>
  <c r="AA779" i="433"/>
  <c r="R779" i="433"/>
  <c r="AB779" i="433" s="1"/>
  <c r="AC779" i="433" s="1"/>
  <c r="K779" i="433"/>
  <c r="E779" i="433"/>
  <c r="Z778" i="433"/>
  <c r="X778" i="433"/>
  <c r="W778" i="433"/>
  <c r="T778" i="433"/>
  <c r="S778" i="433"/>
  <c r="O778" i="433"/>
  <c r="N778" i="433"/>
  <c r="H778" i="433"/>
  <c r="E778" i="433"/>
  <c r="E777" i="433"/>
  <c r="AA776" i="433"/>
  <c r="R776" i="433"/>
  <c r="AB776" i="433" s="1"/>
  <c r="E776" i="433"/>
  <c r="K776" i="433" s="1"/>
  <c r="Z775" i="433"/>
  <c r="Z772" i="433" s="1"/>
  <c r="Z771" i="433" s="1"/>
  <c r="Y775" i="433"/>
  <c r="X775" i="433"/>
  <c r="X772" i="433" s="1"/>
  <c r="X771" i="433" s="1"/>
  <c r="W775" i="433"/>
  <c r="W772" i="433" s="1"/>
  <c r="W771" i="433" s="1"/>
  <c r="V775" i="433"/>
  <c r="V772" i="433" s="1"/>
  <c r="V771" i="433" s="1"/>
  <c r="U775" i="433"/>
  <c r="T775" i="433"/>
  <c r="S775" i="433"/>
  <c r="S772" i="433" s="1"/>
  <c r="S771" i="433" s="1"/>
  <c r="Q775" i="433"/>
  <c r="Q772" i="433" s="1"/>
  <c r="Q771" i="433" s="1"/>
  <c r="P775" i="433"/>
  <c r="O775" i="433"/>
  <c r="N775" i="433"/>
  <c r="N772" i="433" s="1"/>
  <c r="N771" i="433" s="1"/>
  <c r="M775" i="433"/>
  <c r="L775" i="433"/>
  <c r="J775" i="433"/>
  <c r="J772" i="433" s="1"/>
  <c r="J771" i="433" s="1"/>
  <c r="I775" i="433"/>
  <c r="I772" i="433" s="1"/>
  <c r="I771" i="433" s="1"/>
  <c r="H775" i="433"/>
  <c r="G775" i="433"/>
  <c r="E775" i="433"/>
  <c r="D775" i="433"/>
  <c r="D772" i="433" s="1"/>
  <c r="D771" i="433" s="1"/>
  <c r="AA774" i="433"/>
  <c r="AB774" i="433" s="1"/>
  <c r="R774" i="433"/>
  <c r="E774" i="433"/>
  <c r="K774" i="433" s="1"/>
  <c r="AA773" i="433"/>
  <c r="R773" i="433"/>
  <c r="K773" i="433"/>
  <c r="E773" i="433"/>
  <c r="Y772" i="433"/>
  <c r="Y771" i="433" s="1"/>
  <c r="U772" i="433"/>
  <c r="U771" i="433" s="1"/>
  <c r="T772" i="433"/>
  <c r="T771" i="433" s="1"/>
  <c r="P772" i="433"/>
  <c r="P771" i="433" s="1"/>
  <c r="O772" i="433"/>
  <c r="O771" i="433" s="1"/>
  <c r="M772" i="433"/>
  <c r="M771" i="433" s="1"/>
  <c r="L772" i="433"/>
  <c r="H772" i="433"/>
  <c r="H771" i="433" s="1"/>
  <c r="G772" i="433"/>
  <c r="G771" i="433" s="1"/>
  <c r="E772" i="433"/>
  <c r="L771" i="433"/>
  <c r="E771" i="433"/>
  <c r="E770" i="433"/>
  <c r="E769" i="433"/>
  <c r="E768" i="433"/>
  <c r="E988" i="433" s="1"/>
  <c r="AA764" i="433"/>
  <c r="R764" i="433"/>
  <c r="E764" i="433"/>
  <c r="K764" i="433" s="1"/>
  <c r="AA763" i="433"/>
  <c r="AB763" i="433" s="1"/>
  <c r="R763" i="433"/>
  <c r="E763" i="433"/>
  <c r="K763" i="433" s="1"/>
  <c r="AA762" i="433"/>
  <c r="R762" i="433"/>
  <c r="AB762" i="433" s="1"/>
  <c r="AC762" i="433" s="1"/>
  <c r="E762" i="433"/>
  <c r="K762" i="433" s="1"/>
  <c r="AA761" i="433"/>
  <c r="R761" i="433"/>
  <c r="AB761" i="433" s="1"/>
  <c r="AC761" i="433" s="1"/>
  <c r="E761" i="433"/>
  <c r="K761" i="433" s="1"/>
  <c r="AA760" i="433"/>
  <c r="R760" i="433"/>
  <c r="AB760" i="433" s="1"/>
  <c r="E760" i="433"/>
  <c r="K760" i="433" s="1"/>
  <c r="AA759" i="433"/>
  <c r="R759" i="433"/>
  <c r="AB759" i="433" s="1"/>
  <c r="E759" i="433"/>
  <c r="K759" i="433" s="1"/>
  <c r="AA758" i="433"/>
  <c r="R758" i="433"/>
  <c r="E758" i="433"/>
  <c r="K758" i="433" s="1"/>
  <c r="AB757" i="433"/>
  <c r="AC757" i="433" s="1"/>
  <c r="AA757" i="433"/>
  <c r="R757" i="433"/>
  <c r="E757" i="433"/>
  <c r="K757" i="433" s="1"/>
  <c r="AA756" i="433"/>
  <c r="R756" i="433"/>
  <c r="E756" i="433"/>
  <c r="K756" i="433" s="1"/>
  <c r="AA755" i="433"/>
  <c r="AB755" i="433" s="1"/>
  <c r="R755" i="433"/>
  <c r="E755" i="433"/>
  <c r="K755" i="433" s="1"/>
  <c r="AA754" i="433"/>
  <c r="R754" i="433"/>
  <c r="AB754" i="433" s="1"/>
  <c r="AC754" i="433" s="1"/>
  <c r="E754" i="433"/>
  <c r="K754" i="433" s="1"/>
  <c r="AA753" i="433"/>
  <c r="R753" i="433"/>
  <c r="AB753" i="433" s="1"/>
  <c r="AC753" i="433" s="1"/>
  <c r="E753" i="433"/>
  <c r="K753" i="433" s="1"/>
  <c r="AA752" i="433"/>
  <c r="R752" i="433"/>
  <c r="AB752" i="433" s="1"/>
  <c r="E752" i="433"/>
  <c r="K752" i="433" s="1"/>
  <c r="AA751" i="433"/>
  <c r="R751" i="433"/>
  <c r="AB751" i="433" s="1"/>
  <c r="E751" i="433"/>
  <c r="K751" i="433" s="1"/>
  <c r="AA750" i="433"/>
  <c r="R750" i="433"/>
  <c r="E750" i="433"/>
  <c r="K750" i="433" s="1"/>
  <c r="AB749" i="433"/>
  <c r="AC749" i="433" s="1"/>
  <c r="AA749" i="433"/>
  <c r="R749" i="433"/>
  <c r="E749" i="433"/>
  <c r="K749" i="433" s="1"/>
  <c r="AA748" i="433"/>
  <c r="R748" i="433"/>
  <c r="E748" i="433"/>
  <c r="K748" i="433" s="1"/>
  <c r="AA747" i="433"/>
  <c r="AB747" i="433" s="1"/>
  <c r="R747" i="433"/>
  <c r="E747" i="433"/>
  <c r="K747" i="433" s="1"/>
  <c r="AA746" i="433"/>
  <c r="R746" i="433"/>
  <c r="AB746" i="433" s="1"/>
  <c r="AC746" i="433" s="1"/>
  <c r="E746" i="433"/>
  <c r="K746" i="433" s="1"/>
  <c r="AA745" i="433"/>
  <c r="R745" i="433"/>
  <c r="AB745" i="433" s="1"/>
  <c r="AC745" i="433" s="1"/>
  <c r="E745" i="433"/>
  <c r="K745" i="433" s="1"/>
  <c r="AA744" i="433"/>
  <c r="R744" i="433"/>
  <c r="AB744" i="433" s="1"/>
  <c r="E744" i="433"/>
  <c r="K744" i="433" s="1"/>
  <c r="AA743" i="433"/>
  <c r="R743" i="433"/>
  <c r="AB743" i="433" s="1"/>
  <c r="E743" i="433"/>
  <c r="K743" i="433" s="1"/>
  <c r="AA742" i="433"/>
  <c r="R742" i="433"/>
  <c r="E742" i="433"/>
  <c r="K742" i="433" s="1"/>
  <c r="AB741" i="433"/>
  <c r="AC741" i="433" s="1"/>
  <c r="AA741" i="433"/>
  <c r="R741" i="433"/>
  <c r="E741" i="433"/>
  <c r="K741" i="433" s="1"/>
  <c r="AA740" i="433"/>
  <c r="R740" i="433"/>
  <c r="E740" i="433"/>
  <c r="K740" i="433" s="1"/>
  <c r="AA739" i="433"/>
  <c r="AB739" i="433" s="1"/>
  <c r="R739" i="433"/>
  <c r="E739" i="433"/>
  <c r="K739" i="433" s="1"/>
  <c r="AA738" i="433"/>
  <c r="R738" i="433"/>
  <c r="AB738" i="433" s="1"/>
  <c r="AC738" i="433" s="1"/>
  <c r="E738" i="433"/>
  <c r="K738" i="433" s="1"/>
  <c r="AA737" i="433"/>
  <c r="R737" i="433"/>
  <c r="AB737" i="433" s="1"/>
  <c r="AC737" i="433" s="1"/>
  <c r="E737" i="433"/>
  <c r="K737" i="433" s="1"/>
  <c r="AA736" i="433"/>
  <c r="R736" i="433"/>
  <c r="AB736" i="433" s="1"/>
  <c r="E736" i="433"/>
  <c r="K736" i="433" s="1"/>
  <c r="AA735" i="433"/>
  <c r="R735" i="433"/>
  <c r="AB735" i="433" s="1"/>
  <c r="E735" i="433"/>
  <c r="K735" i="433" s="1"/>
  <c r="AA734" i="433"/>
  <c r="R734" i="433"/>
  <c r="E734" i="433"/>
  <c r="K734" i="433" s="1"/>
  <c r="AB733" i="433"/>
  <c r="AC733" i="433" s="1"/>
  <c r="AA733" i="433"/>
  <c r="R733" i="433"/>
  <c r="E733" i="433"/>
  <c r="K733" i="433" s="1"/>
  <c r="AA732" i="433"/>
  <c r="R732" i="433"/>
  <c r="E732" i="433"/>
  <c r="K732" i="433" s="1"/>
  <c r="AA731" i="433"/>
  <c r="AB731" i="433" s="1"/>
  <c r="R731" i="433"/>
  <c r="E731" i="433"/>
  <c r="K731" i="433" s="1"/>
  <c r="AA730" i="433"/>
  <c r="R730" i="433"/>
  <c r="AB730" i="433" s="1"/>
  <c r="AC730" i="433" s="1"/>
  <c r="E730" i="433"/>
  <c r="K730" i="433" s="1"/>
  <c r="AA729" i="433"/>
  <c r="R729" i="433"/>
  <c r="AB729" i="433" s="1"/>
  <c r="AC729" i="433" s="1"/>
  <c r="E729" i="433"/>
  <c r="K729" i="433" s="1"/>
  <c r="AA728" i="433"/>
  <c r="R728" i="433"/>
  <c r="AB728" i="433" s="1"/>
  <c r="E728" i="433"/>
  <c r="K728" i="433" s="1"/>
  <c r="AA727" i="433"/>
  <c r="R727" i="433"/>
  <c r="AB727" i="433" s="1"/>
  <c r="E727" i="433"/>
  <c r="K727" i="433" s="1"/>
  <c r="AA726" i="433"/>
  <c r="R726" i="433"/>
  <c r="E726" i="433"/>
  <c r="K726" i="433" s="1"/>
  <c r="AB725" i="433"/>
  <c r="AC725" i="433" s="1"/>
  <c r="AA725" i="433"/>
  <c r="R725" i="433"/>
  <c r="E725" i="433"/>
  <c r="K725" i="433" s="1"/>
  <c r="AA724" i="433"/>
  <c r="R724" i="433"/>
  <c r="E724" i="433"/>
  <c r="K724" i="433" s="1"/>
  <c r="AA723" i="433"/>
  <c r="AB723" i="433" s="1"/>
  <c r="R723" i="433"/>
  <c r="E723" i="433"/>
  <c r="K723" i="433" s="1"/>
  <c r="AA722" i="433"/>
  <c r="R722" i="433"/>
  <c r="AB722" i="433" s="1"/>
  <c r="AC722" i="433" s="1"/>
  <c r="E722" i="433"/>
  <c r="K722" i="433" s="1"/>
  <c r="AA721" i="433"/>
  <c r="R721" i="433"/>
  <c r="AB721" i="433" s="1"/>
  <c r="AC721" i="433" s="1"/>
  <c r="E721" i="433"/>
  <c r="K721" i="433" s="1"/>
  <c r="AA720" i="433"/>
  <c r="R720" i="433"/>
  <c r="AB720" i="433" s="1"/>
  <c r="E720" i="433"/>
  <c r="K720" i="433" s="1"/>
  <c r="Z719" i="433"/>
  <c r="Y719" i="433"/>
  <c r="X719" i="433"/>
  <c r="W719" i="433"/>
  <c r="V719" i="433"/>
  <c r="U719" i="433"/>
  <c r="T719" i="433"/>
  <c r="S719" i="433"/>
  <c r="Q719" i="433"/>
  <c r="P719" i="433"/>
  <c r="O719" i="433"/>
  <c r="N719" i="433"/>
  <c r="M719" i="433"/>
  <c r="L719" i="433"/>
  <c r="J719" i="433"/>
  <c r="I719" i="433"/>
  <c r="H719" i="433"/>
  <c r="G719" i="433"/>
  <c r="F719" i="433"/>
  <c r="E719" i="433"/>
  <c r="D719" i="433"/>
  <c r="AA718" i="433"/>
  <c r="R718" i="433"/>
  <c r="AB718" i="433" s="1"/>
  <c r="E718" i="433"/>
  <c r="K718" i="433" s="1"/>
  <c r="Z717" i="433"/>
  <c r="Y717" i="433"/>
  <c r="X717" i="433"/>
  <c r="W717" i="433"/>
  <c r="V717" i="433"/>
  <c r="U717" i="433"/>
  <c r="T717" i="433"/>
  <c r="S717" i="433"/>
  <c r="AA717" i="433" s="1"/>
  <c r="Q717" i="433"/>
  <c r="P717" i="433"/>
  <c r="O717" i="433"/>
  <c r="N717" i="433"/>
  <c r="M717" i="433"/>
  <c r="L717" i="433"/>
  <c r="J717" i="433"/>
  <c r="I717" i="433"/>
  <c r="H717" i="433"/>
  <c r="G717" i="433"/>
  <c r="F717" i="433"/>
  <c r="E717" i="433"/>
  <c r="D717" i="433"/>
  <c r="AA716" i="433"/>
  <c r="R716" i="433"/>
  <c r="AB716" i="433" s="1"/>
  <c r="E716" i="433"/>
  <c r="K716" i="433" s="1"/>
  <c r="Z715" i="433"/>
  <c r="Y715" i="433"/>
  <c r="X715" i="433"/>
  <c r="W715" i="433"/>
  <c r="V715" i="433"/>
  <c r="U715" i="433"/>
  <c r="T715" i="433"/>
  <c r="S715" i="433"/>
  <c r="Q715" i="433"/>
  <c r="P715" i="433"/>
  <c r="O715" i="433"/>
  <c r="N715" i="433"/>
  <c r="M715" i="433"/>
  <c r="L715" i="433"/>
  <c r="J715" i="433"/>
  <c r="I715" i="433"/>
  <c r="H715" i="433"/>
  <c r="G715" i="433"/>
  <c r="F715" i="433"/>
  <c r="E715" i="433"/>
  <c r="D715" i="433"/>
  <c r="AA714" i="433"/>
  <c r="R714" i="433"/>
  <c r="AB714" i="433" s="1"/>
  <c r="E714" i="433"/>
  <c r="K714" i="433" s="1"/>
  <c r="Z713" i="433"/>
  <c r="Y713" i="433"/>
  <c r="X713" i="433"/>
  <c r="W713" i="433"/>
  <c r="V713" i="433"/>
  <c r="U713" i="433"/>
  <c r="T713" i="433"/>
  <c r="S713" i="433"/>
  <c r="AA713" i="433" s="1"/>
  <c r="Q713" i="433"/>
  <c r="P713" i="433"/>
  <c r="O713" i="433"/>
  <c r="N713" i="433"/>
  <c r="M713" i="433"/>
  <c r="L713" i="433"/>
  <c r="J713" i="433"/>
  <c r="I713" i="433"/>
  <c r="H713" i="433"/>
  <c r="G713" i="433"/>
  <c r="F713" i="433"/>
  <c r="E713" i="433"/>
  <c r="D713" i="433"/>
  <c r="AA712" i="433"/>
  <c r="R712" i="433"/>
  <c r="AB712" i="433" s="1"/>
  <c r="E712" i="433"/>
  <c r="K712" i="433" s="1"/>
  <c r="Z711" i="433"/>
  <c r="Y711" i="433"/>
  <c r="X711" i="433"/>
  <c r="W711" i="433"/>
  <c r="V711" i="433"/>
  <c r="U711" i="433"/>
  <c r="T711" i="433"/>
  <c r="S711" i="433"/>
  <c r="Q711" i="433"/>
  <c r="P711" i="433"/>
  <c r="O711" i="433"/>
  <c r="N711" i="433"/>
  <c r="M711" i="433"/>
  <c r="L711" i="433"/>
  <c r="J711" i="433"/>
  <c r="I711" i="433"/>
  <c r="H711" i="433"/>
  <c r="G711" i="433"/>
  <c r="F711" i="433"/>
  <c r="E711" i="433"/>
  <c r="D711" i="433"/>
  <c r="AA710" i="433"/>
  <c r="R710" i="433"/>
  <c r="AB710" i="433" s="1"/>
  <c r="E710" i="433"/>
  <c r="K710" i="433" s="1"/>
  <c r="Z709" i="433"/>
  <c r="Y709" i="433"/>
  <c r="X709" i="433"/>
  <c r="W709" i="433"/>
  <c r="V709" i="433"/>
  <c r="U709" i="433"/>
  <c r="T709" i="433"/>
  <c r="S709" i="433"/>
  <c r="AA709" i="433" s="1"/>
  <c r="Q709" i="433"/>
  <c r="P709" i="433"/>
  <c r="O709" i="433"/>
  <c r="N709" i="433"/>
  <c r="M709" i="433"/>
  <c r="L709" i="433"/>
  <c r="J709" i="433"/>
  <c r="I709" i="433"/>
  <c r="H709" i="433"/>
  <c r="G709" i="433"/>
  <c r="F709" i="433"/>
  <c r="E709" i="433"/>
  <c r="D709" i="433"/>
  <c r="AA708" i="433"/>
  <c r="R708" i="433"/>
  <c r="AB708" i="433" s="1"/>
  <c r="E708" i="433"/>
  <c r="K708" i="433" s="1"/>
  <c r="Z707" i="433"/>
  <c r="Z706" i="433" s="1"/>
  <c r="Y707" i="433"/>
  <c r="Y706" i="433" s="1"/>
  <c r="X707" i="433"/>
  <c r="X706" i="433" s="1"/>
  <c r="W707" i="433"/>
  <c r="W706" i="433" s="1"/>
  <c r="V707" i="433"/>
  <c r="U707" i="433"/>
  <c r="U706" i="433" s="1"/>
  <c r="T707" i="433"/>
  <c r="T706" i="433" s="1"/>
  <c r="S707" i="433"/>
  <c r="S706" i="433" s="1"/>
  <c r="Q707" i="433"/>
  <c r="Q706" i="433" s="1"/>
  <c r="P707" i="433"/>
  <c r="O707" i="433"/>
  <c r="O706" i="433" s="1"/>
  <c r="N707" i="433"/>
  <c r="N706" i="433" s="1"/>
  <c r="M707" i="433"/>
  <c r="M706" i="433" s="1"/>
  <c r="L707" i="433"/>
  <c r="J707" i="433"/>
  <c r="I707" i="433"/>
  <c r="I706" i="433" s="1"/>
  <c r="H707" i="433"/>
  <c r="G707" i="433"/>
  <c r="F707" i="433"/>
  <c r="F706" i="433" s="1"/>
  <c r="E707" i="433"/>
  <c r="D707" i="433"/>
  <c r="V706" i="433"/>
  <c r="J706" i="433"/>
  <c r="G706" i="433"/>
  <c r="E706" i="433"/>
  <c r="AB705" i="433"/>
  <c r="AC705" i="433" s="1"/>
  <c r="AA705" i="433"/>
  <c r="R705" i="433"/>
  <c r="E705" i="433"/>
  <c r="K705" i="433" s="1"/>
  <c r="AA704" i="433"/>
  <c r="R704" i="433"/>
  <c r="K704" i="433"/>
  <c r="E704" i="433"/>
  <c r="AB703" i="433"/>
  <c r="AC703" i="433" s="1"/>
  <c r="AA703" i="433"/>
  <c r="R703" i="433"/>
  <c r="E703" i="433"/>
  <c r="K703" i="433" s="1"/>
  <c r="AA702" i="433"/>
  <c r="R702" i="433"/>
  <c r="K702" i="433"/>
  <c r="E702" i="433"/>
  <c r="Z701" i="433"/>
  <c r="Y701" i="433"/>
  <c r="X701" i="433"/>
  <c r="W701" i="433"/>
  <c r="V701" i="433"/>
  <c r="U701" i="433"/>
  <c r="T701" i="433"/>
  <c r="S701" i="433"/>
  <c r="Q701" i="433"/>
  <c r="P701" i="433"/>
  <c r="O701" i="433"/>
  <c r="N701" i="433"/>
  <c r="M701" i="433"/>
  <c r="L701" i="433"/>
  <c r="J701" i="433"/>
  <c r="I701" i="433"/>
  <c r="H701" i="433"/>
  <c r="G701" i="433"/>
  <c r="F701" i="433"/>
  <c r="E701" i="433"/>
  <c r="D701" i="433"/>
  <c r="K701" i="433" s="1"/>
  <c r="AA700" i="433"/>
  <c r="R700" i="433"/>
  <c r="K700" i="433"/>
  <c r="E700" i="433"/>
  <c r="Z699" i="433"/>
  <c r="Y699" i="433"/>
  <c r="X699" i="433"/>
  <c r="W699" i="433"/>
  <c r="V699" i="433"/>
  <c r="U699" i="433"/>
  <c r="T699" i="433"/>
  <c r="S699" i="433"/>
  <c r="AA699" i="433" s="1"/>
  <c r="Q699" i="433"/>
  <c r="P699" i="433"/>
  <c r="O699" i="433"/>
  <c r="N699" i="433"/>
  <c r="M699" i="433"/>
  <c r="L699" i="433"/>
  <c r="J699" i="433"/>
  <c r="I699" i="433"/>
  <c r="I693" i="433" s="1"/>
  <c r="H699" i="433"/>
  <c r="G699" i="433"/>
  <c r="F699" i="433"/>
  <c r="E699" i="433"/>
  <c r="D699" i="433"/>
  <c r="AA698" i="433"/>
  <c r="R698" i="433"/>
  <c r="AB698" i="433" s="1"/>
  <c r="K698" i="433"/>
  <c r="E698" i="433"/>
  <c r="Z697" i="433"/>
  <c r="Y697" i="433"/>
  <c r="X697" i="433"/>
  <c r="X693" i="433" s="1"/>
  <c r="W697" i="433"/>
  <c r="V697" i="433"/>
  <c r="U697" i="433"/>
  <c r="T697" i="433"/>
  <c r="T693" i="433" s="1"/>
  <c r="S697" i="433"/>
  <c r="Q697" i="433"/>
  <c r="P697" i="433"/>
  <c r="O697" i="433"/>
  <c r="N697" i="433"/>
  <c r="M697" i="433"/>
  <c r="L697" i="433"/>
  <c r="J697" i="433"/>
  <c r="I697" i="433"/>
  <c r="H697" i="433"/>
  <c r="G697" i="433"/>
  <c r="F697" i="433"/>
  <c r="E697" i="433"/>
  <c r="D697" i="433"/>
  <c r="AA696" i="433"/>
  <c r="R696" i="433"/>
  <c r="AB696" i="433" s="1"/>
  <c r="AC696" i="433" s="1"/>
  <c r="K696" i="433"/>
  <c r="E696" i="433"/>
  <c r="AA695" i="433"/>
  <c r="AB695" i="433" s="1"/>
  <c r="AC695" i="433" s="1"/>
  <c r="R695" i="433"/>
  <c r="E695" i="433"/>
  <c r="K695" i="433" s="1"/>
  <c r="Z694" i="433"/>
  <c r="Z693" i="433" s="1"/>
  <c r="Y694" i="433"/>
  <c r="X694" i="433"/>
  <c r="W694" i="433"/>
  <c r="V694" i="433"/>
  <c r="V693" i="433" s="1"/>
  <c r="U694" i="433"/>
  <c r="U693" i="433" s="1"/>
  <c r="T694" i="433"/>
  <c r="S694" i="433"/>
  <c r="Q694" i="433"/>
  <c r="P694" i="433"/>
  <c r="P693" i="433" s="1"/>
  <c r="O694" i="433"/>
  <c r="N694" i="433"/>
  <c r="M694" i="433"/>
  <c r="M693" i="433" s="1"/>
  <c r="L694" i="433"/>
  <c r="J694" i="433"/>
  <c r="I694" i="433"/>
  <c r="H694" i="433"/>
  <c r="G694" i="433"/>
  <c r="G693" i="433" s="1"/>
  <c r="F694" i="433"/>
  <c r="E694" i="433"/>
  <c r="D694" i="433"/>
  <c r="D693" i="433" s="1"/>
  <c r="Y693" i="433"/>
  <c r="Q693" i="433"/>
  <c r="H693" i="433"/>
  <c r="E693" i="433"/>
  <c r="AA692" i="433"/>
  <c r="R692" i="433"/>
  <c r="AB692" i="433" s="1"/>
  <c r="AC692" i="433" s="1"/>
  <c r="K692" i="433"/>
  <c r="E692" i="433"/>
  <c r="Z691" i="433"/>
  <c r="Y691" i="433"/>
  <c r="X691" i="433"/>
  <c r="W691" i="433"/>
  <c r="V691" i="433"/>
  <c r="U691" i="433"/>
  <c r="T691" i="433"/>
  <c r="S691" i="433"/>
  <c r="Q691" i="433"/>
  <c r="P691" i="433"/>
  <c r="O691" i="433"/>
  <c r="N691" i="433"/>
  <c r="M691" i="433"/>
  <c r="L691" i="433"/>
  <c r="R691" i="433" s="1"/>
  <c r="J691" i="433"/>
  <c r="I691" i="433"/>
  <c r="H691" i="433"/>
  <c r="G691" i="433"/>
  <c r="F691" i="433"/>
  <c r="E691" i="433"/>
  <c r="D691" i="433"/>
  <c r="AA690" i="433"/>
  <c r="R690" i="433"/>
  <c r="K690" i="433"/>
  <c r="E690" i="433"/>
  <c r="Z689" i="433"/>
  <c r="Y689" i="433"/>
  <c r="X689" i="433"/>
  <c r="W689" i="433"/>
  <c r="V689" i="433"/>
  <c r="U689" i="433"/>
  <c r="T689" i="433"/>
  <c r="S689" i="433"/>
  <c r="Q689" i="433"/>
  <c r="P689" i="433"/>
  <c r="O689" i="433"/>
  <c r="N689" i="433"/>
  <c r="M689" i="433"/>
  <c r="L689" i="433"/>
  <c r="J689" i="433"/>
  <c r="I689" i="433"/>
  <c r="H689" i="433"/>
  <c r="G689" i="433"/>
  <c r="F689" i="433"/>
  <c r="E689" i="433"/>
  <c r="D689" i="433"/>
  <c r="K689" i="433" s="1"/>
  <c r="AA688" i="433"/>
  <c r="R688" i="433"/>
  <c r="E688" i="433"/>
  <c r="K688" i="433" s="1"/>
  <c r="Z687" i="433"/>
  <c r="Y687" i="433"/>
  <c r="X687" i="433"/>
  <c r="W687" i="433"/>
  <c r="V687" i="433"/>
  <c r="U687" i="433"/>
  <c r="T687" i="433"/>
  <c r="S687" i="433"/>
  <c r="Q687" i="433"/>
  <c r="P687" i="433"/>
  <c r="O687" i="433"/>
  <c r="N687" i="433"/>
  <c r="M687" i="433"/>
  <c r="L687" i="433"/>
  <c r="J687" i="433"/>
  <c r="I687" i="433"/>
  <c r="H687" i="433"/>
  <c r="G687" i="433"/>
  <c r="F687" i="433"/>
  <c r="E687" i="433"/>
  <c r="D687" i="433"/>
  <c r="K687" i="433" s="1"/>
  <c r="AA686" i="433"/>
  <c r="R686" i="433"/>
  <c r="E686" i="433"/>
  <c r="K686" i="433" s="1"/>
  <c r="Z685" i="433"/>
  <c r="Y685" i="433"/>
  <c r="X685" i="433"/>
  <c r="W685" i="433"/>
  <c r="V685" i="433"/>
  <c r="U685" i="433"/>
  <c r="T685" i="433"/>
  <c r="S685" i="433"/>
  <c r="Q685" i="433"/>
  <c r="P685" i="433"/>
  <c r="O685" i="433"/>
  <c r="N685" i="433"/>
  <c r="M685" i="433"/>
  <c r="L685" i="433"/>
  <c r="J685" i="433"/>
  <c r="I685" i="433"/>
  <c r="H685" i="433"/>
  <c r="G685" i="433"/>
  <c r="F685" i="433"/>
  <c r="E685" i="433"/>
  <c r="D685" i="433"/>
  <c r="K685" i="433" s="1"/>
  <c r="AA684" i="433"/>
  <c r="R684" i="433"/>
  <c r="E684" i="433"/>
  <c r="K684" i="433" s="1"/>
  <c r="Z683" i="433"/>
  <c r="Y683" i="433"/>
  <c r="X683" i="433"/>
  <c r="W683" i="433"/>
  <c r="V683" i="433"/>
  <c r="U683" i="433"/>
  <c r="T683" i="433"/>
  <c r="S683" i="433"/>
  <c r="Q683" i="433"/>
  <c r="P683" i="433"/>
  <c r="O683" i="433"/>
  <c r="N683" i="433"/>
  <c r="M683" i="433"/>
  <c r="L683" i="433"/>
  <c r="J683" i="433"/>
  <c r="I683" i="433"/>
  <c r="H683" i="433"/>
  <c r="G683" i="433"/>
  <c r="F683" i="433"/>
  <c r="E683" i="433"/>
  <c r="D683" i="433"/>
  <c r="K683" i="433" s="1"/>
  <c r="AA682" i="433"/>
  <c r="R682" i="433"/>
  <c r="K682" i="433"/>
  <c r="E682" i="433"/>
  <c r="Z681" i="433"/>
  <c r="Y681" i="433"/>
  <c r="X681" i="433"/>
  <c r="W681" i="433"/>
  <c r="V681" i="433"/>
  <c r="U681" i="433"/>
  <c r="T681" i="433"/>
  <c r="S681" i="433"/>
  <c r="AA681" i="433" s="1"/>
  <c r="Q681" i="433"/>
  <c r="P681" i="433"/>
  <c r="O681" i="433"/>
  <c r="N681" i="433"/>
  <c r="M681" i="433"/>
  <c r="L681" i="433"/>
  <c r="J681" i="433"/>
  <c r="I681" i="433"/>
  <c r="H681" i="433"/>
  <c r="G681" i="433"/>
  <c r="F681" i="433"/>
  <c r="E681" i="433"/>
  <c r="D681" i="433"/>
  <c r="AA680" i="433"/>
  <c r="R680" i="433"/>
  <c r="AB680" i="433" s="1"/>
  <c r="E680" i="433"/>
  <c r="K680" i="433" s="1"/>
  <c r="Z679" i="433"/>
  <c r="Y679" i="433"/>
  <c r="X679" i="433"/>
  <c r="W679" i="433"/>
  <c r="V679" i="433"/>
  <c r="U679" i="433"/>
  <c r="T679" i="433"/>
  <c r="S679" i="433"/>
  <c r="Q679" i="433"/>
  <c r="P679" i="433"/>
  <c r="O679" i="433"/>
  <c r="N679" i="433"/>
  <c r="M679" i="433"/>
  <c r="L679" i="433"/>
  <c r="J679" i="433"/>
  <c r="I679" i="433"/>
  <c r="H679" i="433"/>
  <c r="G679" i="433"/>
  <c r="F679" i="433"/>
  <c r="E679" i="433"/>
  <c r="D679" i="433"/>
  <c r="AA678" i="433"/>
  <c r="R678" i="433"/>
  <c r="AB678" i="433" s="1"/>
  <c r="E678" i="433"/>
  <c r="K678" i="433" s="1"/>
  <c r="Z677" i="433"/>
  <c r="Y677" i="433"/>
  <c r="X677" i="433"/>
  <c r="W677" i="433"/>
  <c r="V677" i="433"/>
  <c r="U677" i="433"/>
  <c r="T677" i="433"/>
  <c r="S677" i="433"/>
  <c r="AA677" i="433" s="1"/>
  <c r="Q677" i="433"/>
  <c r="P677" i="433"/>
  <c r="O677" i="433"/>
  <c r="N677" i="433"/>
  <c r="M677" i="433"/>
  <c r="L677" i="433"/>
  <c r="J677" i="433"/>
  <c r="I677" i="433"/>
  <c r="H677" i="433"/>
  <c r="G677" i="433"/>
  <c r="F677" i="433"/>
  <c r="E677" i="433"/>
  <c r="D677" i="433"/>
  <c r="AA676" i="433"/>
  <c r="R676" i="433"/>
  <c r="AB676" i="433" s="1"/>
  <c r="E676" i="433"/>
  <c r="K676" i="433" s="1"/>
  <c r="AA675" i="433"/>
  <c r="R675" i="433"/>
  <c r="AB675" i="433" s="1"/>
  <c r="E675" i="433"/>
  <c r="K675" i="433" s="1"/>
  <c r="AA674" i="433"/>
  <c r="R674" i="433"/>
  <c r="E674" i="433"/>
  <c r="K674" i="433" s="1"/>
  <c r="Z673" i="433"/>
  <c r="Z672" i="433" s="1"/>
  <c r="Y673" i="433"/>
  <c r="Y672" i="433" s="1"/>
  <c r="X673" i="433"/>
  <c r="X672" i="433" s="1"/>
  <c r="W673" i="433"/>
  <c r="W672" i="433" s="1"/>
  <c r="V673" i="433"/>
  <c r="V672" i="433" s="1"/>
  <c r="U673" i="433"/>
  <c r="U672" i="433" s="1"/>
  <c r="T673" i="433"/>
  <c r="T672" i="433" s="1"/>
  <c r="S673" i="433"/>
  <c r="Q673" i="433"/>
  <c r="Q672" i="433" s="1"/>
  <c r="P673" i="433"/>
  <c r="P672" i="433" s="1"/>
  <c r="O673" i="433"/>
  <c r="N673" i="433"/>
  <c r="N672" i="433" s="1"/>
  <c r="M673" i="433"/>
  <c r="M672" i="433" s="1"/>
  <c r="L673" i="433"/>
  <c r="J673" i="433"/>
  <c r="I673" i="433"/>
  <c r="I672" i="433" s="1"/>
  <c r="H673" i="433"/>
  <c r="H672" i="433" s="1"/>
  <c r="G673" i="433"/>
  <c r="F673" i="433"/>
  <c r="E673" i="433"/>
  <c r="D673" i="433"/>
  <c r="S672" i="433"/>
  <c r="O672" i="433"/>
  <c r="J672" i="433"/>
  <c r="G672" i="433"/>
  <c r="F672" i="433"/>
  <c r="E672" i="433"/>
  <c r="E671" i="433"/>
  <c r="E670" i="433"/>
  <c r="E669" i="433"/>
  <c r="E668" i="433"/>
  <c r="E667" i="433"/>
  <c r="AA666" i="433"/>
  <c r="R666" i="433"/>
  <c r="AB666" i="433" s="1"/>
  <c r="AC666" i="433" s="1"/>
  <c r="K666" i="433"/>
  <c r="E666" i="433"/>
  <c r="AA665" i="433"/>
  <c r="AB665" i="433" s="1"/>
  <c r="R665" i="433"/>
  <c r="E665" i="433"/>
  <c r="K665" i="433" s="1"/>
  <c r="AA664" i="433"/>
  <c r="R664" i="433"/>
  <c r="AB664" i="433" s="1"/>
  <c r="AC664" i="433" s="1"/>
  <c r="K664" i="433"/>
  <c r="E664" i="433"/>
  <c r="AA663" i="433"/>
  <c r="AB663" i="433" s="1"/>
  <c r="R663" i="433"/>
  <c r="E663" i="433"/>
  <c r="K663" i="433" s="1"/>
  <c r="AA662" i="433"/>
  <c r="R662" i="433"/>
  <c r="AB662" i="433" s="1"/>
  <c r="AC662" i="433" s="1"/>
  <c r="K662" i="433"/>
  <c r="E662" i="433"/>
  <c r="Z661" i="433"/>
  <c r="Y661" i="433"/>
  <c r="Y655" i="433" s="1"/>
  <c r="Y651" i="433" s="1"/>
  <c r="Y650" i="433" s="1"/>
  <c r="X661" i="433"/>
  <c r="X655" i="433" s="1"/>
  <c r="X651" i="433" s="1"/>
  <c r="X650" i="433" s="1"/>
  <c r="W661" i="433"/>
  <c r="V661" i="433"/>
  <c r="U661" i="433"/>
  <c r="T661" i="433"/>
  <c r="T655" i="433" s="1"/>
  <c r="T651" i="433" s="1"/>
  <c r="T650" i="433" s="1"/>
  <c r="S661" i="433"/>
  <c r="Q661" i="433"/>
  <c r="P661" i="433"/>
  <c r="P655" i="433" s="1"/>
  <c r="O661" i="433"/>
  <c r="N661" i="433"/>
  <c r="M661" i="433"/>
  <c r="L661" i="433"/>
  <c r="R661" i="433" s="1"/>
  <c r="J661" i="433"/>
  <c r="I661" i="433"/>
  <c r="H661" i="433"/>
  <c r="G661" i="433"/>
  <c r="F661" i="433"/>
  <c r="E661" i="433"/>
  <c r="D661" i="433"/>
  <c r="AA660" i="433"/>
  <c r="R660" i="433"/>
  <c r="K660" i="433"/>
  <c r="E660" i="433"/>
  <c r="AB659" i="433"/>
  <c r="AA659" i="433"/>
  <c r="R659" i="433"/>
  <c r="E659" i="433"/>
  <c r="K659" i="433" s="1"/>
  <c r="AA658" i="433"/>
  <c r="R658" i="433"/>
  <c r="K658" i="433"/>
  <c r="E658" i="433"/>
  <c r="AB657" i="433"/>
  <c r="AA657" i="433"/>
  <c r="R657" i="433"/>
  <c r="E657" i="433"/>
  <c r="K657" i="433" s="1"/>
  <c r="Z656" i="433"/>
  <c r="Z655" i="433" s="1"/>
  <c r="Y656" i="433"/>
  <c r="X656" i="433"/>
  <c r="W656" i="433"/>
  <c r="W655" i="433" s="1"/>
  <c r="V656" i="433"/>
  <c r="V655" i="433" s="1"/>
  <c r="U656" i="433"/>
  <c r="T656" i="433"/>
  <c r="S656" i="433"/>
  <c r="S655" i="433" s="1"/>
  <c r="Q656" i="433"/>
  <c r="Q655" i="433" s="1"/>
  <c r="Q651" i="433" s="1"/>
  <c r="Q650" i="433" s="1"/>
  <c r="P656" i="433"/>
  <c r="O656" i="433"/>
  <c r="N656" i="433"/>
  <c r="N655" i="433" s="1"/>
  <c r="M656" i="433"/>
  <c r="M655" i="433" s="1"/>
  <c r="M651" i="433" s="1"/>
  <c r="M650" i="433" s="1"/>
  <c r="L656" i="433"/>
  <c r="J656" i="433"/>
  <c r="I656" i="433"/>
  <c r="I655" i="433" s="1"/>
  <c r="I651" i="433" s="1"/>
  <c r="I650" i="433" s="1"/>
  <c r="H656" i="433"/>
  <c r="G656" i="433"/>
  <c r="F656" i="433"/>
  <c r="E656" i="433"/>
  <c r="D656" i="433"/>
  <c r="E655" i="433"/>
  <c r="AA654" i="433"/>
  <c r="R654" i="433"/>
  <c r="K654" i="433"/>
  <c r="E654" i="433"/>
  <c r="AB653" i="433"/>
  <c r="AC653" i="433" s="1"/>
  <c r="AA653" i="433"/>
  <c r="R653" i="433"/>
  <c r="E653" i="433"/>
  <c r="K653" i="433" s="1"/>
  <c r="Z652" i="433"/>
  <c r="Y652" i="433"/>
  <c r="X652" i="433"/>
  <c r="W652" i="433"/>
  <c r="V652" i="433"/>
  <c r="U652" i="433"/>
  <c r="T652" i="433"/>
  <c r="S652" i="433"/>
  <c r="Q652" i="433"/>
  <c r="P652" i="433"/>
  <c r="O652" i="433"/>
  <c r="N652" i="433"/>
  <c r="M652" i="433"/>
  <c r="L652" i="433"/>
  <c r="J652" i="433"/>
  <c r="I652" i="433"/>
  <c r="H652" i="433"/>
  <c r="G652" i="433"/>
  <c r="F652" i="433"/>
  <c r="E652" i="433"/>
  <c r="D652" i="433"/>
  <c r="P651" i="433"/>
  <c r="P650" i="433" s="1"/>
  <c r="E651" i="433"/>
  <c r="E650" i="433"/>
  <c r="AA649" i="433"/>
  <c r="R649" i="433"/>
  <c r="E649" i="433"/>
  <c r="K649" i="433" s="1"/>
  <c r="AA648" i="433"/>
  <c r="R648" i="433"/>
  <c r="K648" i="433"/>
  <c r="E648" i="433"/>
  <c r="AA647" i="433"/>
  <c r="AB647" i="433" s="1"/>
  <c r="R647" i="433"/>
  <c r="E647" i="433"/>
  <c r="K647" i="433" s="1"/>
  <c r="AA646" i="433"/>
  <c r="R646" i="433"/>
  <c r="K646" i="433"/>
  <c r="E646" i="433"/>
  <c r="AA645" i="433"/>
  <c r="R645" i="433"/>
  <c r="K645" i="433"/>
  <c r="E645" i="433"/>
  <c r="AB644" i="433"/>
  <c r="AC644" i="433" s="1"/>
  <c r="AA644" i="433"/>
  <c r="R644" i="433"/>
  <c r="E644" i="433"/>
  <c r="K644" i="433" s="1"/>
  <c r="AA643" i="433"/>
  <c r="R643" i="433"/>
  <c r="K643" i="433"/>
  <c r="E643" i="433"/>
  <c r="AA642" i="433"/>
  <c r="R642" i="433"/>
  <c r="K642" i="433"/>
  <c r="E642" i="433"/>
  <c r="AB641" i="433"/>
  <c r="AC641" i="433" s="1"/>
  <c r="AA641" i="433"/>
  <c r="R641" i="433"/>
  <c r="E641" i="433"/>
  <c r="K641" i="433" s="1"/>
  <c r="AA640" i="433"/>
  <c r="R640" i="433"/>
  <c r="K640" i="433"/>
  <c r="E640" i="433"/>
  <c r="AA639" i="433"/>
  <c r="R639" i="433"/>
  <c r="E639" i="433"/>
  <c r="K639" i="433" s="1"/>
  <c r="AA638" i="433"/>
  <c r="AB638" i="433" s="1"/>
  <c r="R638" i="433"/>
  <c r="E638" i="433"/>
  <c r="K638" i="433" s="1"/>
  <c r="AA637" i="433"/>
  <c r="R637" i="433"/>
  <c r="AB637" i="433" s="1"/>
  <c r="AC637" i="433" s="1"/>
  <c r="K637" i="433"/>
  <c r="E637" i="433"/>
  <c r="AA636" i="433"/>
  <c r="R636" i="433"/>
  <c r="AB636" i="433" s="1"/>
  <c r="E636" i="433"/>
  <c r="K636" i="433" s="1"/>
  <c r="AA635" i="433"/>
  <c r="R635" i="433"/>
  <c r="AB635" i="433" s="1"/>
  <c r="K635" i="433"/>
  <c r="E635" i="433"/>
  <c r="AA634" i="433"/>
  <c r="R634" i="433"/>
  <c r="AB634" i="433" s="1"/>
  <c r="K634" i="433"/>
  <c r="E634" i="433"/>
  <c r="AA633" i="433"/>
  <c r="R633" i="433"/>
  <c r="E633" i="433"/>
  <c r="K633" i="433" s="1"/>
  <c r="AA632" i="433"/>
  <c r="R632" i="433"/>
  <c r="AB632" i="433" s="1"/>
  <c r="K632" i="433"/>
  <c r="E632" i="433"/>
  <c r="AA631" i="433"/>
  <c r="R631" i="433"/>
  <c r="AB631" i="433" s="1"/>
  <c r="AC631" i="433" s="1"/>
  <c r="E631" i="433"/>
  <c r="K631" i="433" s="1"/>
  <c r="AA630" i="433"/>
  <c r="R630" i="433"/>
  <c r="AB630" i="433" s="1"/>
  <c r="K630" i="433"/>
  <c r="E630" i="433"/>
  <c r="AA629" i="433"/>
  <c r="R629" i="433"/>
  <c r="AB629" i="433" s="1"/>
  <c r="K629" i="433"/>
  <c r="E629" i="433"/>
  <c r="AA628" i="433"/>
  <c r="R628" i="433"/>
  <c r="E628" i="433"/>
  <c r="K628" i="433" s="1"/>
  <c r="AA627" i="433"/>
  <c r="R627" i="433"/>
  <c r="AB627" i="433" s="1"/>
  <c r="E627" i="433"/>
  <c r="K627" i="433" s="1"/>
  <c r="AA626" i="433"/>
  <c r="R626" i="433"/>
  <c r="AB626" i="433" s="1"/>
  <c r="K626" i="433"/>
  <c r="E626" i="433"/>
  <c r="AA625" i="433"/>
  <c r="R625" i="433"/>
  <c r="AB625" i="433" s="1"/>
  <c r="E625" i="433"/>
  <c r="K625" i="433" s="1"/>
  <c r="AA624" i="433"/>
  <c r="R624" i="433"/>
  <c r="AB624" i="433" s="1"/>
  <c r="K624" i="433"/>
  <c r="E624" i="433"/>
  <c r="AA623" i="433"/>
  <c r="R623" i="433"/>
  <c r="AB623" i="433" s="1"/>
  <c r="K623" i="433"/>
  <c r="E623" i="433"/>
  <c r="AA622" i="433"/>
  <c r="R622" i="433"/>
  <c r="E622" i="433"/>
  <c r="K622" i="433" s="1"/>
  <c r="AA621" i="433"/>
  <c r="R621" i="433"/>
  <c r="AB621" i="433" s="1"/>
  <c r="K621" i="433"/>
  <c r="E621" i="433"/>
  <c r="AA620" i="433"/>
  <c r="R620" i="433"/>
  <c r="AB620" i="433" s="1"/>
  <c r="AC620" i="433" s="1"/>
  <c r="E620" i="433"/>
  <c r="K620" i="433" s="1"/>
  <c r="AA619" i="433"/>
  <c r="R619" i="433"/>
  <c r="AB619" i="433" s="1"/>
  <c r="K619" i="433"/>
  <c r="E619" i="433"/>
  <c r="AA618" i="433"/>
  <c r="R618" i="433"/>
  <c r="E618" i="433"/>
  <c r="K618" i="433" s="1"/>
  <c r="AA617" i="433"/>
  <c r="R617" i="433"/>
  <c r="K617" i="433"/>
  <c r="E617" i="433"/>
  <c r="AA616" i="433"/>
  <c r="R616" i="433"/>
  <c r="AB616" i="433" s="1"/>
  <c r="K616" i="433"/>
  <c r="E616" i="433"/>
  <c r="AA615" i="433"/>
  <c r="R615" i="433"/>
  <c r="E615" i="433"/>
  <c r="K615" i="433" s="1"/>
  <c r="AA614" i="433"/>
  <c r="R614" i="433"/>
  <c r="AB614" i="433" s="1"/>
  <c r="AC614" i="433" s="1"/>
  <c r="K614" i="433"/>
  <c r="E614" i="433"/>
  <c r="AA613" i="433"/>
  <c r="AB613" i="433" s="1"/>
  <c r="R613" i="433"/>
  <c r="E613" i="433"/>
  <c r="K613" i="433" s="1"/>
  <c r="AA612" i="433"/>
  <c r="R612" i="433"/>
  <c r="AB612" i="433" s="1"/>
  <c r="AC612" i="433" s="1"/>
  <c r="K612" i="433"/>
  <c r="E612" i="433"/>
  <c r="AA611" i="433"/>
  <c r="AB611" i="433" s="1"/>
  <c r="R611" i="433"/>
  <c r="E611" i="433"/>
  <c r="K611" i="433" s="1"/>
  <c r="AA610" i="433"/>
  <c r="R610" i="433"/>
  <c r="AB610" i="433" s="1"/>
  <c r="AC610" i="433" s="1"/>
  <c r="K610" i="433"/>
  <c r="E610" i="433"/>
  <c r="AA609" i="433"/>
  <c r="AB609" i="433" s="1"/>
  <c r="R609" i="433"/>
  <c r="E609" i="433"/>
  <c r="K609" i="433" s="1"/>
  <c r="AA608" i="433"/>
  <c r="R608" i="433"/>
  <c r="AB608" i="433" s="1"/>
  <c r="AC608" i="433" s="1"/>
  <c r="K608" i="433"/>
  <c r="E608" i="433"/>
  <c r="AA607" i="433"/>
  <c r="AB607" i="433" s="1"/>
  <c r="R607" i="433"/>
  <c r="E607" i="433"/>
  <c r="K607" i="433" s="1"/>
  <c r="AA606" i="433"/>
  <c r="R606" i="433"/>
  <c r="AB606" i="433" s="1"/>
  <c r="AC606" i="433" s="1"/>
  <c r="K606" i="433"/>
  <c r="E606" i="433"/>
  <c r="AA605" i="433"/>
  <c r="AB605" i="433" s="1"/>
  <c r="R605" i="433"/>
  <c r="E605" i="433"/>
  <c r="K605" i="433" s="1"/>
  <c r="AA604" i="433"/>
  <c r="R604" i="433"/>
  <c r="AB604" i="433" s="1"/>
  <c r="AC604" i="433" s="1"/>
  <c r="K604" i="433"/>
  <c r="E604" i="433"/>
  <c r="AA603" i="433"/>
  <c r="AB603" i="433" s="1"/>
  <c r="R603" i="433"/>
  <c r="E603" i="433"/>
  <c r="K603" i="433" s="1"/>
  <c r="AA602" i="433"/>
  <c r="R602" i="433"/>
  <c r="AB602" i="433" s="1"/>
  <c r="AC602" i="433" s="1"/>
  <c r="K602" i="433"/>
  <c r="E602" i="433"/>
  <c r="AA601" i="433"/>
  <c r="AB601" i="433" s="1"/>
  <c r="R601" i="433"/>
  <c r="E601" i="433"/>
  <c r="K601" i="433" s="1"/>
  <c r="AA600" i="433"/>
  <c r="R600" i="433"/>
  <c r="AB600" i="433" s="1"/>
  <c r="AC600" i="433" s="1"/>
  <c r="K600" i="433"/>
  <c r="E600" i="433"/>
  <c r="AA599" i="433"/>
  <c r="R599" i="433"/>
  <c r="AB599" i="433" s="1"/>
  <c r="K599" i="433"/>
  <c r="E599" i="433"/>
  <c r="AA598" i="433"/>
  <c r="AB598" i="433" s="1"/>
  <c r="R598" i="433"/>
  <c r="K598" i="433"/>
  <c r="E598" i="433"/>
  <c r="AA597" i="433"/>
  <c r="R597" i="433"/>
  <c r="K597" i="433"/>
  <c r="E597" i="433"/>
  <c r="AB596" i="433"/>
  <c r="AA596" i="433"/>
  <c r="R596" i="433"/>
  <c r="K596" i="433"/>
  <c r="E596" i="433"/>
  <c r="AA595" i="433"/>
  <c r="R595" i="433"/>
  <c r="K595" i="433"/>
  <c r="E595" i="433"/>
  <c r="AA594" i="433"/>
  <c r="R594" i="433"/>
  <c r="AB594" i="433" s="1"/>
  <c r="K594" i="433"/>
  <c r="E594" i="433"/>
  <c r="AA593" i="433"/>
  <c r="R593" i="433"/>
  <c r="AB593" i="433" s="1"/>
  <c r="K593" i="433"/>
  <c r="E593" i="433"/>
  <c r="AA592" i="433"/>
  <c r="R592" i="433"/>
  <c r="AB592" i="433" s="1"/>
  <c r="E592" i="433"/>
  <c r="K592" i="433" s="1"/>
  <c r="Z591" i="433"/>
  <c r="Y591" i="433"/>
  <c r="X591" i="433"/>
  <c r="W591" i="433"/>
  <c r="V591" i="433"/>
  <c r="U591" i="433"/>
  <c r="T591" i="433"/>
  <c r="S591" i="433"/>
  <c r="Q591" i="433"/>
  <c r="P591" i="433"/>
  <c r="O591" i="433"/>
  <c r="N591" i="433"/>
  <c r="M591" i="433"/>
  <c r="L591" i="433"/>
  <c r="J591" i="433"/>
  <c r="I591" i="433"/>
  <c r="H591" i="433"/>
  <c r="G591" i="433"/>
  <c r="F591" i="433"/>
  <c r="E591" i="433"/>
  <c r="D591" i="433"/>
  <c r="AA590" i="433"/>
  <c r="R590" i="433"/>
  <c r="K590" i="433"/>
  <c r="E590" i="433"/>
  <c r="Z589" i="433"/>
  <c r="Y589" i="433"/>
  <c r="Y577" i="433" s="1"/>
  <c r="Y573" i="433" s="1"/>
  <c r="Y572" i="433" s="1"/>
  <c r="X589" i="433"/>
  <c r="W589" i="433"/>
  <c r="V589" i="433"/>
  <c r="U589" i="433"/>
  <c r="U577" i="433" s="1"/>
  <c r="U573" i="433" s="1"/>
  <c r="U572" i="433" s="1"/>
  <c r="T589" i="433"/>
  <c r="S589" i="433"/>
  <c r="Q589" i="433"/>
  <c r="P589" i="433"/>
  <c r="O589" i="433"/>
  <c r="N589" i="433"/>
  <c r="M589" i="433"/>
  <c r="L589" i="433"/>
  <c r="R589" i="433" s="1"/>
  <c r="J589" i="433"/>
  <c r="I589" i="433"/>
  <c r="H589" i="433"/>
  <c r="G589" i="433"/>
  <c r="F589" i="433"/>
  <c r="E589" i="433"/>
  <c r="D589" i="433"/>
  <c r="AA588" i="433"/>
  <c r="R588" i="433"/>
  <c r="K588" i="433"/>
  <c r="E588" i="433"/>
  <c r="AB587" i="433"/>
  <c r="AA587" i="433"/>
  <c r="R587" i="433"/>
  <c r="E587" i="433"/>
  <c r="K587" i="433" s="1"/>
  <c r="Z586" i="433"/>
  <c r="Y586" i="433"/>
  <c r="X586" i="433"/>
  <c r="W586" i="433"/>
  <c r="V586" i="433"/>
  <c r="U586" i="433"/>
  <c r="T586" i="433"/>
  <c r="S586" i="433"/>
  <c r="Q586" i="433"/>
  <c r="P586" i="433"/>
  <c r="O586" i="433"/>
  <c r="N586" i="433"/>
  <c r="M586" i="433"/>
  <c r="L586" i="433"/>
  <c r="J586" i="433"/>
  <c r="I586" i="433"/>
  <c r="H586" i="433"/>
  <c r="G586" i="433"/>
  <c r="F586" i="433"/>
  <c r="E586" i="433"/>
  <c r="D586" i="433"/>
  <c r="K586" i="433" s="1"/>
  <c r="AA585" i="433"/>
  <c r="R585" i="433"/>
  <c r="AB585" i="433" s="1"/>
  <c r="AC585" i="433" s="1"/>
  <c r="E585" i="433"/>
  <c r="K585" i="433" s="1"/>
  <c r="Z584" i="433"/>
  <c r="Y584" i="433"/>
  <c r="X584" i="433"/>
  <c r="W584" i="433"/>
  <c r="V584" i="433"/>
  <c r="U584" i="433"/>
  <c r="T584" i="433"/>
  <c r="S584" i="433"/>
  <c r="Q584" i="433"/>
  <c r="P584" i="433"/>
  <c r="O584" i="433"/>
  <c r="N584" i="433"/>
  <c r="R584" i="433" s="1"/>
  <c r="M584" i="433"/>
  <c r="L584" i="433"/>
  <c r="J584" i="433"/>
  <c r="I584" i="433"/>
  <c r="H584" i="433"/>
  <c r="G584" i="433"/>
  <c r="F584" i="433"/>
  <c r="E584" i="433"/>
  <c r="D584" i="433"/>
  <c r="AA583" i="433"/>
  <c r="R583" i="433"/>
  <c r="AB583" i="433" s="1"/>
  <c r="AC583" i="433" s="1"/>
  <c r="E583" i="433"/>
  <c r="K583" i="433" s="1"/>
  <c r="Z582" i="433"/>
  <c r="Y582" i="433"/>
  <c r="X582" i="433"/>
  <c r="W582" i="433"/>
  <c r="V582" i="433"/>
  <c r="U582" i="433"/>
  <c r="T582" i="433"/>
  <c r="S582" i="433"/>
  <c r="Q582" i="433"/>
  <c r="P582" i="433"/>
  <c r="O582" i="433"/>
  <c r="N582" i="433"/>
  <c r="M582" i="433"/>
  <c r="L582" i="433"/>
  <c r="J582" i="433"/>
  <c r="I582" i="433"/>
  <c r="H582" i="433"/>
  <c r="G582" i="433"/>
  <c r="F582" i="433"/>
  <c r="E582" i="433"/>
  <c r="D582" i="433"/>
  <c r="AA581" i="433"/>
  <c r="AB581" i="433" s="1"/>
  <c r="AC581" i="433" s="1"/>
  <c r="R581" i="433"/>
  <c r="E581" i="433"/>
  <c r="K581" i="433" s="1"/>
  <c r="Z580" i="433"/>
  <c r="Y580" i="433"/>
  <c r="X580" i="433"/>
  <c r="W580" i="433"/>
  <c r="V580" i="433"/>
  <c r="U580" i="433"/>
  <c r="T580" i="433"/>
  <c r="S580" i="433"/>
  <c r="Q580" i="433"/>
  <c r="P580" i="433"/>
  <c r="O580" i="433"/>
  <c r="N580" i="433"/>
  <c r="M580" i="433"/>
  <c r="L580" i="433"/>
  <c r="J580" i="433"/>
  <c r="I580" i="433"/>
  <c r="H580" i="433"/>
  <c r="G580" i="433"/>
  <c r="F580" i="433"/>
  <c r="E580" i="433"/>
  <c r="D580" i="433"/>
  <c r="AA579" i="433"/>
  <c r="R579" i="433"/>
  <c r="K579" i="433"/>
  <c r="E579" i="433"/>
  <c r="Z578" i="433"/>
  <c r="Y578" i="433"/>
  <c r="X578" i="433"/>
  <c r="W578" i="433"/>
  <c r="V578" i="433"/>
  <c r="U578" i="433"/>
  <c r="T578" i="433"/>
  <c r="S578" i="433"/>
  <c r="Q578" i="433"/>
  <c r="P578" i="433"/>
  <c r="O578" i="433"/>
  <c r="N578" i="433"/>
  <c r="M578" i="433"/>
  <c r="L578" i="433"/>
  <c r="J578" i="433"/>
  <c r="I578" i="433"/>
  <c r="H578" i="433"/>
  <c r="G578" i="433"/>
  <c r="F578" i="433"/>
  <c r="E578" i="433"/>
  <c r="D578" i="433"/>
  <c r="E577" i="433"/>
  <c r="AA576" i="433"/>
  <c r="R576" i="433"/>
  <c r="K576" i="433"/>
  <c r="E576" i="433"/>
  <c r="AA575" i="433"/>
  <c r="AB575" i="433" s="1"/>
  <c r="R575" i="433"/>
  <c r="E575" i="433"/>
  <c r="K575" i="433" s="1"/>
  <c r="AA574" i="433"/>
  <c r="R574" i="433"/>
  <c r="K574" i="433"/>
  <c r="E574" i="433"/>
  <c r="E573" i="433"/>
  <c r="E572" i="433"/>
  <c r="AA571" i="433"/>
  <c r="R571" i="433"/>
  <c r="E571" i="433"/>
  <c r="K571" i="433" s="1"/>
  <c r="Z570" i="433"/>
  <c r="Y570" i="433"/>
  <c r="X570" i="433"/>
  <c r="W570" i="433"/>
  <c r="V570" i="433"/>
  <c r="U570" i="433"/>
  <c r="T570" i="433"/>
  <c r="S570" i="433"/>
  <c r="Q570" i="433"/>
  <c r="P570" i="433"/>
  <c r="O570" i="433"/>
  <c r="N570" i="433"/>
  <c r="M570" i="433"/>
  <c r="L570" i="433"/>
  <c r="J570" i="433"/>
  <c r="I570" i="433"/>
  <c r="H570" i="433"/>
  <c r="G570" i="433"/>
  <c r="F570" i="433"/>
  <c r="E570" i="433"/>
  <c r="D570" i="433"/>
  <c r="AA569" i="433"/>
  <c r="R569" i="433"/>
  <c r="AB569" i="433" s="1"/>
  <c r="E569" i="433"/>
  <c r="K569" i="433" s="1"/>
  <c r="AA568" i="433"/>
  <c r="R568" i="433"/>
  <c r="E568" i="433"/>
  <c r="K568" i="433" s="1"/>
  <c r="Z567" i="433"/>
  <c r="Z566" i="433" s="1"/>
  <c r="Y567" i="433"/>
  <c r="X567" i="433"/>
  <c r="X566" i="433" s="1"/>
  <c r="W567" i="433"/>
  <c r="W566" i="433" s="1"/>
  <c r="V567" i="433"/>
  <c r="V566" i="433" s="1"/>
  <c r="U567" i="433"/>
  <c r="T567" i="433"/>
  <c r="T566" i="433" s="1"/>
  <c r="S567" i="433"/>
  <c r="Q567" i="433"/>
  <c r="P567" i="433"/>
  <c r="P566" i="433" s="1"/>
  <c r="O567" i="433"/>
  <c r="N567" i="433"/>
  <c r="M567" i="433"/>
  <c r="L567" i="433"/>
  <c r="J567" i="433"/>
  <c r="I567" i="433"/>
  <c r="H567" i="433"/>
  <c r="H566" i="433" s="1"/>
  <c r="G567" i="433"/>
  <c r="F567" i="433"/>
  <c r="E567" i="433"/>
  <c r="D567" i="433"/>
  <c r="N566" i="433"/>
  <c r="J566" i="433"/>
  <c r="F566" i="433"/>
  <c r="E566" i="433"/>
  <c r="AA565" i="433"/>
  <c r="AB565" i="433" s="1"/>
  <c r="R565" i="433"/>
  <c r="E565" i="433"/>
  <c r="K565" i="433" s="1"/>
  <c r="AA564" i="433"/>
  <c r="R564" i="433"/>
  <c r="E564" i="433"/>
  <c r="K564" i="433" s="1"/>
  <c r="Z563" i="433"/>
  <c r="Y563" i="433"/>
  <c r="X563" i="433"/>
  <c r="W563" i="433"/>
  <c r="V563" i="433"/>
  <c r="U563" i="433"/>
  <c r="T563" i="433"/>
  <c r="S563" i="433"/>
  <c r="Q563" i="433"/>
  <c r="P563" i="433"/>
  <c r="O563" i="433"/>
  <c r="N563" i="433"/>
  <c r="M563" i="433"/>
  <c r="L563" i="433"/>
  <c r="R563" i="433" s="1"/>
  <c r="J563" i="433"/>
  <c r="I563" i="433"/>
  <c r="H563" i="433"/>
  <c r="G563" i="433"/>
  <c r="F563" i="433"/>
  <c r="E563" i="433"/>
  <c r="D563" i="433"/>
  <c r="AA562" i="433"/>
  <c r="R562" i="433"/>
  <c r="E562" i="433"/>
  <c r="K562" i="433" s="1"/>
  <c r="Z561" i="433"/>
  <c r="Y561" i="433"/>
  <c r="Y560" i="433" s="1"/>
  <c r="X561" i="433"/>
  <c r="X560" i="433" s="1"/>
  <c r="W561" i="433"/>
  <c r="W560" i="433" s="1"/>
  <c r="V561" i="433"/>
  <c r="U561" i="433"/>
  <c r="U560" i="433" s="1"/>
  <c r="T561" i="433"/>
  <c r="T560" i="433" s="1"/>
  <c r="S561" i="433"/>
  <c r="Q561" i="433"/>
  <c r="P561" i="433"/>
  <c r="P560" i="433" s="1"/>
  <c r="O561" i="433"/>
  <c r="O560" i="433" s="1"/>
  <c r="N561" i="433"/>
  <c r="M561" i="433"/>
  <c r="L561" i="433"/>
  <c r="J561" i="433"/>
  <c r="J560" i="433" s="1"/>
  <c r="I561" i="433"/>
  <c r="H561" i="433"/>
  <c r="H560" i="433" s="1"/>
  <c r="G561" i="433"/>
  <c r="G560" i="433" s="1"/>
  <c r="F561" i="433"/>
  <c r="E561" i="433"/>
  <c r="D561" i="433"/>
  <c r="Z560" i="433"/>
  <c r="V560" i="433"/>
  <c r="Q560" i="433"/>
  <c r="N560" i="433"/>
  <c r="M560" i="433"/>
  <c r="I560" i="433"/>
  <c r="F560" i="433"/>
  <c r="E560" i="433"/>
  <c r="AA559" i="433"/>
  <c r="R559" i="433"/>
  <c r="AB559" i="433" s="1"/>
  <c r="E559" i="433"/>
  <c r="K559" i="433" s="1"/>
  <c r="Z558" i="433"/>
  <c r="Y558" i="433"/>
  <c r="X558" i="433"/>
  <c r="W558" i="433"/>
  <c r="V558" i="433"/>
  <c r="U558" i="433"/>
  <c r="T558" i="433"/>
  <c r="S558" i="433"/>
  <c r="Q558" i="433"/>
  <c r="P558" i="433"/>
  <c r="O558" i="433"/>
  <c r="O555" i="433" s="1"/>
  <c r="N558" i="433"/>
  <c r="M558" i="433"/>
  <c r="L558" i="433"/>
  <c r="J558" i="433"/>
  <c r="I558" i="433"/>
  <c r="H558" i="433"/>
  <c r="G558" i="433"/>
  <c r="F558" i="433"/>
  <c r="E558" i="433"/>
  <c r="D558" i="433"/>
  <c r="AA557" i="433"/>
  <c r="AB557" i="433" s="1"/>
  <c r="R557" i="433"/>
  <c r="E557" i="433"/>
  <c r="K557" i="433" s="1"/>
  <c r="Z556" i="433"/>
  <c r="Z555" i="433" s="1"/>
  <c r="Y556" i="433"/>
  <c r="Y555" i="433" s="1"/>
  <c r="X556" i="433"/>
  <c r="W556" i="433"/>
  <c r="V556" i="433"/>
  <c r="V555" i="433" s="1"/>
  <c r="U556" i="433"/>
  <c r="U555" i="433" s="1"/>
  <c r="T556" i="433"/>
  <c r="S556" i="433"/>
  <c r="Q556" i="433"/>
  <c r="Q555" i="433" s="1"/>
  <c r="P556" i="433"/>
  <c r="P555" i="433" s="1"/>
  <c r="O556" i="433"/>
  <c r="N556" i="433"/>
  <c r="M556" i="433"/>
  <c r="M555" i="433" s="1"/>
  <c r="L556" i="433"/>
  <c r="L555" i="433" s="1"/>
  <c r="J556" i="433"/>
  <c r="I556" i="433"/>
  <c r="H556" i="433"/>
  <c r="G556" i="433"/>
  <c r="G555" i="433" s="1"/>
  <c r="F556" i="433"/>
  <c r="E556" i="433"/>
  <c r="D556" i="433"/>
  <c r="D555" i="433" s="1"/>
  <c r="X555" i="433"/>
  <c r="W555" i="433"/>
  <c r="S555" i="433"/>
  <c r="H555" i="433"/>
  <c r="E555" i="433"/>
  <c r="AA554" i="433"/>
  <c r="R554" i="433"/>
  <c r="AB554" i="433" s="1"/>
  <c r="AC554" i="433" s="1"/>
  <c r="E554" i="433"/>
  <c r="K554" i="433" s="1"/>
  <c r="Z553" i="433"/>
  <c r="Y553" i="433"/>
  <c r="X553" i="433"/>
  <c r="W553" i="433"/>
  <c r="V553" i="433"/>
  <c r="U553" i="433"/>
  <c r="T553" i="433"/>
  <c r="S553" i="433"/>
  <c r="Q553" i="433"/>
  <c r="P553" i="433"/>
  <c r="O553" i="433"/>
  <c r="N553" i="433"/>
  <c r="M553" i="433"/>
  <c r="L553" i="433"/>
  <c r="J553" i="433"/>
  <c r="I553" i="433"/>
  <c r="H553" i="433"/>
  <c r="G553" i="433"/>
  <c r="F553" i="433"/>
  <c r="E553" i="433"/>
  <c r="D553" i="433"/>
  <c r="AA552" i="433"/>
  <c r="R552" i="433"/>
  <c r="AB552" i="433" s="1"/>
  <c r="AC552" i="433" s="1"/>
  <c r="E552" i="433"/>
  <c r="K552" i="433" s="1"/>
  <c r="Z551" i="433"/>
  <c r="Y551" i="433"/>
  <c r="X551" i="433"/>
  <c r="W551" i="433"/>
  <c r="V551" i="433"/>
  <c r="U551" i="433"/>
  <c r="T551" i="433"/>
  <c r="S551" i="433"/>
  <c r="Q551" i="433"/>
  <c r="P551" i="433"/>
  <c r="O551" i="433"/>
  <c r="N551" i="433"/>
  <c r="M551" i="433"/>
  <c r="L551" i="433"/>
  <c r="J551" i="433"/>
  <c r="I551" i="433"/>
  <c r="H551" i="433"/>
  <c r="G551" i="433"/>
  <c r="F551" i="433"/>
  <c r="E551" i="433"/>
  <c r="D551" i="433"/>
  <c r="AA550" i="433"/>
  <c r="R550" i="433"/>
  <c r="AB550" i="433" s="1"/>
  <c r="AC550" i="433" s="1"/>
  <c r="E550" i="433"/>
  <c r="K550" i="433" s="1"/>
  <c r="Z549" i="433"/>
  <c r="Y549" i="433"/>
  <c r="X549" i="433"/>
  <c r="W549" i="433"/>
  <c r="V549" i="433"/>
  <c r="U549" i="433"/>
  <c r="T549" i="433"/>
  <c r="S549" i="433"/>
  <c r="Q549" i="433"/>
  <c r="P549" i="433"/>
  <c r="O549" i="433"/>
  <c r="N549" i="433"/>
  <c r="M549" i="433"/>
  <c r="L549" i="433"/>
  <c r="J549" i="433"/>
  <c r="I549" i="433"/>
  <c r="H549" i="433"/>
  <c r="G549" i="433"/>
  <c r="F549" i="433"/>
  <c r="E549" i="433"/>
  <c r="D549" i="433"/>
  <c r="AA548" i="433"/>
  <c r="R548" i="433"/>
  <c r="AB548" i="433" s="1"/>
  <c r="E548" i="433"/>
  <c r="K548" i="433" s="1"/>
  <c r="Z547" i="433"/>
  <c r="Y547" i="433"/>
  <c r="X547" i="433"/>
  <c r="W547" i="433"/>
  <c r="V547" i="433"/>
  <c r="U547" i="433"/>
  <c r="T547" i="433"/>
  <c r="S547" i="433"/>
  <c r="Q547" i="433"/>
  <c r="P547" i="433"/>
  <c r="O547" i="433"/>
  <c r="N547" i="433"/>
  <c r="M547" i="433"/>
  <c r="L547" i="433"/>
  <c r="J547" i="433"/>
  <c r="I547" i="433"/>
  <c r="H547" i="433"/>
  <c r="G547" i="433"/>
  <c r="F547" i="433"/>
  <c r="E547" i="433"/>
  <c r="D547" i="433"/>
  <c r="AA546" i="433"/>
  <c r="R546" i="433"/>
  <c r="AB546" i="433" s="1"/>
  <c r="AC546" i="433" s="1"/>
  <c r="E546" i="433"/>
  <c r="K546" i="433" s="1"/>
  <c r="Z545" i="433"/>
  <c r="Y545" i="433"/>
  <c r="X545" i="433"/>
  <c r="W545" i="433"/>
  <c r="V545" i="433"/>
  <c r="U545" i="433"/>
  <c r="T545" i="433"/>
  <c r="S545" i="433"/>
  <c r="Q545" i="433"/>
  <c r="P545" i="433"/>
  <c r="O545" i="433"/>
  <c r="N545" i="433"/>
  <c r="M545" i="433"/>
  <c r="L545" i="433"/>
  <c r="J545" i="433"/>
  <c r="I545" i="433"/>
  <c r="H545" i="433"/>
  <c r="G545" i="433"/>
  <c r="F545" i="433"/>
  <c r="E545" i="433"/>
  <c r="D545" i="433"/>
  <c r="AA544" i="433"/>
  <c r="R544" i="433"/>
  <c r="AB544" i="433" s="1"/>
  <c r="AC544" i="433" s="1"/>
  <c r="E544" i="433"/>
  <c r="K544" i="433" s="1"/>
  <c r="Z543" i="433"/>
  <c r="Y543" i="433"/>
  <c r="X543" i="433"/>
  <c r="W543" i="433"/>
  <c r="V543" i="433"/>
  <c r="U543" i="433"/>
  <c r="T543" i="433"/>
  <c r="S543" i="433"/>
  <c r="Q543" i="433"/>
  <c r="P543" i="433"/>
  <c r="O543" i="433"/>
  <c r="N543" i="433"/>
  <c r="M543" i="433"/>
  <c r="L543" i="433"/>
  <c r="J543" i="433"/>
  <c r="I543" i="433"/>
  <c r="H543" i="433"/>
  <c r="G543" i="433"/>
  <c r="F543" i="433"/>
  <c r="E543" i="433"/>
  <c r="D543" i="433"/>
  <c r="AA542" i="433"/>
  <c r="R542" i="433"/>
  <c r="AB542" i="433" s="1"/>
  <c r="AC542" i="433" s="1"/>
  <c r="E542" i="433"/>
  <c r="K542" i="433" s="1"/>
  <c r="Z541" i="433"/>
  <c r="Y541" i="433"/>
  <c r="X541" i="433"/>
  <c r="W541" i="433"/>
  <c r="V541" i="433"/>
  <c r="U541" i="433"/>
  <c r="T541" i="433"/>
  <c r="S541" i="433"/>
  <c r="Q541" i="433"/>
  <c r="P541" i="433"/>
  <c r="O541" i="433"/>
  <c r="N541" i="433"/>
  <c r="M541" i="433"/>
  <c r="L541" i="433"/>
  <c r="J541" i="433"/>
  <c r="I541" i="433"/>
  <c r="H541" i="433"/>
  <c r="G541" i="433"/>
  <c r="F541" i="433"/>
  <c r="E541" i="433"/>
  <c r="D541" i="433"/>
  <c r="AA540" i="433"/>
  <c r="R540" i="433"/>
  <c r="AB540" i="433" s="1"/>
  <c r="E540" i="433"/>
  <c r="K540" i="433" s="1"/>
  <c r="Z539" i="433"/>
  <c r="Y539" i="433"/>
  <c r="X539" i="433"/>
  <c r="W539" i="433"/>
  <c r="V539" i="433"/>
  <c r="U539" i="433"/>
  <c r="T539" i="433"/>
  <c r="S539" i="433"/>
  <c r="Q539" i="433"/>
  <c r="P539" i="433"/>
  <c r="O539" i="433"/>
  <c r="N539" i="433"/>
  <c r="M539" i="433"/>
  <c r="L539" i="433"/>
  <c r="J539" i="433"/>
  <c r="I539" i="433"/>
  <c r="H539" i="433"/>
  <c r="G539" i="433"/>
  <c r="F539" i="433"/>
  <c r="E539" i="433"/>
  <c r="D539" i="433"/>
  <c r="AA538" i="433"/>
  <c r="R538" i="433"/>
  <c r="AB538" i="433" s="1"/>
  <c r="AC538" i="433" s="1"/>
  <c r="E538" i="433"/>
  <c r="K538" i="433" s="1"/>
  <c r="Z537" i="433"/>
  <c r="Y537" i="433"/>
  <c r="X537" i="433"/>
  <c r="W537" i="433"/>
  <c r="V537" i="433"/>
  <c r="U537" i="433"/>
  <c r="T537" i="433"/>
  <c r="S537" i="433"/>
  <c r="Q537" i="433"/>
  <c r="P537" i="433"/>
  <c r="O537" i="433"/>
  <c r="N537" i="433"/>
  <c r="M537" i="433"/>
  <c r="L537" i="433"/>
  <c r="J537" i="433"/>
  <c r="I537" i="433"/>
  <c r="H537" i="433"/>
  <c r="G537" i="433"/>
  <c r="F537" i="433"/>
  <c r="E537" i="433"/>
  <c r="D537" i="433"/>
  <c r="AA536" i="433"/>
  <c r="R536" i="433"/>
  <c r="AB536" i="433" s="1"/>
  <c r="AC536" i="433" s="1"/>
  <c r="E536" i="433"/>
  <c r="K536" i="433" s="1"/>
  <c r="Z535" i="433"/>
  <c r="Y535" i="433"/>
  <c r="X535" i="433"/>
  <c r="W535" i="433"/>
  <c r="V535" i="433"/>
  <c r="U535" i="433"/>
  <c r="T535" i="433"/>
  <c r="S535" i="433"/>
  <c r="Q535" i="433"/>
  <c r="P535" i="433"/>
  <c r="O535" i="433"/>
  <c r="N535" i="433"/>
  <c r="M535" i="433"/>
  <c r="L535" i="433"/>
  <c r="J535" i="433"/>
  <c r="I535" i="433"/>
  <c r="H535" i="433"/>
  <c r="G535" i="433"/>
  <c r="F535" i="433"/>
  <c r="E535" i="433"/>
  <c r="D535" i="433"/>
  <c r="AA534" i="433"/>
  <c r="R534" i="433"/>
  <c r="AB534" i="433" s="1"/>
  <c r="AC534" i="433" s="1"/>
  <c r="E534" i="433"/>
  <c r="K534" i="433" s="1"/>
  <c r="Z533" i="433"/>
  <c r="Y533" i="433"/>
  <c r="X533" i="433"/>
  <c r="W533" i="433"/>
  <c r="V533" i="433"/>
  <c r="U533" i="433"/>
  <c r="T533" i="433"/>
  <c r="S533" i="433"/>
  <c r="Q533" i="433"/>
  <c r="P533" i="433"/>
  <c r="O533" i="433"/>
  <c r="N533" i="433"/>
  <c r="M533" i="433"/>
  <c r="L533" i="433"/>
  <c r="J533" i="433"/>
  <c r="I533" i="433"/>
  <c r="H533" i="433"/>
  <c r="G533" i="433"/>
  <c r="F533" i="433"/>
  <c r="E533" i="433"/>
  <c r="D533" i="433"/>
  <c r="AA532" i="433"/>
  <c r="R532" i="433"/>
  <c r="AB532" i="433" s="1"/>
  <c r="E532" i="433"/>
  <c r="K532" i="433" s="1"/>
  <c r="Z531" i="433"/>
  <c r="Y531" i="433"/>
  <c r="X531" i="433"/>
  <c r="W531" i="433"/>
  <c r="V531" i="433"/>
  <c r="U531" i="433"/>
  <c r="T531" i="433"/>
  <c r="S531" i="433"/>
  <c r="Q531" i="433"/>
  <c r="P531" i="433"/>
  <c r="O531" i="433"/>
  <c r="N531" i="433"/>
  <c r="M531" i="433"/>
  <c r="L531" i="433"/>
  <c r="J531" i="433"/>
  <c r="I531" i="433"/>
  <c r="H531" i="433"/>
  <c r="G531" i="433"/>
  <c r="F531" i="433"/>
  <c r="E531" i="433"/>
  <c r="D531" i="433"/>
  <c r="AA530" i="433"/>
  <c r="AB530" i="433" s="1"/>
  <c r="AC530" i="433" s="1"/>
  <c r="R530" i="433"/>
  <c r="E530" i="433"/>
  <c r="K530" i="433" s="1"/>
  <c r="Z529" i="433"/>
  <c r="Y529" i="433"/>
  <c r="X529" i="433"/>
  <c r="W529" i="433"/>
  <c r="V529" i="433"/>
  <c r="U529" i="433"/>
  <c r="T529" i="433"/>
  <c r="S529" i="433"/>
  <c r="Q529" i="433"/>
  <c r="P529" i="433"/>
  <c r="O529" i="433"/>
  <c r="N529" i="433"/>
  <c r="M529" i="433"/>
  <c r="L529" i="433"/>
  <c r="J529" i="433"/>
  <c r="I529" i="433"/>
  <c r="H529" i="433"/>
  <c r="G529" i="433"/>
  <c r="F529" i="433"/>
  <c r="E529" i="433"/>
  <c r="D529" i="433"/>
  <c r="AA528" i="433"/>
  <c r="R528" i="433"/>
  <c r="E528" i="433"/>
  <c r="K528" i="433" s="1"/>
  <c r="Z527" i="433"/>
  <c r="Y527" i="433"/>
  <c r="X527" i="433"/>
  <c r="W527" i="433"/>
  <c r="V527" i="433"/>
  <c r="U527" i="433"/>
  <c r="T527" i="433"/>
  <c r="S527" i="433"/>
  <c r="Q527" i="433"/>
  <c r="P527" i="433"/>
  <c r="O527" i="433"/>
  <c r="N527" i="433"/>
  <c r="M527" i="433"/>
  <c r="L527" i="433"/>
  <c r="J527" i="433"/>
  <c r="I527" i="433"/>
  <c r="H527" i="433"/>
  <c r="G527" i="433"/>
  <c r="F527" i="433"/>
  <c r="E527" i="433"/>
  <c r="D527" i="433"/>
  <c r="AA526" i="433"/>
  <c r="R526" i="433"/>
  <c r="E526" i="433"/>
  <c r="K526" i="433" s="1"/>
  <c r="Z525" i="433"/>
  <c r="Y525" i="433"/>
  <c r="X525" i="433"/>
  <c r="W525" i="433"/>
  <c r="V525" i="433"/>
  <c r="U525" i="433"/>
  <c r="T525" i="433"/>
  <c r="S525" i="433"/>
  <c r="Q525" i="433"/>
  <c r="P525" i="433"/>
  <c r="O525" i="433"/>
  <c r="N525" i="433"/>
  <c r="M525" i="433"/>
  <c r="L525" i="433"/>
  <c r="R525" i="433" s="1"/>
  <c r="J525" i="433"/>
  <c r="I525" i="433"/>
  <c r="H525" i="433"/>
  <c r="G525" i="433"/>
  <c r="F525" i="433"/>
  <c r="E525" i="433"/>
  <c r="D525" i="433"/>
  <c r="AB524" i="433"/>
  <c r="AA524" i="433"/>
  <c r="R524" i="433"/>
  <c r="E524" i="433"/>
  <c r="K524" i="433" s="1"/>
  <c r="Z523" i="433"/>
  <c r="Y523" i="433"/>
  <c r="X523" i="433"/>
  <c r="W523" i="433"/>
  <c r="V523" i="433"/>
  <c r="U523" i="433"/>
  <c r="T523" i="433"/>
  <c r="S523" i="433"/>
  <c r="Q523" i="433"/>
  <c r="P523" i="433"/>
  <c r="O523" i="433"/>
  <c r="N523" i="433"/>
  <c r="M523" i="433"/>
  <c r="L523" i="433"/>
  <c r="J523" i="433"/>
  <c r="I523" i="433"/>
  <c r="H523" i="433"/>
  <c r="G523" i="433"/>
  <c r="F523" i="433"/>
  <c r="E523" i="433"/>
  <c r="D523" i="433"/>
  <c r="AA522" i="433"/>
  <c r="R522" i="433"/>
  <c r="AB522" i="433" s="1"/>
  <c r="E522" i="433"/>
  <c r="K522" i="433" s="1"/>
  <c r="Z521" i="433"/>
  <c r="Y521" i="433"/>
  <c r="X521" i="433"/>
  <c r="W521" i="433"/>
  <c r="V521" i="433"/>
  <c r="U521" i="433"/>
  <c r="T521" i="433"/>
  <c r="S521" i="433"/>
  <c r="AA521" i="433" s="1"/>
  <c r="Q521" i="433"/>
  <c r="P521" i="433"/>
  <c r="O521" i="433"/>
  <c r="N521" i="433"/>
  <c r="M521" i="433"/>
  <c r="L521" i="433"/>
  <c r="J521" i="433"/>
  <c r="I521" i="433"/>
  <c r="H521" i="433"/>
  <c r="G521" i="433"/>
  <c r="F521" i="433"/>
  <c r="E521" i="433"/>
  <c r="D521" i="433"/>
  <c r="AA520" i="433"/>
  <c r="R520" i="433"/>
  <c r="AB520" i="433" s="1"/>
  <c r="E520" i="433"/>
  <c r="K520" i="433" s="1"/>
  <c r="Z519" i="433"/>
  <c r="Y519" i="433"/>
  <c r="X519" i="433"/>
  <c r="W519" i="433"/>
  <c r="V519" i="433"/>
  <c r="U519" i="433"/>
  <c r="T519" i="433"/>
  <c r="S519" i="433"/>
  <c r="Q519" i="433"/>
  <c r="P519" i="433"/>
  <c r="O519" i="433"/>
  <c r="N519" i="433"/>
  <c r="M519" i="433"/>
  <c r="L519" i="433"/>
  <c r="J519" i="433"/>
  <c r="I519" i="433"/>
  <c r="H519" i="433"/>
  <c r="G519" i="433"/>
  <c r="F519" i="433"/>
  <c r="E519" i="433"/>
  <c r="D519" i="433"/>
  <c r="K519" i="433" s="1"/>
  <c r="AA518" i="433"/>
  <c r="R518" i="433"/>
  <c r="AB518" i="433" s="1"/>
  <c r="E518" i="433"/>
  <c r="K518" i="433" s="1"/>
  <c r="Z517" i="433"/>
  <c r="Y517" i="433"/>
  <c r="X517" i="433"/>
  <c r="W517" i="433"/>
  <c r="V517" i="433"/>
  <c r="U517" i="433"/>
  <c r="T517" i="433"/>
  <c r="S517" i="433"/>
  <c r="Q517" i="433"/>
  <c r="P517" i="433"/>
  <c r="O517" i="433"/>
  <c r="N517" i="433"/>
  <c r="M517" i="433"/>
  <c r="L517" i="433"/>
  <c r="J517" i="433"/>
  <c r="I517" i="433"/>
  <c r="H517" i="433"/>
  <c r="G517" i="433"/>
  <c r="F517" i="433"/>
  <c r="E517" i="433"/>
  <c r="D517" i="433"/>
  <c r="K517" i="433" s="1"/>
  <c r="AA516" i="433"/>
  <c r="R516" i="433"/>
  <c r="E516" i="433"/>
  <c r="K516" i="433" s="1"/>
  <c r="Z515" i="433"/>
  <c r="Y515" i="433"/>
  <c r="X515" i="433"/>
  <c r="W515" i="433"/>
  <c r="V515" i="433"/>
  <c r="U515" i="433"/>
  <c r="T515" i="433"/>
  <c r="S515" i="433"/>
  <c r="Q515" i="433"/>
  <c r="P515" i="433"/>
  <c r="O515" i="433"/>
  <c r="N515" i="433"/>
  <c r="M515" i="433"/>
  <c r="L515" i="433"/>
  <c r="R515" i="433" s="1"/>
  <c r="J515" i="433"/>
  <c r="I515" i="433"/>
  <c r="H515" i="433"/>
  <c r="G515" i="433"/>
  <c r="F515" i="433"/>
  <c r="E515" i="433"/>
  <c r="D515" i="433"/>
  <c r="AB514" i="433"/>
  <c r="AC514" i="433" s="1"/>
  <c r="AA514" i="433"/>
  <c r="R514" i="433"/>
  <c r="E514" i="433"/>
  <c r="K514" i="433" s="1"/>
  <c r="Z513" i="433"/>
  <c r="Y513" i="433"/>
  <c r="X513" i="433"/>
  <c r="W513" i="433"/>
  <c r="V513" i="433"/>
  <c r="U513" i="433"/>
  <c r="T513" i="433"/>
  <c r="S513" i="433"/>
  <c r="Q513" i="433"/>
  <c r="P513" i="433"/>
  <c r="O513" i="433"/>
  <c r="N513" i="433"/>
  <c r="M513" i="433"/>
  <c r="L513" i="433"/>
  <c r="J513" i="433"/>
  <c r="I513" i="433"/>
  <c r="H513" i="433"/>
  <c r="G513" i="433"/>
  <c r="F513" i="433"/>
  <c r="E513" i="433"/>
  <c r="D513" i="433"/>
  <c r="AA512" i="433"/>
  <c r="R512" i="433"/>
  <c r="AB512" i="433" s="1"/>
  <c r="AC512" i="433" s="1"/>
  <c r="E512" i="433"/>
  <c r="K512" i="433" s="1"/>
  <c r="Z511" i="433"/>
  <c r="Y511" i="433"/>
  <c r="X511" i="433"/>
  <c r="W511" i="433"/>
  <c r="V511" i="433"/>
  <c r="U511" i="433"/>
  <c r="T511" i="433"/>
  <c r="S511" i="433"/>
  <c r="Q511" i="433"/>
  <c r="P511" i="433"/>
  <c r="O511" i="433"/>
  <c r="N511" i="433"/>
  <c r="M511" i="433"/>
  <c r="L511" i="433"/>
  <c r="J511" i="433"/>
  <c r="I511" i="433"/>
  <c r="H511" i="433"/>
  <c r="G511" i="433"/>
  <c r="F511" i="433"/>
  <c r="E511" i="433"/>
  <c r="D511" i="433"/>
  <c r="K511" i="433" s="1"/>
  <c r="AA510" i="433"/>
  <c r="R510" i="433"/>
  <c r="AB510" i="433" s="1"/>
  <c r="AC510" i="433" s="1"/>
  <c r="E510" i="433"/>
  <c r="K510" i="433" s="1"/>
  <c r="Z509" i="433"/>
  <c r="Y509" i="433"/>
  <c r="X509" i="433"/>
  <c r="W509" i="433"/>
  <c r="V509" i="433"/>
  <c r="U509" i="433"/>
  <c r="T509" i="433"/>
  <c r="S509" i="433"/>
  <c r="Q509" i="433"/>
  <c r="P509" i="433"/>
  <c r="O509" i="433"/>
  <c r="N509" i="433"/>
  <c r="M509" i="433"/>
  <c r="L509" i="433"/>
  <c r="J509" i="433"/>
  <c r="I509" i="433"/>
  <c r="H509" i="433"/>
  <c r="G509" i="433"/>
  <c r="F509" i="433"/>
  <c r="E509" i="433"/>
  <c r="D509" i="433"/>
  <c r="K509" i="433" s="1"/>
  <c r="AA508" i="433"/>
  <c r="AB508" i="433" s="1"/>
  <c r="R508" i="433"/>
  <c r="E508" i="433"/>
  <c r="K508" i="433" s="1"/>
  <c r="Z507" i="433"/>
  <c r="Y507" i="433"/>
  <c r="X507" i="433"/>
  <c r="W507" i="433"/>
  <c r="V507" i="433"/>
  <c r="U507" i="433"/>
  <c r="T507" i="433"/>
  <c r="S507" i="433"/>
  <c r="Q507" i="433"/>
  <c r="P507" i="433"/>
  <c r="O507" i="433"/>
  <c r="N507" i="433"/>
  <c r="M507" i="433"/>
  <c r="L507" i="433"/>
  <c r="J507" i="433"/>
  <c r="I507" i="433"/>
  <c r="H507" i="433"/>
  <c r="G507" i="433"/>
  <c r="F507" i="433"/>
  <c r="E507" i="433"/>
  <c r="D507" i="433"/>
  <c r="AA506" i="433"/>
  <c r="R506" i="433"/>
  <c r="AB506" i="433" s="1"/>
  <c r="AC506" i="433" s="1"/>
  <c r="E506" i="433"/>
  <c r="K506" i="433" s="1"/>
  <c r="Z505" i="433"/>
  <c r="Y505" i="433"/>
  <c r="X505" i="433"/>
  <c r="W505" i="433"/>
  <c r="V505" i="433"/>
  <c r="U505" i="433"/>
  <c r="T505" i="433"/>
  <c r="S505" i="433"/>
  <c r="Q505" i="433"/>
  <c r="P505" i="433"/>
  <c r="O505" i="433"/>
  <c r="N505" i="433"/>
  <c r="M505" i="433"/>
  <c r="L505" i="433"/>
  <c r="J505" i="433"/>
  <c r="I505" i="433"/>
  <c r="H505" i="433"/>
  <c r="G505" i="433"/>
  <c r="F505" i="433"/>
  <c r="E505" i="433"/>
  <c r="D505" i="433"/>
  <c r="AA504" i="433"/>
  <c r="R504" i="433"/>
  <c r="E504" i="433"/>
  <c r="K504" i="433" s="1"/>
  <c r="Z503" i="433"/>
  <c r="Y503" i="433"/>
  <c r="X503" i="433"/>
  <c r="W503" i="433"/>
  <c r="V503" i="433"/>
  <c r="U503" i="433"/>
  <c r="T503" i="433"/>
  <c r="S503" i="433"/>
  <c r="Q503" i="433"/>
  <c r="P503" i="433"/>
  <c r="O503" i="433"/>
  <c r="N503" i="433"/>
  <c r="M503" i="433"/>
  <c r="L503" i="433"/>
  <c r="J503" i="433"/>
  <c r="I503" i="433"/>
  <c r="H503" i="433"/>
  <c r="G503" i="433"/>
  <c r="F503" i="433"/>
  <c r="E503" i="433"/>
  <c r="D503" i="433"/>
  <c r="AA502" i="433"/>
  <c r="R502" i="433"/>
  <c r="E502" i="433"/>
  <c r="K502" i="433" s="1"/>
  <c r="Z501" i="433"/>
  <c r="Y501" i="433"/>
  <c r="X501" i="433"/>
  <c r="W501" i="433"/>
  <c r="V501" i="433"/>
  <c r="U501" i="433"/>
  <c r="T501" i="433"/>
  <c r="S501" i="433"/>
  <c r="Q501" i="433"/>
  <c r="P501" i="433"/>
  <c r="O501" i="433"/>
  <c r="N501" i="433"/>
  <c r="M501" i="433"/>
  <c r="L501" i="433"/>
  <c r="R501" i="433" s="1"/>
  <c r="J501" i="433"/>
  <c r="I501" i="433"/>
  <c r="H501" i="433"/>
  <c r="G501" i="433"/>
  <c r="F501" i="433"/>
  <c r="E501" i="433"/>
  <c r="D501" i="433"/>
  <c r="AB500" i="433"/>
  <c r="AA500" i="433"/>
  <c r="R500" i="433"/>
  <c r="E500" i="433"/>
  <c r="K500" i="433" s="1"/>
  <c r="Z499" i="433"/>
  <c r="Y499" i="433"/>
  <c r="X499" i="433"/>
  <c r="W499" i="433"/>
  <c r="V499" i="433"/>
  <c r="U499" i="433"/>
  <c r="T499" i="433"/>
  <c r="S499" i="433"/>
  <c r="Q499" i="433"/>
  <c r="P499" i="433"/>
  <c r="O499" i="433"/>
  <c r="N499" i="433"/>
  <c r="M499" i="433"/>
  <c r="L499" i="433"/>
  <c r="J499" i="433"/>
  <c r="I499" i="433"/>
  <c r="H499" i="433"/>
  <c r="G499" i="433"/>
  <c r="F499" i="433"/>
  <c r="E499" i="433"/>
  <c r="D499" i="433"/>
  <c r="AB498" i="433"/>
  <c r="AA498" i="433"/>
  <c r="R498" i="433"/>
  <c r="E498" i="433"/>
  <c r="K498" i="433" s="1"/>
  <c r="Z497" i="433"/>
  <c r="Y497" i="433"/>
  <c r="X497" i="433"/>
  <c r="W497" i="433"/>
  <c r="V497" i="433"/>
  <c r="U497" i="433"/>
  <c r="T497" i="433"/>
  <c r="S497" i="433"/>
  <c r="AA497" i="433" s="1"/>
  <c r="Q497" i="433"/>
  <c r="P497" i="433"/>
  <c r="O497" i="433"/>
  <c r="N497" i="433"/>
  <c r="R497" i="433" s="1"/>
  <c r="AB497" i="433" s="1"/>
  <c r="M497" i="433"/>
  <c r="L497" i="433"/>
  <c r="J497" i="433"/>
  <c r="I497" i="433"/>
  <c r="H497" i="433"/>
  <c r="G497" i="433"/>
  <c r="F497" i="433"/>
  <c r="E497" i="433"/>
  <c r="D497" i="433"/>
  <c r="AA496" i="433"/>
  <c r="R496" i="433"/>
  <c r="E496" i="433"/>
  <c r="K496" i="433" s="1"/>
  <c r="Z495" i="433"/>
  <c r="Y495" i="433"/>
  <c r="X495" i="433"/>
  <c r="W495" i="433"/>
  <c r="V495" i="433"/>
  <c r="U495" i="433"/>
  <c r="T495" i="433"/>
  <c r="S495" i="433"/>
  <c r="Q495" i="433"/>
  <c r="P495" i="433"/>
  <c r="O495" i="433"/>
  <c r="N495" i="433"/>
  <c r="R495" i="433" s="1"/>
  <c r="M495" i="433"/>
  <c r="L495" i="433"/>
  <c r="J495" i="433"/>
  <c r="I495" i="433"/>
  <c r="H495" i="433"/>
  <c r="G495" i="433"/>
  <c r="F495" i="433"/>
  <c r="E495" i="433"/>
  <c r="D495" i="433"/>
  <c r="K495" i="433" s="1"/>
  <c r="AA494" i="433"/>
  <c r="R494" i="433"/>
  <c r="E494" i="433"/>
  <c r="K494" i="433" s="1"/>
  <c r="Z493" i="433"/>
  <c r="Y493" i="433"/>
  <c r="X493" i="433"/>
  <c r="W493" i="433"/>
  <c r="V493" i="433"/>
  <c r="U493" i="433"/>
  <c r="T493" i="433"/>
  <c r="S493" i="433"/>
  <c r="Q493" i="433"/>
  <c r="P493" i="433"/>
  <c r="O493" i="433"/>
  <c r="N493" i="433"/>
  <c r="M493" i="433"/>
  <c r="L493" i="433"/>
  <c r="J493" i="433"/>
  <c r="I493" i="433"/>
  <c r="H493" i="433"/>
  <c r="G493" i="433"/>
  <c r="F493" i="433"/>
  <c r="E493" i="433"/>
  <c r="D493" i="433"/>
  <c r="K493" i="433" s="1"/>
  <c r="AA492" i="433"/>
  <c r="R492" i="433"/>
  <c r="AB492" i="433" s="1"/>
  <c r="E492" i="433"/>
  <c r="K492" i="433" s="1"/>
  <c r="AA491" i="433"/>
  <c r="R491" i="433"/>
  <c r="AB491" i="433" s="1"/>
  <c r="E491" i="433"/>
  <c r="K491" i="433" s="1"/>
  <c r="Z490" i="433"/>
  <c r="Y490" i="433"/>
  <c r="X490" i="433"/>
  <c r="W490" i="433"/>
  <c r="V490" i="433"/>
  <c r="U490" i="433"/>
  <c r="T490" i="433"/>
  <c r="S490" i="433"/>
  <c r="Q490" i="433"/>
  <c r="P490" i="433"/>
  <c r="O490" i="433"/>
  <c r="O461" i="433" s="1"/>
  <c r="N490" i="433"/>
  <c r="M490" i="433"/>
  <c r="L490" i="433"/>
  <c r="J490" i="433"/>
  <c r="I490" i="433"/>
  <c r="H490" i="433"/>
  <c r="G490" i="433"/>
  <c r="F490" i="433"/>
  <c r="E490" i="433"/>
  <c r="D490" i="433"/>
  <c r="AA489" i="433"/>
  <c r="R489" i="433"/>
  <c r="E489" i="433"/>
  <c r="K489" i="433" s="1"/>
  <c r="AA488" i="433"/>
  <c r="R488" i="433"/>
  <c r="AB488" i="433" s="1"/>
  <c r="AC488" i="433" s="1"/>
  <c r="E488" i="433"/>
  <c r="K488" i="433" s="1"/>
  <c r="Z487" i="433"/>
  <c r="Y487" i="433"/>
  <c r="X487" i="433"/>
  <c r="W487" i="433"/>
  <c r="V487" i="433"/>
  <c r="U487" i="433"/>
  <c r="T487" i="433"/>
  <c r="S487" i="433"/>
  <c r="Q487" i="433"/>
  <c r="P487" i="433"/>
  <c r="O487" i="433"/>
  <c r="N487" i="433"/>
  <c r="M487" i="433"/>
  <c r="L487" i="433"/>
  <c r="J487" i="433"/>
  <c r="I487" i="433"/>
  <c r="H487" i="433"/>
  <c r="G487" i="433"/>
  <c r="F487" i="433"/>
  <c r="E487" i="433"/>
  <c r="D487" i="433"/>
  <c r="AA486" i="433"/>
  <c r="R486" i="433"/>
  <c r="E486" i="433"/>
  <c r="K486" i="433" s="1"/>
  <c r="AA485" i="433"/>
  <c r="R485" i="433"/>
  <c r="AB485" i="433" s="1"/>
  <c r="AC485" i="433" s="1"/>
  <c r="E485" i="433"/>
  <c r="K485" i="433" s="1"/>
  <c r="AA484" i="433"/>
  <c r="R484" i="433"/>
  <c r="AB484" i="433" s="1"/>
  <c r="E484" i="433"/>
  <c r="K484" i="433" s="1"/>
  <c r="AA483" i="433"/>
  <c r="R483" i="433"/>
  <c r="E483" i="433"/>
  <c r="K483" i="433" s="1"/>
  <c r="Z482" i="433"/>
  <c r="Y482" i="433"/>
  <c r="X482" i="433"/>
  <c r="W482" i="433"/>
  <c r="V482" i="433"/>
  <c r="U482" i="433"/>
  <c r="T482" i="433"/>
  <c r="S482" i="433"/>
  <c r="Q482" i="433"/>
  <c r="P482" i="433"/>
  <c r="O482" i="433"/>
  <c r="N482" i="433"/>
  <c r="M482" i="433"/>
  <c r="L482" i="433"/>
  <c r="J482" i="433"/>
  <c r="I482" i="433"/>
  <c r="H482" i="433"/>
  <c r="G482" i="433"/>
  <c r="F482" i="433"/>
  <c r="E482" i="433"/>
  <c r="D482" i="433"/>
  <c r="K482" i="433" s="1"/>
  <c r="AA481" i="433"/>
  <c r="R481" i="433"/>
  <c r="E481" i="433"/>
  <c r="K481" i="433" s="1"/>
  <c r="AA480" i="433"/>
  <c r="R480" i="433"/>
  <c r="E480" i="433"/>
  <c r="K480" i="433" s="1"/>
  <c r="AA479" i="433"/>
  <c r="R479" i="433"/>
  <c r="AB479" i="433" s="1"/>
  <c r="AC479" i="433" s="1"/>
  <c r="E479" i="433"/>
  <c r="K479" i="433" s="1"/>
  <c r="AA478" i="433"/>
  <c r="R478" i="433"/>
  <c r="E478" i="433"/>
  <c r="K478" i="433" s="1"/>
  <c r="Z477" i="433"/>
  <c r="Y477" i="433"/>
  <c r="X477" i="433"/>
  <c r="W477" i="433"/>
  <c r="V477" i="433"/>
  <c r="U477" i="433"/>
  <c r="T477" i="433"/>
  <c r="S477" i="433"/>
  <c r="Q477" i="433"/>
  <c r="P477" i="433"/>
  <c r="O477" i="433"/>
  <c r="N477" i="433"/>
  <c r="M477" i="433"/>
  <c r="L477" i="433"/>
  <c r="J477" i="433"/>
  <c r="I477" i="433"/>
  <c r="H477" i="433"/>
  <c r="G477" i="433"/>
  <c r="F477" i="433"/>
  <c r="E477" i="433"/>
  <c r="D477" i="433"/>
  <c r="K477" i="433" s="1"/>
  <c r="AA476" i="433"/>
  <c r="R476" i="433"/>
  <c r="AB476" i="433" s="1"/>
  <c r="E476" i="433"/>
  <c r="K476" i="433" s="1"/>
  <c r="AA475" i="433"/>
  <c r="R475" i="433"/>
  <c r="AB475" i="433" s="1"/>
  <c r="E475" i="433"/>
  <c r="K475" i="433" s="1"/>
  <c r="AA474" i="433"/>
  <c r="R474" i="433"/>
  <c r="AB474" i="433" s="1"/>
  <c r="E474" i="433"/>
  <c r="K474" i="433" s="1"/>
  <c r="AA473" i="433"/>
  <c r="R473" i="433"/>
  <c r="AB473" i="433" s="1"/>
  <c r="E473" i="433"/>
  <c r="K473" i="433" s="1"/>
  <c r="AA472" i="433"/>
  <c r="R472" i="433"/>
  <c r="AB472" i="433" s="1"/>
  <c r="E472" i="433"/>
  <c r="K472" i="433" s="1"/>
  <c r="Z471" i="433"/>
  <c r="Y471" i="433"/>
  <c r="X471" i="433"/>
  <c r="W471" i="433"/>
  <c r="V471" i="433"/>
  <c r="U471" i="433"/>
  <c r="T471" i="433"/>
  <c r="S471" i="433"/>
  <c r="Q471" i="433"/>
  <c r="P471" i="433"/>
  <c r="O471" i="433"/>
  <c r="N471" i="433"/>
  <c r="M471" i="433"/>
  <c r="L471" i="433"/>
  <c r="J471" i="433"/>
  <c r="I471" i="433"/>
  <c r="H471" i="433"/>
  <c r="G471" i="433"/>
  <c r="F471" i="433"/>
  <c r="E471" i="433"/>
  <c r="D471" i="433"/>
  <c r="AA470" i="433"/>
  <c r="R470" i="433"/>
  <c r="E470" i="433"/>
  <c r="K470" i="433" s="1"/>
  <c r="AA469" i="433"/>
  <c r="R469" i="433"/>
  <c r="E469" i="433"/>
  <c r="K469" i="433" s="1"/>
  <c r="Z468" i="433"/>
  <c r="Y468" i="433"/>
  <c r="X468" i="433"/>
  <c r="W468" i="433"/>
  <c r="V468" i="433"/>
  <c r="U468" i="433"/>
  <c r="T468" i="433"/>
  <c r="S468" i="433"/>
  <c r="Q468" i="433"/>
  <c r="P468" i="433"/>
  <c r="O468" i="433"/>
  <c r="N468" i="433"/>
  <c r="M468" i="433"/>
  <c r="L468" i="433"/>
  <c r="L461" i="433" s="1"/>
  <c r="J468" i="433"/>
  <c r="I468" i="433"/>
  <c r="H468" i="433"/>
  <c r="G468" i="433"/>
  <c r="G461" i="433" s="1"/>
  <c r="F468" i="433"/>
  <c r="F461" i="433" s="1"/>
  <c r="E468" i="433"/>
  <c r="D468" i="433"/>
  <c r="AA467" i="433"/>
  <c r="R467" i="433"/>
  <c r="E467" i="433"/>
  <c r="K467" i="433" s="1"/>
  <c r="AA466" i="433"/>
  <c r="R466" i="433"/>
  <c r="AB466" i="433" s="1"/>
  <c r="AC466" i="433" s="1"/>
  <c r="E466" i="433"/>
  <c r="K466" i="433" s="1"/>
  <c r="AA465" i="433"/>
  <c r="R465" i="433"/>
  <c r="AB465" i="433" s="1"/>
  <c r="E465" i="433"/>
  <c r="K465" i="433" s="1"/>
  <c r="Z464" i="433"/>
  <c r="Y464" i="433"/>
  <c r="X464" i="433"/>
  <c r="W464" i="433"/>
  <c r="V464" i="433"/>
  <c r="U464" i="433"/>
  <c r="T464" i="433"/>
  <c r="S464" i="433"/>
  <c r="Q464" i="433"/>
  <c r="P464" i="433"/>
  <c r="O464" i="433"/>
  <c r="N464" i="433"/>
  <c r="M464" i="433"/>
  <c r="L464" i="433"/>
  <c r="J464" i="433"/>
  <c r="I464" i="433"/>
  <c r="H464" i="433"/>
  <c r="G464" i="433"/>
  <c r="F464" i="433"/>
  <c r="E464" i="433"/>
  <c r="D464" i="433"/>
  <c r="K464" i="433" s="1"/>
  <c r="AA463" i="433"/>
  <c r="R463" i="433"/>
  <c r="AB463" i="433" s="1"/>
  <c r="E463" i="433"/>
  <c r="K463" i="433" s="1"/>
  <c r="Z462" i="433"/>
  <c r="Y462" i="433"/>
  <c r="X462" i="433"/>
  <c r="W462" i="433"/>
  <c r="W461" i="433" s="1"/>
  <c r="V462" i="433"/>
  <c r="U462" i="433"/>
  <c r="T462" i="433"/>
  <c r="S462" i="433"/>
  <c r="Q462" i="433"/>
  <c r="P462" i="433"/>
  <c r="O462" i="433"/>
  <c r="N462" i="433"/>
  <c r="M462" i="433"/>
  <c r="L462" i="433"/>
  <c r="J462" i="433"/>
  <c r="I462" i="433"/>
  <c r="I461" i="433" s="1"/>
  <c r="H462" i="433"/>
  <c r="G462" i="433"/>
  <c r="F462" i="433"/>
  <c r="E462" i="433"/>
  <c r="D462" i="433"/>
  <c r="K462" i="433" s="1"/>
  <c r="E461" i="433"/>
  <c r="AA460" i="433"/>
  <c r="R460" i="433"/>
  <c r="E460" i="433"/>
  <c r="K460" i="433" s="1"/>
  <c r="AA459" i="433"/>
  <c r="R459" i="433"/>
  <c r="E459" i="433"/>
  <c r="K459" i="433" s="1"/>
  <c r="AA458" i="433"/>
  <c r="R458" i="433"/>
  <c r="AB458" i="433" s="1"/>
  <c r="AC458" i="433" s="1"/>
  <c r="E458" i="433"/>
  <c r="K458" i="433" s="1"/>
  <c r="AA457" i="433"/>
  <c r="R457" i="433"/>
  <c r="AB457" i="433" s="1"/>
  <c r="E457" i="433"/>
  <c r="K457" i="433" s="1"/>
  <c r="AA456" i="433"/>
  <c r="R456" i="433"/>
  <c r="E456" i="433"/>
  <c r="K456" i="433" s="1"/>
  <c r="Z455" i="433"/>
  <c r="Y455" i="433"/>
  <c r="X455" i="433"/>
  <c r="W455" i="433"/>
  <c r="V455" i="433"/>
  <c r="U455" i="433"/>
  <c r="T455" i="433"/>
  <c r="S455" i="433"/>
  <c r="Q455" i="433"/>
  <c r="P455" i="433"/>
  <c r="O455" i="433"/>
  <c r="N455" i="433"/>
  <c r="M455" i="433"/>
  <c r="L455" i="433"/>
  <c r="J455" i="433"/>
  <c r="I455" i="433"/>
  <c r="H455" i="433"/>
  <c r="G455" i="433"/>
  <c r="F455" i="433"/>
  <c r="E455" i="433"/>
  <c r="D455" i="433"/>
  <c r="K455" i="433" s="1"/>
  <c r="AA454" i="433"/>
  <c r="R454" i="433"/>
  <c r="E454" i="433"/>
  <c r="K454" i="433" s="1"/>
  <c r="AA453" i="433"/>
  <c r="R453" i="433"/>
  <c r="E453" i="433"/>
  <c r="K453" i="433" s="1"/>
  <c r="AA452" i="433"/>
  <c r="R452" i="433"/>
  <c r="AB452" i="433" s="1"/>
  <c r="AC452" i="433" s="1"/>
  <c r="E452" i="433"/>
  <c r="K452" i="433" s="1"/>
  <c r="AA451" i="433"/>
  <c r="R451" i="433"/>
  <c r="AB451" i="433" s="1"/>
  <c r="E451" i="433"/>
  <c r="K451" i="433" s="1"/>
  <c r="AA450" i="433"/>
  <c r="R450" i="433"/>
  <c r="E450" i="433"/>
  <c r="K450" i="433" s="1"/>
  <c r="AA449" i="433"/>
  <c r="R449" i="433"/>
  <c r="E449" i="433"/>
  <c r="K449" i="433" s="1"/>
  <c r="AA448" i="433"/>
  <c r="R448" i="433"/>
  <c r="AB448" i="433" s="1"/>
  <c r="AC448" i="433" s="1"/>
  <c r="E448" i="433"/>
  <c r="K448" i="433" s="1"/>
  <c r="AA447" i="433"/>
  <c r="R447" i="433"/>
  <c r="AB447" i="433" s="1"/>
  <c r="E447" i="433"/>
  <c r="K447" i="433" s="1"/>
  <c r="AA446" i="433"/>
  <c r="R446" i="433"/>
  <c r="E446" i="433"/>
  <c r="K446" i="433" s="1"/>
  <c r="AA445" i="433"/>
  <c r="R445" i="433"/>
  <c r="E445" i="433"/>
  <c r="K445" i="433" s="1"/>
  <c r="AA444" i="433"/>
  <c r="R444" i="433"/>
  <c r="AB444" i="433" s="1"/>
  <c r="AC444" i="433" s="1"/>
  <c r="E444" i="433"/>
  <c r="K444" i="433" s="1"/>
  <c r="AA443" i="433"/>
  <c r="R443" i="433"/>
  <c r="AB443" i="433" s="1"/>
  <c r="E443" i="433"/>
  <c r="K443" i="433" s="1"/>
  <c r="AA442" i="433"/>
  <c r="R442" i="433"/>
  <c r="E442" i="433"/>
  <c r="K442" i="433" s="1"/>
  <c r="AA441" i="433"/>
  <c r="R441" i="433"/>
  <c r="E441" i="433"/>
  <c r="K441" i="433" s="1"/>
  <c r="AA440" i="433"/>
  <c r="R440" i="433"/>
  <c r="AB440" i="433" s="1"/>
  <c r="AC440" i="433" s="1"/>
  <c r="E440" i="433"/>
  <c r="K440" i="433" s="1"/>
  <c r="AA439" i="433"/>
  <c r="R439" i="433"/>
  <c r="E439" i="433"/>
  <c r="K439" i="433" s="1"/>
  <c r="AA438" i="433"/>
  <c r="R438" i="433"/>
  <c r="E438" i="433"/>
  <c r="K438" i="433" s="1"/>
  <c r="AA437" i="433"/>
  <c r="R437" i="433"/>
  <c r="E437" i="433"/>
  <c r="K437" i="433" s="1"/>
  <c r="AA436" i="433"/>
  <c r="R436" i="433"/>
  <c r="AB436" i="433" s="1"/>
  <c r="AC436" i="433" s="1"/>
  <c r="E436" i="433"/>
  <c r="K436" i="433" s="1"/>
  <c r="AA435" i="433"/>
  <c r="R435" i="433"/>
  <c r="E435" i="433"/>
  <c r="K435" i="433" s="1"/>
  <c r="AA434" i="433"/>
  <c r="R434" i="433"/>
  <c r="K434" i="433"/>
  <c r="E434" i="433"/>
  <c r="AB433" i="433"/>
  <c r="AA433" i="433"/>
  <c r="R433" i="433"/>
  <c r="E433" i="433"/>
  <c r="K433" i="433" s="1"/>
  <c r="AB432" i="433"/>
  <c r="AA432" i="433"/>
  <c r="R432" i="433"/>
  <c r="K432" i="433"/>
  <c r="AC432" i="433" s="1"/>
  <c r="E432" i="433"/>
  <c r="AA431" i="433"/>
  <c r="R431" i="433"/>
  <c r="E431" i="433"/>
  <c r="K431" i="433" s="1"/>
  <c r="AA430" i="433"/>
  <c r="R430" i="433"/>
  <c r="K430" i="433"/>
  <c r="E430" i="433"/>
  <c r="AB429" i="433"/>
  <c r="AA429" i="433"/>
  <c r="R429" i="433"/>
  <c r="E429" i="433"/>
  <c r="K429" i="433" s="1"/>
  <c r="AB428" i="433"/>
  <c r="AA428" i="433"/>
  <c r="R428" i="433"/>
  <c r="K428" i="433"/>
  <c r="AC428" i="433" s="1"/>
  <c r="E428" i="433"/>
  <c r="AA427" i="433"/>
  <c r="R427" i="433"/>
  <c r="AB427" i="433" s="1"/>
  <c r="E427" i="433"/>
  <c r="K427" i="433" s="1"/>
  <c r="AA426" i="433"/>
  <c r="R426" i="433"/>
  <c r="K426" i="433"/>
  <c r="E426" i="433"/>
  <c r="AB425" i="433"/>
  <c r="AA425" i="433"/>
  <c r="R425" i="433"/>
  <c r="E425" i="433"/>
  <c r="K425" i="433" s="1"/>
  <c r="AB424" i="433"/>
  <c r="AA424" i="433"/>
  <c r="R424" i="433"/>
  <c r="K424" i="433"/>
  <c r="AC424" i="433" s="1"/>
  <c r="E424" i="433"/>
  <c r="AA423" i="433"/>
  <c r="R423" i="433"/>
  <c r="AB423" i="433" s="1"/>
  <c r="E423" i="433"/>
  <c r="K423" i="433" s="1"/>
  <c r="AA422" i="433"/>
  <c r="R422" i="433"/>
  <c r="K422" i="433"/>
  <c r="E422" i="433"/>
  <c r="AB421" i="433"/>
  <c r="AA421" i="433"/>
  <c r="R421" i="433"/>
  <c r="E421" i="433"/>
  <c r="K421" i="433" s="1"/>
  <c r="AB420" i="433"/>
  <c r="AA420" i="433"/>
  <c r="R420" i="433"/>
  <c r="K420" i="433"/>
  <c r="AC420" i="433" s="1"/>
  <c r="E420" i="433"/>
  <c r="AA419" i="433"/>
  <c r="R419" i="433"/>
  <c r="AB419" i="433" s="1"/>
  <c r="E419" i="433"/>
  <c r="K419" i="433" s="1"/>
  <c r="AA418" i="433"/>
  <c r="R418" i="433"/>
  <c r="K418" i="433"/>
  <c r="E418" i="433"/>
  <c r="AB417" i="433"/>
  <c r="AA417" i="433"/>
  <c r="R417" i="433"/>
  <c r="E417" i="433"/>
  <c r="K417" i="433" s="1"/>
  <c r="AB416" i="433"/>
  <c r="AA416" i="433"/>
  <c r="R416" i="433"/>
  <c r="K416" i="433"/>
  <c r="AC416" i="433" s="1"/>
  <c r="E416" i="433"/>
  <c r="AA415" i="433"/>
  <c r="R415" i="433"/>
  <c r="AB415" i="433" s="1"/>
  <c r="E415" i="433"/>
  <c r="K415" i="433" s="1"/>
  <c r="Z414" i="433"/>
  <c r="Y414" i="433"/>
  <c r="X414" i="433"/>
  <c r="W414" i="433"/>
  <c r="V414" i="433"/>
  <c r="U414" i="433"/>
  <c r="T414" i="433"/>
  <c r="S414" i="433"/>
  <c r="Q414" i="433"/>
  <c r="P414" i="433"/>
  <c r="O414" i="433"/>
  <c r="N414" i="433"/>
  <c r="R414" i="433" s="1"/>
  <c r="M414" i="433"/>
  <c r="L414" i="433"/>
  <c r="J414" i="433"/>
  <c r="I414" i="433"/>
  <c r="H414" i="433"/>
  <c r="G414" i="433"/>
  <c r="F414" i="433"/>
  <c r="E414" i="433"/>
  <c r="D414" i="433"/>
  <c r="AA413" i="433"/>
  <c r="R413" i="433"/>
  <c r="AB413" i="433" s="1"/>
  <c r="E413" i="433"/>
  <c r="K413" i="433" s="1"/>
  <c r="AA412" i="433"/>
  <c r="R412" i="433"/>
  <c r="K412" i="433"/>
  <c r="E412" i="433"/>
  <c r="AB411" i="433"/>
  <c r="AA411" i="433"/>
  <c r="R411" i="433"/>
  <c r="E411" i="433"/>
  <c r="K411" i="433" s="1"/>
  <c r="AB410" i="433"/>
  <c r="AA410" i="433"/>
  <c r="R410" i="433"/>
  <c r="K410" i="433"/>
  <c r="AC410" i="433" s="1"/>
  <c r="E410" i="433"/>
  <c r="AA409" i="433"/>
  <c r="R409" i="433"/>
  <c r="AB409" i="433" s="1"/>
  <c r="E409" i="433"/>
  <c r="K409" i="433" s="1"/>
  <c r="AA408" i="433"/>
  <c r="R408" i="433"/>
  <c r="K408" i="433"/>
  <c r="E408" i="433"/>
  <c r="AB407" i="433"/>
  <c r="AA407" i="433"/>
  <c r="R407" i="433"/>
  <c r="E407" i="433"/>
  <c r="K407" i="433" s="1"/>
  <c r="Z406" i="433"/>
  <c r="Y406" i="433"/>
  <c r="X406" i="433"/>
  <c r="W406" i="433"/>
  <c r="V406" i="433"/>
  <c r="U406" i="433"/>
  <c r="T406" i="433"/>
  <c r="S406" i="433"/>
  <c r="Q406" i="433"/>
  <c r="P406" i="433"/>
  <c r="O406" i="433"/>
  <c r="N406" i="433"/>
  <c r="M406" i="433"/>
  <c r="L406" i="433"/>
  <c r="J406" i="433"/>
  <c r="I406" i="433"/>
  <c r="H406" i="433"/>
  <c r="G406" i="433"/>
  <c r="F406" i="433"/>
  <c r="E406" i="433"/>
  <c r="D406" i="433"/>
  <c r="AA405" i="433"/>
  <c r="R405" i="433"/>
  <c r="AB405" i="433" s="1"/>
  <c r="AC405" i="433" s="1"/>
  <c r="E405" i="433"/>
  <c r="K405" i="433" s="1"/>
  <c r="AA404" i="433"/>
  <c r="R404" i="433"/>
  <c r="AB404" i="433" s="1"/>
  <c r="K404" i="433"/>
  <c r="E404" i="433"/>
  <c r="Z403" i="433"/>
  <c r="Y403" i="433"/>
  <c r="X403" i="433"/>
  <c r="W403" i="433"/>
  <c r="V403" i="433"/>
  <c r="U403" i="433"/>
  <c r="T403" i="433"/>
  <c r="S403" i="433"/>
  <c r="Q403" i="433"/>
  <c r="P403" i="433"/>
  <c r="O403" i="433"/>
  <c r="N403" i="433"/>
  <c r="M403" i="433"/>
  <c r="L403" i="433"/>
  <c r="J403" i="433"/>
  <c r="I403" i="433"/>
  <c r="H403" i="433"/>
  <c r="G403" i="433"/>
  <c r="F403" i="433"/>
  <c r="E403" i="433"/>
  <c r="D403" i="433"/>
  <c r="AB402" i="433"/>
  <c r="AA402" i="433"/>
  <c r="R402" i="433"/>
  <c r="E402" i="433"/>
  <c r="K402" i="433" s="1"/>
  <c r="AB401" i="433"/>
  <c r="AA401" i="433"/>
  <c r="R401" i="433"/>
  <c r="E401" i="433"/>
  <c r="K401" i="433" s="1"/>
  <c r="Z400" i="433"/>
  <c r="Y400" i="433"/>
  <c r="X400" i="433"/>
  <c r="W400" i="433"/>
  <c r="V400" i="433"/>
  <c r="U400" i="433"/>
  <c r="T400" i="433"/>
  <c r="S400" i="433"/>
  <c r="Q400" i="433"/>
  <c r="P400" i="433"/>
  <c r="O400" i="433"/>
  <c r="N400" i="433"/>
  <c r="M400" i="433"/>
  <c r="L400" i="433"/>
  <c r="J400" i="433"/>
  <c r="I400" i="433"/>
  <c r="H400" i="433"/>
  <c r="G400" i="433"/>
  <c r="F400" i="433"/>
  <c r="E400" i="433"/>
  <c r="D400" i="433"/>
  <c r="K400" i="433" s="1"/>
  <c r="AA399" i="433"/>
  <c r="R399" i="433"/>
  <c r="AB399" i="433" s="1"/>
  <c r="E399" i="433"/>
  <c r="K399" i="433" s="1"/>
  <c r="AA398" i="433"/>
  <c r="R398" i="433"/>
  <c r="K398" i="433"/>
  <c r="E398" i="433"/>
  <c r="AA397" i="433"/>
  <c r="R397" i="433"/>
  <c r="E397" i="433"/>
  <c r="K397" i="433" s="1"/>
  <c r="AB396" i="433"/>
  <c r="AA396" i="433"/>
  <c r="R396" i="433"/>
  <c r="E396" i="433"/>
  <c r="K396" i="433" s="1"/>
  <c r="AB395" i="433"/>
  <c r="AA395" i="433"/>
  <c r="R395" i="433"/>
  <c r="E395" i="433"/>
  <c r="K395" i="433" s="1"/>
  <c r="AA394" i="433"/>
  <c r="R394" i="433"/>
  <c r="K394" i="433"/>
  <c r="E394" i="433"/>
  <c r="AA393" i="433"/>
  <c r="R393" i="433"/>
  <c r="E393" i="433"/>
  <c r="K393" i="433" s="1"/>
  <c r="AA392" i="433"/>
  <c r="AB392" i="433" s="1"/>
  <c r="AC392" i="433" s="1"/>
  <c r="R392" i="433"/>
  <c r="E392" i="433"/>
  <c r="K392" i="433" s="1"/>
  <c r="AA391" i="433"/>
  <c r="AB391" i="433" s="1"/>
  <c r="R391" i="433"/>
  <c r="E391" i="433"/>
  <c r="K391" i="433" s="1"/>
  <c r="AA390" i="433"/>
  <c r="R390" i="433"/>
  <c r="AB390" i="433" s="1"/>
  <c r="AC390" i="433" s="1"/>
  <c r="K390" i="433"/>
  <c r="E390" i="433"/>
  <c r="AA389" i="433"/>
  <c r="R389" i="433"/>
  <c r="AB389" i="433" s="1"/>
  <c r="AC389" i="433" s="1"/>
  <c r="E389" i="433"/>
  <c r="K389" i="433" s="1"/>
  <c r="AA388" i="433"/>
  <c r="R388" i="433"/>
  <c r="AB388" i="433" s="1"/>
  <c r="E388" i="433"/>
  <c r="K388" i="433" s="1"/>
  <c r="AA387" i="433"/>
  <c r="R387" i="433"/>
  <c r="AB387" i="433" s="1"/>
  <c r="E387" i="433"/>
  <c r="K387" i="433" s="1"/>
  <c r="AA386" i="433"/>
  <c r="R386" i="433"/>
  <c r="AB386" i="433" s="1"/>
  <c r="K386" i="433"/>
  <c r="E386" i="433"/>
  <c r="AA385" i="433"/>
  <c r="R385" i="433"/>
  <c r="AB385" i="433" s="1"/>
  <c r="E385" i="433"/>
  <c r="K385" i="433" s="1"/>
  <c r="AA384" i="433"/>
  <c r="R384" i="433"/>
  <c r="AB384" i="433" s="1"/>
  <c r="E384" i="433"/>
  <c r="K384" i="433" s="1"/>
  <c r="AA383" i="433"/>
  <c r="R383" i="433"/>
  <c r="AB383" i="433" s="1"/>
  <c r="E383" i="433"/>
  <c r="K383" i="433" s="1"/>
  <c r="AA382" i="433"/>
  <c r="R382" i="433"/>
  <c r="K382" i="433"/>
  <c r="E382" i="433"/>
  <c r="AA381" i="433"/>
  <c r="R381" i="433"/>
  <c r="E381" i="433"/>
  <c r="K381" i="433" s="1"/>
  <c r="AB380" i="433"/>
  <c r="AA380" i="433"/>
  <c r="R380" i="433"/>
  <c r="E380" i="433"/>
  <c r="K380" i="433" s="1"/>
  <c r="AB379" i="433"/>
  <c r="AA379" i="433"/>
  <c r="R379" i="433"/>
  <c r="E379" i="433"/>
  <c r="K379" i="433" s="1"/>
  <c r="AA378" i="433"/>
  <c r="R378" i="433"/>
  <c r="K378" i="433"/>
  <c r="E378" i="433"/>
  <c r="AA377" i="433"/>
  <c r="R377" i="433"/>
  <c r="E377" i="433"/>
  <c r="K377" i="433" s="1"/>
  <c r="AA376" i="433"/>
  <c r="AB376" i="433" s="1"/>
  <c r="AC376" i="433" s="1"/>
  <c r="R376" i="433"/>
  <c r="E376" i="433"/>
  <c r="K376" i="433" s="1"/>
  <c r="AA375" i="433"/>
  <c r="AB375" i="433" s="1"/>
  <c r="R375" i="433"/>
  <c r="E375" i="433"/>
  <c r="K375" i="433" s="1"/>
  <c r="AA374" i="433"/>
  <c r="R374" i="433"/>
  <c r="AB374" i="433" s="1"/>
  <c r="AC374" i="433" s="1"/>
  <c r="K374" i="433"/>
  <c r="E374" i="433"/>
  <c r="AA373" i="433"/>
  <c r="R373" i="433"/>
  <c r="AB373" i="433" s="1"/>
  <c r="AC373" i="433" s="1"/>
  <c r="E373" i="433"/>
  <c r="K373" i="433" s="1"/>
  <c r="AA372" i="433"/>
  <c r="R372" i="433"/>
  <c r="AB372" i="433" s="1"/>
  <c r="E372" i="433"/>
  <c r="K372" i="433" s="1"/>
  <c r="AA371" i="433"/>
  <c r="R371" i="433"/>
  <c r="AB371" i="433" s="1"/>
  <c r="E371" i="433"/>
  <c r="K371" i="433" s="1"/>
  <c r="AA370" i="433"/>
  <c r="R370" i="433"/>
  <c r="AB370" i="433" s="1"/>
  <c r="K370" i="433"/>
  <c r="E370" i="433"/>
  <c r="AA369" i="433"/>
  <c r="R369" i="433"/>
  <c r="AB369" i="433" s="1"/>
  <c r="E369" i="433"/>
  <c r="K369" i="433" s="1"/>
  <c r="AA368" i="433"/>
  <c r="R368" i="433"/>
  <c r="AB368" i="433" s="1"/>
  <c r="AC368" i="433" s="1"/>
  <c r="E368" i="433"/>
  <c r="K368" i="433" s="1"/>
  <c r="AA367" i="433"/>
  <c r="R367" i="433"/>
  <c r="AB367" i="433" s="1"/>
  <c r="E367" i="433"/>
  <c r="K367" i="433" s="1"/>
  <c r="AA366" i="433"/>
  <c r="R366" i="433"/>
  <c r="K366" i="433"/>
  <c r="E366" i="433"/>
  <c r="AA365" i="433"/>
  <c r="R365" i="433"/>
  <c r="E365" i="433"/>
  <c r="K365" i="433" s="1"/>
  <c r="AB364" i="433"/>
  <c r="AA364" i="433"/>
  <c r="R364" i="433"/>
  <c r="E364" i="433"/>
  <c r="K364" i="433" s="1"/>
  <c r="AB363" i="433"/>
  <c r="AA363" i="433"/>
  <c r="R363" i="433"/>
  <c r="E363" i="433"/>
  <c r="K363" i="433" s="1"/>
  <c r="AA362" i="433"/>
  <c r="R362" i="433"/>
  <c r="K362" i="433"/>
  <c r="E362" i="433"/>
  <c r="AA361" i="433"/>
  <c r="R361" i="433"/>
  <c r="E361" i="433"/>
  <c r="K361" i="433" s="1"/>
  <c r="AA360" i="433"/>
  <c r="AB360" i="433" s="1"/>
  <c r="AC360" i="433" s="1"/>
  <c r="R360" i="433"/>
  <c r="E360" i="433"/>
  <c r="K360" i="433" s="1"/>
  <c r="AA359" i="433"/>
  <c r="AB359" i="433" s="1"/>
  <c r="R359" i="433"/>
  <c r="E359" i="433"/>
  <c r="K359" i="433" s="1"/>
  <c r="AA358" i="433"/>
  <c r="R358" i="433"/>
  <c r="AB358" i="433" s="1"/>
  <c r="AC358" i="433" s="1"/>
  <c r="K358" i="433"/>
  <c r="E358" i="433"/>
  <c r="AA357" i="433"/>
  <c r="R357" i="433"/>
  <c r="AB357" i="433" s="1"/>
  <c r="AC357" i="433" s="1"/>
  <c r="K357" i="433"/>
  <c r="E357" i="433"/>
  <c r="AA356" i="433"/>
  <c r="AB356" i="433" s="1"/>
  <c r="R356" i="433"/>
  <c r="K356" i="433"/>
  <c r="E356" i="433"/>
  <c r="AA355" i="433"/>
  <c r="R355" i="433"/>
  <c r="K355" i="433"/>
  <c r="E355" i="433"/>
  <c r="Z354" i="433"/>
  <c r="Y354" i="433"/>
  <c r="X354" i="433"/>
  <c r="W354" i="433"/>
  <c r="V354" i="433"/>
  <c r="U354" i="433"/>
  <c r="T354" i="433"/>
  <c r="S354" i="433"/>
  <c r="Q354" i="433"/>
  <c r="P354" i="433"/>
  <c r="O354" i="433"/>
  <c r="N354" i="433"/>
  <c r="M354" i="433"/>
  <c r="L354" i="433"/>
  <c r="J354" i="433"/>
  <c r="I354" i="433"/>
  <c r="H354" i="433"/>
  <c r="H346" i="433" s="1"/>
  <c r="G354" i="433"/>
  <c r="F354" i="433"/>
  <c r="E354" i="433"/>
  <c r="D354" i="433"/>
  <c r="K354" i="433" s="1"/>
  <c r="AA353" i="433"/>
  <c r="R353" i="433"/>
  <c r="K353" i="433"/>
  <c r="E353" i="433"/>
  <c r="Z352" i="433"/>
  <c r="Y352" i="433"/>
  <c r="X352" i="433"/>
  <c r="W352" i="433"/>
  <c r="V352" i="433"/>
  <c r="U352" i="433"/>
  <c r="T352" i="433"/>
  <c r="S352" i="433"/>
  <c r="AA352" i="433" s="1"/>
  <c r="Q352" i="433"/>
  <c r="P352" i="433"/>
  <c r="O352" i="433"/>
  <c r="N352" i="433"/>
  <c r="M352" i="433"/>
  <c r="L352" i="433"/>
  <c r="J352" i="433"/>
  <c r="I352" i="433"/>
  <c r="H352" i="433"/>
  <c r="G352" i="433"/>
  <c r="F352" i="433"/>
  <c r="E352" i="433"/>
  <c r="D352" i="433"/>
  <c r="AA351" i="433"/>
  <c r="R351" i="433"/>
  <c r="AB351" i="433" s="1"/>
  <c r="K351" i="433"/>
  <c r="E351" i="433"/>
  <c r="AA350" i="433"/>
  <c r="R350" i="433"/>
  <c r="AB350" i="433" s="1"/>
  <c r="K350" i="433"/>
  <c r="E350" i="433"/>
  <c r="Z349" i="433"/>
  <c r="Y349" i="433"/>
  <c r="Y346" i="433" s="1"/>
  <c r="X349" i="433"/>
  <c r="W349" i="433"/>
  <c r="V349" i="433"/>
  <c r="U349" i="433"/>
  <c r="U346" i="433" s="1"/>
  <c r="T349" i="433"/>
  <c r="S349" i="433"/>
  <c r="Q349" i="433"/>
  <c r="P349" i="433"/>
  <c r="P346" i="433" s="1"/>
  <c r="O349" i="433"/>
  <c r="N349" i="433"/>
  <c r="M349" i="433"/>
  <c r="L349" i="433"/>
  <c r="L346" i="433" s="1"/>
  <c r="J349" i="433"/>
  <c r="I349" i="433"/>
  <c r="H349" i="433"/>
  <c r="G349" i="433"/>
  <c r="K349" i="433" s="1"/>
  <c r="F349" i="433"/>
  <c r="E349" i="433"/>
  <c r="D349" i="433"/>
  <c r="AB348" i="433"/>
  <c r="AA348" i="433"/>
  <c r="R348" i="433"/>
  <c r="K348" i="433"/>
  <c r="E348" i="433"/>
  <c r="Z347" i="433"/>
  <c r="Y347" i="433"/>
  <c r="X347" i="433"/>
  <c r="W347" i="433"/>
  <c r="W346" i="433" s="1"/>
  <c r="W341" i="433" s="1"/>
  <c r="W340" i="433" s="1"/>
  <c r="V347" i="433"/>
  <c r="U347" i="433"/>
  <c r="T347" i="433"/>
  <c r="T346" i="433" s="1"/>
  <c r="S347" i="433"/>
  <c r="S346" i="433" s="1"/>
  <c r="Q347" i="433"/>
  <c r="Q346" i="433" s="1"/>
  <c r="P347" i="433"/>
  <c r="O347" i="433"/>
  <c r="O346" i="433" s="1"/>
  <c r="N347" i="433"/>
  <c r="R347" i="433" s="1"/>
  <c r="M347" i="433"/>
  <c r="L347" i="433"/>
  <c r="J347" i="433"/>
  <c r="J346" i="433" s="1"/>
  <c r="I347" i="433"/>
  <c r="I346" i="433" s="1"/>
  <c r="H347" i="433"/>
  <c r="G347" i="433"/>
  <c r="F347" i="433"/>
  <c r="F346" i="433" s="1"/>
  <c r="E347" i="433"/>
  <c r="D347" i="433"/>
  <c r="X346" i="433"/>
  <c r="M346" i="433"/>
  <c r="E346" i="433"/>
  <c r="AA345" i="433"/>
  <c r="R345" i="433"/>
  <c r="AB345" i="433" s="1"/>
  <c r="K345" i="433"/>
  <c r="E345" i="433"/>
  <c r="AA344" i="433"/>
  <c r="R344" i="433"/>
  <c r="AB344" i="433" s="1"/>
  <c r="K344" i="433"/>
  <c r="E344" i="433"/>
  <c r="AA343" i="433"/>
  <c r="R343" i="433"/>
  <c r="AB343" i="433" s="1"/>
  <c r="AC343" i="433" s="1"/>
  <c r="K343" i="433"/>
  <c r="E343" i="433"/>
  <c r="Z342" i="433"/>
  <c r="Y342" i="433"/>
  <c r="X342" i="433"/>
  <c r="W342" i="433"/>
  <c r="V342" i="433"/>
  <c r="U342" i="433"/>
  <c r="T342" i="433"/>
  <c r="S342" i="433"/>
  <c r="Q342" i="433"/>
  <c r="P342" i="433"/>
  <c r="O342" i="433"/>
  <c r="N342" i="433"/>
  <c r="M342" i="433"/>
  <c r="L342" i="433"/>
  <c r="R342" i="433" s="1"/>
  <c r="J342" i="433"/>
  <c r="I342" i="433"/>
  <c r="H342" i="433"/>
  <c r="G342" i="433"/>
  <c r="F342" i="433"/>
  <c r="E342" i="433"/>
  <c r="D342" i="433"/>
  <c r="E341" i="433"/>
  <c r="E340" i="433"/>
  <c r="AA339" i="433"/>
  <c r="R339" i="433"/>
  <c r="K339" i="433"/>
  <c r="E339" i="433"/>
  <c r="Z338" i="433"/>
  <c r="Z337" i="433" s="1"/>
  <c r="Z336" i="433" s="1"/>
  <c r="Z335" i="433" s="1"/>
  <c r="Y338" i="433"/>
  <c r="Y337" i="433" s="1"/>
  <c r="Y336" i="433" s="1"/>
  <c r="Y335" i="433" s="1"/>
  <c r="X338" i="433"/>
  <c r="X337" i="433" s="1"/>
  <c r="X336" i="433" s="1"/>
  <c r="X335" i="433" s="1"/>
  <c r="W338" i="433"/>
  <c r="W337" i="433" s="1"/>
  <c r="W336" i="433" s="1"/>
  <c r="W335" i="433" s="1"/>
  <c r="V338" i="433"/>
  <c r="V337" i="433" s="1"/>
  <c r="V336" i="433" s="1"/>
  <c r="V335" i="433" s="1"/>
  <c r="U338" i="433"/>
  <c r="U337" i="433" s="1"/>
  <c r="U336" i="433" s="1"/>
  <c r="U335" i="433" s="1"/>
  <c r="T338" i="433"/>
  <c r="T337" i="433" s="1"/>
  <c r="T336" i="433" s="1"/>
  <c r="T335" i="433" s="1"/>
  <c r="S338" i="433"/>
  <c r="S337" i="433" s="1"/>
  <c r="S336" i="433" s="1"/>
  <c r="S335" i="433" s="1"/>
  <c r="Q338" i="433"/>
  <c r="Q337" i="433" s="1"/>
  <c r="Q336" i="433" s="1"/>
  <c r="Q335" i="433" s="1"/>
  <c r="P338" i="433"/>
  <c r="P337" i="433" s="1"/>
  <c r="P336" i="433" s="1"/>
  <c r="P335" i="433" s="1"/>
  <c r="O338" i="433"/>
  <c r="O337" i="433" s="1"/>
  <c r="O336" i="433" s="1"/>
  <c r="O335" i="433" s="1"/>
  <c r="N338" i="433"/>
  <c r="M338" i="433"/>
  <c r="M337" i="433" s="1"/>
  <c r="M336" i="433" s="1"/>
  <c r="M335" i="433" s="1"/>
  <c r="L338" i="433"/>
  <c r="J338" i="433"/>
  <c r="J337" i="433" s="1"/>
  <c r="J336" i="433" s="1"/>
  <c r="J335" i="433" s="1"/>
  <c r="I338" i="433"/>
  <c r="I337" i="433" s="1"/>
  <c r="I336" i="433" s="1"/>
  <c r="I335" i="433" s="1"/>
  <c r="H338" i="433"/>
  <c r="H337" i="433" s="1"/>
  <c r="H336" i="433" s="1"/>
  <c r="H335" i="433" s="1"/>
  <c r="G338" i="433"/>
  <c r="G337" i="433" s="1"/>
  <c r="G336" i="433" s="1"/>
  <c r="G335" i="433" s="1"/>
  <c r="F338" i="433"/>
  <c r="F337" i="433" s="1"/>
  <c r="F336" i="433" s="1"/>
  <c r="F335" i="433" s="1"/>
  <c r="E338" i="433"/>
  <c r="D338" i="433"/>
  <c r="N337" i="433"/>
  <c r="N336" i="433" s="1"/>
  <c r="N335" i="433" s="1"/>
  <c r="E337" i="433"/>
  <c r="E336" i="433"/>
  <c r="E335" i="433"/>
  <c r="AB334" i="433"/>
  <c r="AA334" i="433"/>
  <c r="R334" i="433"/>
  <c r="K334" i="433"/>
  <c r="E334" i="433"/>
  <c r="AA333" i="433"/>
  <c r="R333" i="433"/>
  <c r="K333" i="433"/>
  <c r="E333" i="433"/>
  <c r="AA332" i="433"/>
  <c r="R332" i="433"/>
  <c r="AB332" i="433" s="1"/>
  <c r="K332" i="433"/>
  <c r="E332" i="433"/>
  <c r="Z331" i="433"/>
  <c r="Z330" i="433" s="1"/>
  <c r="Z329" i="433" s="1"/>
  <c r="Y331" i="433"/>
  <c r="X331" i="433"/>
  <c r="W331" i="433"/>
  <c r="W330" i="433" s="1"/>
  <c r="V331" i="433"/>
  <c r="V330" i="433" s="1"/>
  <c r="V329" i="433" s="1"/>
  <c r="U331" i="433"/>
  <c r="U330" i="433" s="1"/>
  <c r="U329" i="433" s="1"/>
  <c r="T331" i="433"/>
  <c r="T330" i="433" s="1"/>
  <c r="T329" i="433" s="1"/>
  <c r="S331" i="433"/>
  <c r="S330" i="433" s="1"/>
  <c r="Q331" i="433"/>
  <c r="P331" i="433"/>
  <c r="O331" i="433"/>
  <c r="O330" i="433" s="1"/>
  <c r="O329" i="433" s="1"/>
  <c r="N331" i="433"/>
  <c r="M331" i="433"/>
  <c r="L331" i="433"/>
  <c r="L330" i="433" s="1"/>
  <c r="J331" i="433"/>
  <c r="J330" i="433" s="1"/>
  <c r="J329" i="433" s="1"/>
  <c r="I331" i="433"/>
  <c r="H331" i="433"/>
  <c r="G331" i="433"/>
  <c r="G330" i="433" s="1"/>
  <c r="G329" i="433" s="1"/>
  <c r="F331" i="433"/>
  <c r="F330" i="433" s="1"/>
  <c r="F329" i="433" s="1"/>
  <c r="E331" i="433"/>
  <c r="D331" i="433"/>
  <c r="Y330" i="433"/>
  <c r="Y329" i="433" s="1"/>
  <c r="X330" i="433"/>
  <c r="X329" i="433" s="1"/>
  <c r="Q330" i="433"/>
  <c r="Q329" i="433" s="1"/>
  <c r="P330" i="433"/>
  <c r="P329" i="433" s="1"/>
  <c r="M330" i="433"/>
  <c r="M329" i="433" s="1"/>
  <c r="I330" i="433"/>
  <c r="I329" i="433" s="1"/>
  <c r="H330" i="433"/>
  <c r="H329" i="433" s="1"/>
  <c r="E330" i="433"/>
  <c r="D330" i="433"/>
  <c r="W329" i="433"/>
  <c r="S329" i="433"/>
  <c r="E329" i="433"/>
  <c r="AB328" i="433"/>
  <c r="AA328" i="433"/>
  <c r="R328" i="433"/>
  <c r="K328" i="433"/>
  <c r="E328" i="433"/>
  <c r="AA327" i="433"/>
  <c r="R327" i="433"/>
  <c r="K327" i="433"/>
  <c r="E327" i="433"/>
  <c r="AA326" i="433"/>
  <c r="R326" i="433"/>
  <c r="AB326" i="433" s="1"/>
  <c r="E326" i="433"/>
  <c r="K326" i="433" s="1"/>
  <c r="AA325" i="433"/>
  <c r="R325" i="433"/>
  <c r="AB325" i="433" s="1"/>
  <c r="K325" i="433"/>
  <c r="E325" i="433"/>
  <c r="AA324" i="433"/>
  <c r="R324" i="433"/>
  <c r="K324" i="433"/>
  <c r="E324" i="433"/>
  <c r="AA323" i="433"/>
  <c r="R323" i="433"/>
  <c r="AB323" i="433" s="1"/>
  <c r="E323" i="433"/>
  <c r="K323" i="433" s="1"/>
  <c r="AA322" i="433"/>
  <c r="R322" i="433"/>
  <c r="K322" i="433"/>
  <c r="E322" i="433"/>
  <c r="AA321" i="433"/>
  <c r="R321" i="433"/>
  <c r="AB321" i="433" s="1"/>
  <c r="K321" i="433"/>
  <c r="E321" i="433"/>
  <c r="AA320" i="433"/>
  <c r="R320" i="433"/>
  <c r="AB320" i="433" s="1"/>
  <c r="E320" i="433"/>
  <c r="K320" i="433" s="1"/>
  <c r="AA319" i="433"/>
  <c r="R319" i="433"/>
  <c r="AB319" i="433" s="1"/>
  <c r="K319" i="433"/>
  <c r="E319" i="433"/>
  <c r="AA318" i="433"/>
  <c r="R318" i="433"/>
  <c r="AB318" i="433" s="1"/>
  <c r="K318" i="433"/>
  <c r="E318" i="433"/>
  <c r="AA317" i="433"/>
  <c r="R317" i="433"/>
  <c r="AB317" i="433" s="1"/>
  <c r="E317" i="433"/>
  <c r="K317" i="433" s="1"/>
  <c r="AA316" i="433"/>
  <c r="R316" i="433"/>
  <c r="AB316" i="433" s="1"/>
  <c r="K316" i="433"/>
  <c r="E316" i="433"/>
  <c r="AA315" i="433"/>
  <c r="R315" i="433"/>
  <c r="AB315" i="433" s="1"/>
  <c r="K315" i="433"/>
  <c r="E315" i="433"/>
  <c r="AA314" i="433"/>
  <c r="R314" i="433"/>
  <c r="K314" i="433"/>
  <c r="E314" i="433"/>
  <c r="AA313" i="433"/>
  <c r="AB313" i="433" s="1"/>
  <c r="R313" i="433"/>
  <c r="E313" i="433"/>
  <c r="K313" i="433" s="1"/>
  <c r="AA312" i="433"/>
  <c r="AB312" i="433" s="1"/>
  <c r="R312" i="433"/>
  <c r="K312" i="433"/>
  <c r="E312" i="433"/>
  <c r="AA311" i="433"/>
  <c r="R311" i="433"/>
  <c r="K311" i="433"/>
  <c r="E311" i="433"/>
  <c r="AA310" i="433"/>
  <c r="R310" i="433"/>
  <c r="K310" i="433"/>
  <c r="E310" i="433"/>
  <c r="AB309" i="433"/>
  <c r="AA309" i="433"/>
  <c r="R309" i="433"/>
  <c r="E309" i="433"/>
  <c r="K309" i="433" s="1"/>
  <c r="AB308" i="433"/>
  <c r="AA308" i="433"/>
  <c r="R308" i="433"/>
  <c r="K308" i="433"/>
  <c r="E308" i="433"/>
  <c r="AA307" i="433"/>
  <c r="R307" i="433"/>
  <c r="K307" i="433"/>
  <c r="E307" i="433"/>
  <c r="AA306" i="433"/>
  <c r="R306" i="433"/>
  <c r="AB306" i="433" s="1"/>
  <c r="K306" i="433"/>
  <c r="E306" i="433"/>
  <c r="AA305" i="433"/>
  <c r="R305" i="433"/>
  <c r="AB305" i="433" s="1"/>
  <c r="E305" i="433"/>
  <c r="K305" i="433" s="1"/>
  <c r="AA304" i="433"/>
  <c r="R304" i="433"/>
  <c r="AB304" i="433" s="1"/>
  <c r="K304" i="433"/>
  <c r="E304" i="433"/>
  <c r="AA303" i="433"/>
  <c r="R303" i="433"/>
  <c r="AB303" i="433" s="1"/>
  <c r="K303" i="433"/>
  <c r="E303" i="433"/>
  <c r="AA302" i="433"/>
  <c r="R302" i="433"/>
  <c r="K302" i="433"/>
  <c r="E302" i="433"/>
  <c r="AA301" i="433"/>
  <c r="R301" i="433"/>
  <c r="AB301" i="433" s="1"/>
  <c r="E301" i="433"/>
  <c r="K301" i="433" s="1"/>
  <c r="AA300" i="433"/>
  <c r="R300" i="433"/>
  <c r="AB300" i="433" s="1"/>
  <c r="K300" i="433"/>
  <c r="E300" i="433"/>
  <c r="AA299" i="433"/>
  <c r="R299" i="433"/>
  <c r="AB299" i="433" s="1"/>
  <c r="K299" i="433"/>
  <c r="E299" i="433"/>
  <c r="AA298" i="433"/>
  <c r="R298" i="433"/>
  <c r="K298" i="433"/>
  <c r="E298" i="433"/>
  <c r="AA297" i="433"/>
  <c r="AB297" i="433" s="1"/>
  <c r="R297" i="433"/>
  <c r="E297" i="433"/>
  <c r="K297" i="433" s="1"/>
  <c r="AA296" i="433"/>
  <c r="AB296" i="433" s="1"/>
  <c r="R296" i="433"/>
  <c r="K296" i="433"/>
  <c r="E296" i="433"/>
  <c r="AA295" i="433"/>
  <c r="R295" i="433"/>
  <c r="K295" i="433"/>
  <c r="E295" i="433"/>
  <c r="AB294" i="433"/>
  <c r="AA294" i="433"/>
  <c r="R294" i="433"/>
  <c r="E294" i="433"/>
  <c r="K294" i="433" s="1"/>
  <c r="AB293" i="433"/>
  <c r="AA293" i="433"/>
  <c r="R293" i="433"/>
  <c r="K293" i="433"/>
  <c r="E293" i="433"/>
  <c r="AA292" i="433"/>
  <c r="R292" i="433"/>
  <c r="K292" i="433"/>
  <c r="E292" i="433"/>
  <c r="AA291" i="433"/>
  <c r="R291" i="433"/>
  <c r="K291" i="433"/>
  <c r="E291" i="433"/>
  <c r="AA290" i="433"/>
  <c r="R290" i="433"/>
  <c r="AB290" i="433" s="1"/>
  <c r="E290" i="433"/>
  <c r="K290" i="433" s="1"/>
  <c r="AA289" i="433"/>
  <c r="R289" i="433"/>
  <c r="K289" i="433"/>
  <c r="E289" i="433"/>
  <c r="AA288" i="433"/>
  <c r="R288" i="433"/>
  <c r="AB288" i="433" s="1"/>
  <c r="E288" i="433"/>
  <c r="K288" i="433" s="1"/>
  <c r="Z287" i="433"/>
  <c r="Y287" i="433"/>
  <c r="X287" i="433"/>
  <c r="W287" i="433"/>
  <c r="V287" i="433"/>
  <c r="U287" i="433"/>
  <c r="T287" i="433"/>
  <c r="S287" i="433"/>
  <c r="Q287" i="433"/>
  <c r="P287" i="433"/>
  <c r="O287" i="433"/>
  <c r="N287" i="433"/>
  <c r="M287" i="433"/>
  <c r="L287" i="433"/>
  <c r="J287" i="433"/>
  <c r="I287" i="433"/>
  <c r="H287" i="433"/>
  <c r="G287" i="433"/>
  <c r="F287" i="433"/>
  <c r="E287" i="433"/>
  <c r="D287" i="433"/>
  <c r="Z286" i="433"/>
  <c r="Y286" i="433"/>
  <c r="X286" i="433"/>
  <c r="W286" i="433"/>
  <c r="V286" i="433"/>
  <c r="U286" i="433"/>
  <c r="T286" i="433"/>
  <c r="S286" i="433"/>
  <c r="AA286" i="433" s="1"/>
  <c r="Q286" i="433"/>
  <c r="P286" i="433"/>
  <c r="O286" i="433"/>
  <c r="N286" i="433"/>
  <c r="M286" i="433"/>
  <c r="L286" i="433"/>
  <c r="J286" i="433"/>
  <c r="I286" i="433"/>
  <c r="H286" i="433"/>
  <c r="G286" i="433"/>
  <c r="F286" i="433"/>
  <c r="E286" i="433"/>
  <c r="D286" i="433"/>
  <c r="AA285" i="433"/>
  <c r="R285" i="433"/>
  <c r="K285" i="433"/>
  <c r="E285" i="433"/>
  <c r="Z284" i="433"/>
  <c r="Y284" i="433"/>
  <c r="X284" i="433"/>
  <c r="W284" i="433"/>
  <c r="V284" i="433"/>
  <c r="U284" i="433"/>
  <c r="T284" i="433"/>
  <c r="S284" i="433"/>
  <c r="Q284" i="433"/>
  <c r="P284" i="433"/>
  <c r="O284" i="433"/>
  <c r="N284" i="433"/>
  <c r="M284" i="433"/>
  <c r="L284" i="433"/>
  <c r="J284" i="433"/>
  <c r="I284" i="433"/>
  <c r="H284" i="433"/>
  <c r="G284" i="433"/>
  <c r="F284" i="433"/>
  <c r="E284" i="433"/>
  <c r="D284" i="433"/>
  <c r="AA283" i="433"/>
  <c r="R283" i="433"/>
  <c r="K283" i="433"/>
  <c r="E283" i="433"/>
  <c r="Z282" i="433"/>
  <c r="Y282" i="433"/>
  <c r="X282" i="433"/>
  <c r="W282" i="433"/>
  <c r="V282" i="433"/>
  <c r="U282" i="433"/>
  <c r="T282" i="433"/>
  <c r="S282" i="433"/>
  <c r="Q282" i="433"/>
  <c r="P282" i="433"/>
  <c r="O282" i="433"/>
  <c r="N282" i="433"/>
  <c r="M282" i="433"/>
  <c r="L282" i="433"/>
  <c r="J282" i="433"/>
  <c r="I282" i="433"/>
  <c r="H282" i="433"/>
  <c r="G282" i="433"/>
  <c r="K282" i="433" s="1"/>
  <c r="F282" i="433"/>
  <c r="E282" i="433"/>
  <c r="D282" i="433"/>
  <c r="Z281" i="433"/>
  <c r="Y281" i="433"/>
  <c r="X281" i="433"/>
  <c r="W281" i="433"/>
  <c r="V281" i="433"/>
  <c r="U281" i="433"/>
  <c r="T281" i="433"/>
  <c r="S281" i="433"/>
  <c r="Q281" i="433"/>
  <c r="P281" i="433"/>
  <c r="O281" i="433"/>
  <c r="N281" i="433"/>
  <c r="M281" i="433"/>
  <c r="L281" i="433"/>
  <c r="J281" i="433"/>
  <c r="I281" i="433"/>
  <c r="H281" i="433"/>
  <c r="G281" i="433"/>
  <c r="F281" i="433"/>
  <c r="E281" i="433"/>
  <c r="D281" i="433"/>
  <c r="Z280" i="433"/>
  <c r="Y280" i="433"/>
  <c r="X280" i="433"/>
  <c r="W280" i="433"/>
  <c r="V280" i="433"/>
  <c r="U280" i="433"/>
  <c r="T280" i="433"/>
  <c r="S280" i="433"/>
  <c r="AA280" i="433" s="1"/>
  <c r="Q280" i="433"/>
  <c r="P280" i="433"/>
  <c r="O280" i="433"/>
  <c r="N280" i="433"/>
  <c r="M280" i="433"/>
  <c r="L280" i="433"/>
  <c r="J280" i="433"/>
  <c r="I280" i="433"/>
  <c r="H280" i="433"/>
  <c r="G280" i="433"/>
  <c r="F280" i="433"/>
  <c r="E280" i="433"/>
  <c r="D280" i="433"/>
  <c r="Z279" i="433"/>
  <c r="Y279" i="433"/>
  <c r="X279" i="433"/>
  <c r="W279" i="433"/>
  <c r="V279" i="433"/>
  <c r="U279" i="433"/>
  <c r="T279" i="433"/>
  <c r="S279" i="433"/>
  <c r="Q279" i="433"/>
  <c r="P279" i="433"/>
  <c r="O279" i="433"/>
  <c r="N279" i="433"/>
  <c r="M279" i="433"/>
  <c r="L279" i="433"/>
  <c r="J279" i="433"/>
  <c r="I279" i="433"/>
  <c r="H279" i="433"/>
  <c r="G279" i="433"/>
  <c r="F279" i="433"/>
  <c r="E279" i="433"/>
  <c r="D279" i="433"/>
  <c r="Z278" i="433"/>
  <c r="Y278" i="433"/>
  <c r="X278" i="433"/>
  <c r="W278" i="433"/>
  <c r="V278" i="433"/>
  <c r="U278" i="433"/>
  <c r="T278" i="433"/>
  <c r="S278" i="433"/>
  <c r="Q278" i="433"/>
  <c r="P278" i="433"/>
  <c r="O278" i="433"/>
  <c r="N278" i="433"/>
  <c r="M278" i="433"/>
  <c r="L278" i="433"/>
  <c r="J278" i="433"/>
  <c r="I278" i="433"/>
  <c r="H278" i="433"/>
  <c r="G278" i="433"/>
  <c r="K278" i="433" s="1"/>
  <c r="F278" i="433"/>
  <c r="E278" i="433"/>
  <c r="D278" i="433"/>
  <c r="AA277" i="433"/>
  <c r="AB277" i="433" s="1"/>
  <c r="AC277" i="433" s="1"/>
  <c r="R277" i="433"/>
  <c r="K277" i="433"/>
  <c r="E277" i="433"/>
  <c r="S276" i="433"/>
  <c r="E276" i="433"/>
  <c r="Z275" i="433"/>
  <c r="Y275" i="433"/>
  <c r="Y274" i="433" s="1"/>
  <c r="Y276" i="433" s="1"/>
  <c r="X275" i="433"/>
  <c r="X274" i="433" s="1"/>
  <c r="X276" i="433" s="1"/>
  <c r="W275" i="433"/>
  <c r="V275" i="433"/>
  <c r="V274" i="433" s="1"/>
  <c r="V276" i="433" s="1"/>
  <c r="U275" i="433"/>
  <c r="U274" i="433" s="1"/>
  <c r="U276" i="433" s="1"/>
  <c r="T275" i="433"/>
  <c r="T274" i="433" s="1"/>
  <c r="T276" i="433" s="1"/>
  <c r="S275" i="433"/>
  <c r="Q275" i="433"/>
  <c r="Q274" i="433" s="1"/>
  <c r="Q276" i="433" s="1"/>
  <c r="P275" i="433"/>
  <c r="P274" i="433" s="1"/>
  <c r="P276" i="433" s="1"/>
  <c r="O275" i="433"/>
  <c r="N275" i="433"/>
  <c r="M275" i="433"/>
  <c r="M274" i="433" s="1"/>
  <c r="M276" i="433" s="1"/>
  <c r="L275" i="433"/>
  <c r="J275" i="433"/>
  <c r="I275" i="433"/>
  <c r="I274" i="433" s="1"/>
  <c r="I276" i="433" s="1"/>
  <c r="H275" i="433"/>
  <c r="H274" i="433" s="1"/>
  <c r="H276" i="433" s="1"/>
  <c r="G275" i="433"/>
  <c r="G274" i="433" s="1"/>
  <c r="G276" i="433" s="1"/>
  <c r="F275" i="433"/>
  <c r="E275" i="433"/>
  <c r="D275" i="433"/>
  <c r="D274" i="433" s="1"/>
  <c r="D276" i="433" s="1"/>
  <c r="Z274" i="433"/>
  <c r="Z276" i="433" s="1"/>
  <c r="W274" i="433"/>
  <c r="W276" i="433" s="1"/>
  <c r="S274" i="433"/>
  <c r="O274" i="433"/>
  <c r="O276" i="433" s="1"/>
  <c r="N274" i="433"/>
  <c r="N276" i="433" s="1"/>
  <c r="J274" i="433"/>
  <c r="J276" i="433" s="1"/>
  <c r="F274" i="433"/>
  <c r="F276" i="433" s="1"/>
  <c r="E274" i="433"/>
  <c r="AA273" i="433"/>
  <c r="R273" i="433"/>
  <c r="K273" i="433"/>
  <c r="E273" i="433"/>
  <c r="Z272" i="433"/>
  <c r="Y272" i="433"/>
  <c r="X272" i="433"/>
  <c r="W272" i="433"/>
  <c r="V272" i="433"/>
  <c r="U272" i="433"/>
  <c r="T272" i="433"/>
  <c r="S272" i="433"/>
  <c r="Q272" i="433"/>
  <c r="P272" i="433"/>
  <c r="O272" i="433"/>
  <c r="N272" i="433"/>
  <c r="M272" i="433"/>
  <c r="L272" i="433"/>
  <c r="J272" i="433"/>
  <c r="I272" i="433"/>
  <c r="H272" i="433"/>
  <c r="G272" i="433"/>
  <c r="K272" i="433" s="1"/>
  <c r="F272" i="433"/>
  <c r="E272" i="433"/>
  <c r="D272" i="433"/>
  <c r="AB271" i="433"/>
  <c r="AA271" i="433"/>
  <c r="R271" i="433"/>
  <c r="E271" i="433"/>
  <c r="K271" i="433" s="1"/>
  <c r="Z270" i="433"/>
  <c r="Y270" i="433"/>
  <c r="X270" i="433"/>
  <c r="W270" i="433"/>
  <c r="V270" i="433"/>
  <c r="U270" i="433"/>
  <c r="T270" i="433"/>
  <c r="S270" i="433"/>
  <c r="Q270" i="433"/>
  <c r="P270" i="433"/>
  <c r="O270" i="433"/>
  <c r="N270" i="433"/>
  <c r="M270" i="433"/>
  <c r="L270" i="433"/>
  <c r="J270" i="433"/>
  <c r="I270" i="433"/>
  <c r="H270" i="433"/>
  <c r="G270" i="433"/>
  <c r="F270" i="433"/>
  <c r="E270" i="433"/>
  <c r="D270" i="433"/>
  <c r="AA269" i="433"/>
  <c r="R269" i="433"/>
  <c r="K269" i="433"/>
  <c r="E269" i="433"/>
  <c r="Z268" i="433"/>
  <c r="Y268" i="433"/>
  <c r="X268" i="433"/>
  <c r="W268" i="433"/>
  <c r="V268" i="433"/>
  <c r="U268" i="433"/>
  <c r="T268" i="433"/>
  <c r="S268" i="433"/>
  <c r="AA268" i="433" s="1"/>
  <c r="Q268" i="433"/>
  <c r="P268" i="433"/>
  <c r="O268" i="433"/>
  <c r="N268" i="433"/>
  <c r="M268" i="433"/>
  <c r="L268" i="433"/>
  <c r="J268" i="433"/>
  <c r="I268" i="433"/>
  <c r="H268" i="433"/>
  <c r="G268" i="433"/>
  <c r="F268" i="433"/>
  <c r="E268" i="433"/>
  <c r="K268" i="433" s="1"/>
  <c r="D268" i="433"/>
  <c r="Z267" i="433"/>
  <c r="Y267" i="433"/>
  <c r="X267" i="433"/>
  <c r="W267" i="433"/>
  <c r="V267" i="433"/>
  <c r="U267" i="433"/>
  <c r="T267" i="433"/>
  <c r="S267" i="433"/>
  <c r="Q267" i="433"/>
  <c r="P267" i="433"/>
  <c r="O267" i="433"/>
  <c r="N267" i="433"/>
  <c r="M267" i="433"/>
  <c r="L267" i="433"/>
  <c r="J267" i="433"/>
  <c r="I267" i="433"/>
  <c r="H267" i="433"/>
  <c r="G267" i="433"/>
  <c r="F267" i="433"/>
  <c r="E267" i="433"/>
  <c r="D267" i="433"/>
  <c r="Z266" i="433"/>
  <c r="Y266" i="433"/>
  <c r="X266" i="433"/>
  <c r="W266" i="433"/>
  <c r="V266" i="433"/>
  <c r="U266" i="433"/>
  <c r="T266" i="433"/>
  <c r="S266" i="433"/>
  <c r="Q266" i="433"/>
  <c r="P266" i="433"/>
  <c r="O266" i="433"/>
  <c r="N266" i="433"/>
  <c r="M266" i="433"/>
  <c r="L266" i="433"/>
  <c r="J266" i="433"/>
  <c r="I266" i="433"/>
  <c r="H266" i="433"/>
  <c r="G266" i="433"/>
  <c r="F266" i="433"/>
  <c r="E266" i="433"/>
  <c r="D266" i="433"/>
  <c r="Z265" i="433"/>
  <c r="Y265" i="433"/>
  <c r="X265" i="433"/>
  <c r="W265" i="433"/>
  <c r="V265" i="433"/>
  <c r="U265" i="433"/>
  <c r="T265" i="433"/>
  <c r="S265" i="433"/>
  <c r="Q265" i="433"/>
  <c r="P265" i="433"/>
  <c r="O265" i="433"/>
  <c r="N265" i="433"/>
  <c r="M265" i="433"/>
  <c r="R265" i="433" s="1"/>
  <c r="L265" i="433"/>
  <c r="J265" i="433"/>
  <c r="I265" i="433"/>
  <c r="H265" i="433"/>
  <c r="G265" i="433"/>
  <c r="F265" i="433"/>
  <c r="E265" i="433"/>
  <c r="D265" i="433"/>
  <c r="AA264" i="433"/>
  <c r="R264" i="433"/>
  <c r="K264" i="433"/>
  <c r="E264" i="433"/>
  <c r="AA263" i="433"/>
  <c r="R263" i="433"/>
  <c r="AB263" i="433" s="1"/>
  <c r="J263" i="433"/>
  <c r="I263" i="433"/>
  <c r="H263" i="433"/>
  <c r="G263" i="433"/>
  <c r="F263" i="433"/>
  <c r="E263" i="433"/>
  <c r="D263" i="433"/>
  <c r="AA262" i="433"/>
  <c r="R262" i="433"/>
  <c r="J262" i="433"/>
  <c r="I262" i="433"/>
  <c r="H262" i="433"/>
  <c r="G262" i="433"/>
  <c r="F262" i="433"/>
  <c r="E262" i="433"/>
  <c r="D262" i="433"/>
  <c r="AA261" i="433"/>
  <c r="R261" i="433"/>
  <c r="J261" i="433"/>
  <c r="I261" i="433"/>
  <c r="H261" i="433"/>
  <c r="G261" i="433"/>
  <c r="F261" i="433"/>
  <c r="E261" i="433"/>
  <c r="D261" i="433"/>
  <c r="AA260" i="433"/>
  <c r="R260" i="433"/>
  <c r="J260" i="433"/>
  <c r="I260" i="433"/>
  <c r="H260" i="433"/>
  <c r="G260" i="433"/>
  <c r="F260" i="433"/>
  <c r="E260" i="433"/>
  <c r="K260" i="433" s="1"/>
  <c r="D260" i="433"/>
  <c r="Z259" i="433"/>
  <c r="Y259" i="433"/>
  <c r="X259" i="433"/>
  <c r="W259" i="433"/>
  <c r="V259" i="433"/>
  <c r="U259" i="433"/>
  <c r="T259" i="433"/>
  <c r="S259" i="433"/>
  <c r="Q259" i="433"/>
  <c r="P259" i="433"/>
  <c r="O259" i="433"/>
  <c r="O258" i="433" s="1"/>
  <c r="O253" i="433" s="1"/>
  <c r="O252" i="433" s="1"/>
  <c r="N259" i="433"/>
  <c r="M259" i="433"/>
  <c r="L259" i="433"/>
  <c r="L258" i="433" s="1"/>
  <c r="L253" i="433" s="1"/>
  <c r="K259" i="433"/>
  <c r="E259" i="433"/>
  <c r="Z258" i="433"/>
  <c r="Z253" i="433" s="1"/>
  <c r="Z252" i="433" s="1"/>
  <c r="Y258" i="433"/>
  <c r="X258" i="433"/>
  <c r="W258" i="433"/>
  <c r="W253" i="433" s="1"/>
  <c r="W252" i="433" s="1"/>
  <c r="V258" i="433"/>
  <c r="V253" i="433" s="1"/>
  <c r="V252" i="433" s="1"/>
  <c r="U258" i="433"/>
  <c r="U253" i="433" s="1"/>
  <c r="U252" i="433" s="1"/>
  <c r="T258" i="433"/>
  <c r="T253" i="433" s="1"/>
  <c r="T252" i="433" s="1"/>
  <c r="S258" i="433"/>
  <c r="S253" i="433" s="1"/>
  <c r="Q258" i="433"/>
  <c r="P258" i="433"/>
  <c r="N258" i="433"/>
  <c r="N253" i="433" s="1"/>
  <c r="N252" i="433" s="1"/>
  <c r="M258" i="433"/>
  <c r="J258" i="433"/>
  <c r="J253" i="433" s="1"/>
  <c r="J252" i="433" s="1"/>
  <c r="I258" i="433"/>
  <c r="I253" i="433" s="1"/>
  <c r="I252" i="433" s="1"/>
  <c r="H258" i="433"/>
  <c r="G258" i="433"/>
  <c r="G253" i="433" s="1"/>
  <c r="F258" i="433"/>
  <c r="F253" i="433" s="1"/>
  <c r="F252" i="433" s="1"/>
  <c r="E258" i="433"/>
  <c r="D258" i="433"/>
  <c r="AA257" i="433"/>
  <c r="R257" i="433"/>
  <c r="K257" i="433"/>
  <c r="E257" i="433"/>
  <c r="AA256" i="433"/>
  <c r="R256" i="433"/>
  <c r="K256" i="433"/>
  <c r="E256" i="433"/>
  <c r="AA255" i="433"/>
  <c r="R255" i="433"/>
  <c r="K255" i="433"/>
  <c r="E255" i="433"/>
  <c r="AA254" i="433"/>
  <c r="R254" i="433"/>
  <c r="K254" i="433"/>
  <c r="E254" i="433"/>
  <c r="Y253" i="433"/>
  <c r="Y252" i="433" s="1"/>
  <c r="X253" i="433"/>
  <c r="X252" i="433" s="1"/>
  <c r="Q253" i="433"/>
  <c r="Q252" i="433" s="1"/>
  <c r="P253" i="433"/>
  <c r="P252" i="433" s="1"/>
  <c r="M253" i="433"/>
  <c r="M252" i="433" s="1"/>
  <c r="H253" i="433"/>
  <c r="H252" i="433" s="1"/>
  <c r="E253" i="433"/>
  <c r="D253" i="433"/>
  <c r="D252" i="433" s="1"/>
  <c r="S252" i="433"/>
  <c r="G252" i="433"/>
  <c r="E252" i="433"/>
  <c r="AA251" i="433"/>
  <c r="R251" i="433"/>
  <c r="K251" i="433"/>
  <c r="E251" i="433"/>
  <c r="Z250" i="433"/>
  <c r="Z249" i="433" s="1"/>
  <c r="Y250" i="433"/>
  <c r="X250" i="433"/>
  <c r="W250" i="433"/>
  <c r="W249" i="433" s="1"/>
  <c r="V250" i="433"/>
  <c r="V249" i="433" s="1"/>
  <c r="U250" i="433"/>
  <c r="T250" i="433"/>
  <c r="T249" i="433" s="1"/>
  <c r="S250" i="433"/>
  <c r="S249" i="433" s="1"/>
  <c r="Q250" i="433"/>
  <c r="P250" i="433"/>
  <c r="O250" i="433"/>
  <c r="O249" i="433" s="1"/>
  <c r="N250" i="433"/>
  <c r="N249" i="433" s="1"/>
  <c r="M250" i="433"/>
  <c r="L250" i="433"/>
  <c r="J250" i="433"/>
  <c r="J249" i="433" s="1"/>
  <c r="I250" i="433"/>
  <c r="I249" i="433" s="1"/>
  <c r="H250" i="433"/>
  <c r="G250" i="433"/>
  <c r="G249" i="433" s="1"/>
  <c r="F250" i="433"/>
  <c r="F249" i="433" s="1"/>
  <c r="E250" i="433"/>
  <c r="D250" i="433"/>
  <c r="Y249" i="433"/>
  <c r="X249" i="433"/>
  <c r="U249" i="433"/>
  <c r="Q249" i="433"/>
  <c r="P249" i="433"/>
  <c r="M249" i="433"/>
  <c r="L249" i="433"/>
  <c r="H249" i="433"/>
  <c r="E249" i="433"/>
  <c r="D249" i="433"/>
  <c r="AA248" i="433"/>
  <c r="R248" i="433"/>
  <c r="K248" i="433"/>
  <c r="E248" i="433"/>
  <c r="Z247" i="433"/>
  <c r="Y247" i="433"/>
  <c r="Y246" i="433" s="1"/>
  <c r="X247" i="433"/>
  <c r="X246" i="433" s="1"/>
  <c r="W247" i="433"/>
  <c r="W246" i="433" s="1"/>
  <c r="V247" i="433"/>
  <c r="U247" i="433"/>
  <c r="U246" i="433" s="1"/>
  <c r="T247" i="433"/>
  <c r="T246" i="433" s="1"/>
  <c r="S247" i="433"/>
  <c r="S246" i="433" s="1"/>
  <c r="Q247" i="433"/>
  <c r="Q246" i="433" s="1"/>
  <c r="P247" i="433"/>
  <c r="P246" i="433" s="1"/>
  <c r="O247" i="433"/>
  <c r="O246" i="433" s="1"/>
  <c r="N247" i="433"/>
  <c r="N246" i="433" s="1"/>
  <c r="M247" i="433"/>
  <c r="M246" i="433" s="1"/>
  <c r="L247" i="433"/>
  <c r="J247" i="433"/>
  <c r="J246" i="433" s="1"/>
  <c r="I247" i="433"/>
  <c r="I246" i="433" s="1"/>
  <c r="H247" i="433"/>
  <c r="H246" i="433" s="1"/>
  <c r="G247" i="433"/>
  <c r="G246" i="433" s="1"/>
  <c r="K246" i="433" s="1"/>
  <c r="F247" i="433"/>
  <c r="F246" i="433" s="1"/>
  <c r="E247" i="433"/>
  <c r="D247" i="433"/>
  <c r="D246" i="433" s="1"/>
  <c r="Z246" i="433"/>
  <c r="V246" i="433"/>
  <c r="E246" i="433"/>
  <c r="E245" i="433"/>
  <c r="Z244" i="433"/>
  <c r="Y244" i="433"/>
  <c r="X244" i="433"/>
  <c r="W244" i="433"/>
  <c r="V244" i="433"/>
  <c r="U244" i="433"/>
  <c r="T244" i="433"/>
  <c r="S244" i="433"/>
  <c r="Q244" i="433"/>
  <c r="P244" i="433"/>
  <c r="O244" i="433"/>
  <c r="N244" i="433"/>
  <c r="M244" i="433"/>
  <c r="L244" i="433"/>
  <c r="J244" i="433"/>
  <c r="I244" i="433"/>
  <c r="H244" i="433"/>
  <c r="G244" i="433"/>
  <c r="K244" i="433" s="1"/>
  <c r="F244" i="433"/>
  <c r="E244" i="433"/>
  <c r="Z243" i="433"/>
  <c r="Y243" i="433"/>
  <c r="X243" i="433"/>
  <c r="W243" i="433"/>
  <c r="V243" i="433"/>
  <c r="U243" i="433"/>
  <c r="T243" i="433"/>
  <c r="S243" i="433"/>
  <c r="Q243" i="433"/>
  <c r="P243" i="433"/>
  <c r="O243" i="433"/>
  <c r="N243" i="433"/>
  <c r="M243" i="433"/>
  <c r="L243" i="433"/>
  <c r="R243" i="433" s="1"/>
  <c r="J243" i="433"/>
  <c r="I243" i="433"/>
  <c r="H243" i="433"/>
  <c r="G243" i="433"/>
  <c r="F243" i="433"/>
  <c r="E243" i="433"/>
  <c r="Z242" i="433"/>
  <c r="Y242" i="433"/>
  <c r="X242" i="433"/>
  <c r="W242" i="433"/>
  <c r="V242" i="433"/>
  <c r="U242" i="433"/>
  <c r="T242" i="433"/>
  <c r="S242" i="433"/>
  <c r="Q242" i="433"/>
  <c r="P242" i="433"/>
  <c r="O242" i="433"/>
  <c r="N242" i="433"/>
  <c r="M242" i="433"/>
  <c r="L242" i="433"/>
  <c r="R242" i="433" s="1"/>
  <c r="J242" i="433"/>
  <c r="I242" i="433"/>
  <c r="H242" i="433"/>
  <c r="G242" i="433"/>
  <c r="F242" i="433"/>
  <c r="E242" i="433"/>
  <c r="Z241" i="433"/>
  <c r="Y241" i="433"/>
  <c r="X241" i="433"/>
  <c r="W241" i="433"/>
  <c r="V241" i="433"/>
  <c r="U241" i="433"/>
  <c r="T241" i="433"/>
  <c r="S241" i="433"/>
  <c r="Q241" i="433"/>
  <c r="P241" i="433"/>
  <c r="O241" i="433"/>
  <c r="N241" i="433"/>
  <c r="M241" i="433"/>
  <c r="L241" i="433"/>
  <c r="J241" i="433"/>
  <c r="I241" i="433"/>
  <c r="H241" i="433"/>
  <c r="G241" i="433"/>
  <c r="F241" i="433"/>
  <c r="E241" i="433"/>
  <c r="Z240" i="433"/>
  <c r="Y240" i="433"/>
  <c r="X240" i="433"/>
  <c r="W240" i="433"/>
  <c r="V240" i="433"/>
  <c r="U240" i="433"/>
  <c r="T240" i="433"/>
  <c r="S240" i="433"/>
  <c r="Q240" i="433"/>
  <c r="P240" i="433"/>
  <c r="O240" i="433"/>
  <c r="N240" i="433"/>
  <c r="M240" i="433"/>
  <c r="L240" i="433"/>
  <c r="J240" i="433"/>
  <c r="I240" i="433"/>
  <c r="H240" i="433"/>
  <c r="G240" i="433"/>
  <c r="K240" i="433" s="1"/>
  <c r="F240" i="433"/>
  <c r="E240" i="433"/>
  <c r="Z239" i="433"/>
  <c r="Y239" i="433"/>
  <c r="X239" i="433"/>
  <c r="W239" i="433"/>
  <c r="V239" i="433"/>
  <c r="U239" i="433"/>
  <c r="T239" i="433"/>
  <c r="S239" i="433"/>
  <c r="Q239" i="433"/>
  <c r="P239" i="433"/>
  <c r="O239" i="433"/>
  <c r="N239" i="433"/>
  <c r="M239" i="433"/>
  <c r="L239" i="433"/>
  <c r="R239" i="433" s="1"/>
  <c r="J239" i="433"/>
  <c r="I239" i="433"/>
  <c r="H239" i="433"/>
  <c r="G239" i="433"/>
  <c r="F239" i="433"/>
  <c r="E239" i="433"/>
  <c r="Z238" i="433"/>
  <c r="Y238" i="433"/>
  <c r="X238" i="433"/>
  <c r="W238" i="433"/>
  <c r="V238" i="433"/>
  <c r="U238" i="433"/>
  <c r="T238" i="433"/>
  <c r="S238" i="433"/>
  <c r="Q238" i="433"/>
  <c r="P238" i="433"/>
  <c r="O238" i="433"/>
  <c r="N238" i="433"/>
  <c r="M238" i="433"/>
  <c r="L238" i="433"/>
  <c r="J238" i="433"/>
  <c r="I238" i="433"/>
  <c r="H238" i="433"/>
  <c r="G238" i="433"/>
  <c r="F238" i="433"/>
  <c r="E238" i="433"/>
  <c r="Z237" i="433"/>
  <c r="Y237" i="433"/>
  <c r="X237" i="433"/>
  <c r="W237" i="433"/>
  <c r="V237" i="433"/>
  <c r="U237" i="433"/>
  <c r="T237" i="433"/>
  <c r="S237" i="433"/>
  <c r="Q237" i="433"/>
  <c r="P237" i="433"/>
  <c r="O237" i="433"/>
  <c r="N237" i="433"/>
  <c r="M237" i="433"/>
  <c r="L237" i="433"/>
  <c r="J237" i="433"/>
  <c r="I237" i="433"/>
  <c r="H237" i="433"/>
  <c r="G237" i="433"/>
  <c r="F237" i="433"/>
  <c r="E237" i="433"/>
  <c r="Z236" i="433"/>
  <c r="Y236" i="433"/>
  <c r="X236" i="433"/>
  <c r="W236" i="433"/>
  <c r="V236" i="433"/>
  <c r="U236" i="433"/>
  <c r="T236" i="433"/>
  <c r="S236" i="433"/>
  <c r="Q236" i="433"/>
  <c r="P236" i="433"/>
  <c r="O236" i="433"/>
  <c r="N236" i="433"/>
  <c r="M236" i="433"/>
  <c r="L236" i="433"/>
  <c r="J236" i="433"/>
  <c r="I236" i="433"/>
  <c r="H236" i="433"/>
  <c r="G236" i="433"/>
  <c r="K236" i="433" s="1"/>
  <c r="F236" i="433"/>
  <c r="E236" i="433"/>
  <c r="Z235" i="433"/>
  <c r="Y235" i="433"/>
  <c r="X235" i="433"/>
  <c r="W235" i="433"/>
  <c r="V235" i="433"/>
  <c r="U235" i="433"/>
  <c r="T235" i="433"/>
  <c r="S235" i="433"/>
  <c r="Q235" i="433"/>
  <c r="P235" i="433"/>
  <c r="O235" i="433"/>
  <c r="N235" i="433"/>
  <c r="M235" i="433"/>
  <c r="L235" i="433"/>
  <c r="R235" i="433" s="1"/>
  <c r="J235" i="433"/>
  <c r="I235" i="433"/>
  <c r="H235" i="433"/>
  <c r="G235" i="433"/>
  <c r="F235" i="433"/>
  <c r="E235" i="433"/>
  <c r="AA234" i="433"/>
  <c r="AB234" i="433" s="1"/>
  <c r="R234" i="433"/>
  <c r="E234" i="433"/>
  <c r="D234" i="433"/>
  <c r="Z233" i="433"/>
  <c r="Y233" i="433"/>
  <c r="X233" i="433"/>
  <c r="W233" i="433"/>
  <c r="V233" i="433"/>
  <c r="U233" i="433"/>
  <c r="T233" i="433"/>
  <c r="S233" i="433"/>
  <c r="Q233" i="433"/>
  <c r="P233" i="433"/>
  <c r="O233" i="433"/>
  <c r="N233" i="433"/>
  <c r="M233" i="433"/>
  <c r="L233" i="433"/>
  <c r="R233" i="433" s="1"/>
  <c r="J233" i="433"/>
  <c r="I233" i="433"/>
  <c r="H233" i="433"/>
  <c r="G233" i="433"/>
  <c r="F233" i="433"/>
  <c r="K233" i="433" s="1"/>
  <c r="E233" i="433"/>
  <c r="Z232" i="433"/>
  <c r="Y232" i="433"/>
  <c r="X232" i="433"/>
  <c r="W232" i="433"/>
  <c r="V232" i="433"/>
  <c r="U232" i="433"/>
  <c r="T232" i="433"/>
  <c r="S232" i="433"/>
  <c r="Q232" i="433"/>
  <c r="P232" i="433"/>
  <c r="O232" i="433"/>
  <c r="N232" i="433"/>
  <c r="M232" i="433"/>
  <c r="L232" i="433"/>
  <c r="R232" i="433" s="1"/>
  <c r="J232" i="433"/>
  <c r="I232" i="433"/>
  <c r="H232" i="433"/>
  <c r="G232" i="433"/>
  <c r="F232" i="433"/>
  <c r="E232" i="433"/>
  <c r="K232" i="433" s="1"/>
  <c r="Z231" i="433"/>
  <c r="Y231" i="433"/>
  <c r="X231" i="433"/>
  <c r="W231" i="433"/>
  <c r="V231" i="433"/>
  <c r="U231" i="433"/>
  <c r="T231" i="433"/>
  <c r="S231" i="433"/>
  <c r="Q231" i="433"/>
  <c r="P231" i="433"/>
  <c r="O231" i="433"/>
  <c r="N231" i="433"/>
  <c r="R231" i="433" s="1"/>
  <c r="M231" i="433"/>
  <c r="L231" i="433"/>
  <c r="J231" i="433"/>
  <c r="I231" i="433"/>
  <c r="H231" i="433"/>
  <c r="G231" i="433"/>
  <c r="F231" i="433"/>
  <c r="E231" i="433"/>
  <c r="K231" i="433" s="1"/>
  <c r="Z230" i="433"/>
  <c r="Y230" i="433"/>
  <c r="X230" i="433"/>
  <c r="W230" i="433"/>
  <c r="V230" i="433"/>
  <c r="U230" i="433"/>
  <c r="T230" i="433"/>
  <c r="S230" i="433"/>
  <c r="AA230" i="433" s="1"/>
  <c r="Q230" i="433"/>
  <c r="P230" i="433"/>
  <c r="O230" i="433"/>
  <c r="N230" i="433"/>
  <c r="M230" i="433"/>
  <c r="R230" i="433" s="1"/>
  <c r="L230" i="433"/>
  <c r="J230" i="433"/>
  <c r="I230" i="433"/>
  <c r="H230" i="433"/>
  <c r="G230" i="433"/>
  <c r="F230" i="433"/>
  <c r="E230" i="433"/>
  <c r="Z229" i="433"/>
  <c r="Y229" i="433"/>
  <c r="X229" i="433"/>
  <c r="W229" i="433"/>
  <c r="V229" i="433"/>
  <c r="U229" i="433"/>
  <c r="T229" i="433"/>
  <c r="S229" i="433"/>
  <c r="Q229" i="433"/>
  <c r="P229" i="433"/>
  <c r="O229" i="433"/>
  <c r="N229" i="433"/>
  <c r="M229" i="433"/>
  <c r="L229" i="433"/>
  <c r="R229" i="433" s="1"/>
  <c r="J229" i="433"/>
  <c r="I229" i="433"/>
  <c r="H229" i="433"/>
  <c r="G229" i="433"/>
  <c r="F229" i="433"/>
  <c r="K229" i="433" s="1"/>
  <c r="E229" i="433"/>
  <c r="Z228" i="433"/>
  <c r="Y228" i="433"/>
  <c r="X228" i="433"/>
  <c r="W228" i="433"/>
  <c r="V228" i="433"/>
  <c r="U228" i="433"/>
  <c r="T228" i="433"/>
  <c r="S228" i="433"/>
  <c r="AA228" i="433" s="1"/>
  <c r="Q228" i="433"/>
  <c r="P228" i="433"/>
  <c r="O228" i="433"/>
  <c r="N228" i="433"/>
  <c r="M228" i="433"/>
  <c r="L228" i="433"/>
  <c r="R228" i="433" s="1"/>
  <c r="J228" i="433"/>
  <c r="I228" i="433"/>
  <c r="H228" i="433"/>
  <c r="G228" i="433"/>
  <c r="F228" i="433"/>
  <c r="E228" i="433"/>
  <c r="AA227" i="433"/>
  <c r="R227" i="433"/>
  <c r="AB227" i="433" s="1"/>
  <c r="J227" i="433"/>
  <c r="I227" i="433"/>
  <c r="H227" i="433"/>
  <c r="G227" i="433"/>
  <c r="F227" i="433"/>
  <c r="E227" i="433"/>
  <c r="Z226" i="433"/>
  <c r="Y226" i="433"/>
  <c r="X226" i="433"/>
  <c r="W226" i="433"/>
  <c r="V226" i="433"/>
  <c r="U226" i="433"/>
  <c r="T226" i="433"/>
  <c r="S226" i="433"/>
  <c r="Q226" i="433"/>
  <c r="P226" i="433"/>
  <c r="O226" i="433"/>
  <c r="O223" i="433" s="1"/>
  <c r="O222" i="433" s="1"/>
  <c r="O221" i="433" s="1"/>
  <c r="O220" i="433" s="1"/>
  <c r="O219" i="433" s="1"/>
  <c r="N226" i="433"/>
  <c r="M226" i="433"/>
  <c r="L226" i="433"/>
  <c r="J226" i="433"/>
  <c r="I226" i="433"/>
  <c r="H226" i="433"/>
  <c r="G226" i="433"/>
  <c r="F226" i="433"/>
  <c r="E226" i="433"/>
  <c r="Z225" i="433"/>
  <c r="Y225" i="433"/>
  <c r="X225" i="433"/>
  <c r="W225" i="433"/>
  <c r="V225" i="433"/>
  <c r="U225" i="433"/>
  <c r="T225" i="433"/>
  <c r="S225" i="433"/>
  <c r="Q225" i="433"/>
  <c r="P225" i="433"/>
  <c r="O225" i="433"/>
  <c r="N225" i="433"/>
  <c r="N223" i="433" s="1"/>
  <c r="N222" i="433" s="1"/>
  <c r="M225" i="433"/>
  <c r="L225" i="433"/>
  <c r="R225" i="433" s="1"/>
  <c r="J225" i="433"/>
  <c r="I225" i="433"/>
  <c r="H225" i="433"/>
  <c r="G225" i="433"/>
  <c r="F225" i="433"/>
  <c r="E225" i="433"/>
  <c r="Z224" i="433"/>
  <c r="Y224" i="433"/>
  <c r="X224" i="433"/>
  <c r="W224" i="433"/>
  <c r="V224" i="433"/>
  <c r="U224" i="433"/>
  <c r="T224" i="433"/>
  <c r="S224" i="433"/>
  <c r="Q224" i="433"/>
  <c r="Q223" i="433" s="1"/>
  <c r="Q222" i="433" s="1"/>
  <c r="Q221" i="433" s="1"/>
  <c r="Q220" i="433" s="1"/>
  <c r="Q219" i="433" s="1"/>
  <c r="P224" i="433"/>
  <c r="O224" i="433"/>
  <c r="N224" i="433"/>
  <c r="M224" i="433"/>
  <c r="M223" i="433" s="1"/>
  <c r="M222" i="433" s="1"/>
  <c r="M221" i="433" s="1"/>
  <c r="M220" i="433" s="1"/>
  <c r="M219" i="433" s="1"/>
  <c r="L224" i="433"/>
  <c r="J224" i="433"/>
  <c r="I224" i="433"/>
  <c r="H224" i="433"/>
  <c r="G224" i="433"/>
  <c r="F224" i="433"/>
  <c r="E224" i="433"/>
  <c r="S223" i="433"/>
  <c r="K223" i="433"/>
  <c r="E223" i="433"/>
  <c r="D223" i="433"/>
  <c r="Z222" i="433"/>
  <c r="Y222" i="433"/>
  <c r="Y221" i="433" s="1"/>
  <c r="Y220" i="433" s="1"/>
  <c r="Y219" i="433" s="1"/>
  <c r="X222" i="433"/>
  <c r="X221" i="433" s="1"/>
  <c r="X220" i="433" s="1"/>
  <c r="X219" i="433" s="1"/>
  <c r="W222" i="433"/>
  <c r="W221" i="433" s="1"/>
  <c r="W220" i="433" s="1"/>
  <c r="W219" i="433" s="1"/>
  <c r="V222" i="433"/>
  <c r="U222" i="433"/>
  <c r="T222" i="433"/>
  <c r="T221" i="433" s="1"/>
  <c r="T220" i="433" s="1"/>
  <c r="T219" i="433" s="1"/>
  <c r="J222" i="433"/>
  <c r="I222" i="433"/>
  <c r="H222" i="433"/>
  <c r="H221" i="433" s="1"/>
  <c r="H220" i="433" s="1"/>
  <c r="H219" i="433" s="1"/>
  <c r="G222" i="433"/>
  <c r="G221" i="433" s="1"/>
  <c r="G220" i="433" s="1"/>
  <c r="G219" i="433" s="1"/>
  <c r="F222" i="433"/>
  <c r="E222" i="433"/>
  <c r="Z221" i="433"/>
  <c r="Z220" i="433" s="1"/>
  <c r="Z219" i="433" s="1"/>
  <c r="V221" i="433"/>
  <c r="V220" i="433" s="1"/>
  <c r="V219" i="433" s="1"/>
  <c r="U221" i="433"/>
  <c r="U220" i="433" s="1"/>
  <c r="U219" i="433" s="1"/>
  <c r="N221" i="433"/>
  <c r="N220" i="433" s="1"/>
  <c r="N219" i="433" s="1"/>
  <c r="J221" i="433"/>
  <c r="J220" i="433" s="1"/>
  <c r="J219" i="433" s="1"/>
  <c r="I221" i="433"/>
  <c r="I220" i="433" s="1"/>
  <c r="I219" i="433" s="1"/>
  <c r="F221" i="433"/>
  <c r="F220" i="433" s="1"/>
  <c r="F219" i="433" s="1"/>
  <c r="E221" i="433"/>
  <c r="E220" i="433"/>
  <c r="E219" i="433"/>
  <c r="AA218" i="433"/>
  <c r="R218" i="433"/>
  <c r="AB218" i="433" s="1"/>
  <c r="E218" i="433"/>
  <c r="K218" i="433" s="1"/>
  <c r="AA217" i="433"/>
  <c r="R217" i="433"/>
  <c r="K217" i="433"/>
  <c r="E217" i="433"/>
  <c r="Z216" i="433"/>
  <c r="Z215" i="433" s="1"/>
  <c r="Y216" i="433"/>
  <c r="X216" i="433"/>
  <c r="W216" i="433"/>
  <c r="W215" i="433" s="1"/>
  <c r="V216" i="433"/>
  <c r="V215" i="433" s="1"/>
  <c r="U216" i="433"/>
  <c r="U215" i="433" s="1"/>
  <c r="T216" i="433"/>
  <c r="T215" i="433" s="1"/>
  <c r="S216" i="433"/>
  <c r="S215" i="433" s="1"/>
  <c r="Q216" i="433"/>
  <c r="P216" i="433"/>
  <c r="O216" i="433"/>
  <c r="O215" i="433" s="1"/>
  <c r="N216" i="433"/>
  <c r="N215" i="433" s="1"/>
  <c r="M216" i="433"/>
  <c r="L216" i="433"/>
  <c r="L215" i="433" s="1"/>
  <c r="J216" i="433"/>
  <c r="J215" i="433" s="1"/>
  <c r="I216" i="433"/>
  <c r="H216" i="433"/>
  <c r="G216" i="433"/>
  <c r="G215" i="433" s="1"/>
  <c r="F216" i="433"/>
  <c r="F215" i="433" s="1"/>
  <c r="E216" i="433"/>
  <c r="D216" i="433"/>
  <c r="Y215" i="433"/>
  <c r="X215" i="433"/>
  <c r="Q215" i="433"/>
  <c r="P215" i="433"/>
  <c r="M215" i="433"/>
  <c r="I215" i="433"/>
  <c r="H215" i="433"/>
  <c r="E215" i="433"/>
  <c r="D215" i="433"/>
  <c r="AA214" i="433"/>
  <c r="R214" i="433"/>
  <c r="K214" i="433"/>
  <c r="E214" i="433"/>
  <c r="AA213" i="433"/>
  <c r="R213" i="433"/>
  <c r="K213" i="433"/>
  <c r="E213" i="433"/>
  <c r="AA212" i="433"/>
  <c r="R212" i="433"/>
  <c r="K212" i="433"/>
  <c r="E212" i="433"/>
  <c r="Z211" i="433"/>
  <c r="Z207" i="433" s="1"/>
  <c r="Y211" i="433"/>
  <c r="Y207" i="433" s="1"/>
  <c r="Y206" i="433" s="1"/>
  <c r="X211" i="433"/>
  <c r="W211" i="433"/>
  <c r="V211" i="433"/>
  <c r="U211" i="433"/>
  <c r="U207" i="433" s="1"/>
  <c r="U206" i="433" s="1"/>
  <c r="T211" i="433"/>
  <c r="S211" i="433"/>
  <c r="Q211" i="433"/>
  <c r="P211" i="433"/>
  <c r="O211" i="433"/>
  <c r="N211" i="433"/>
  <c r="M211" i="433"/>
  <c r="L211" i="433"/>
  <c r="R211" i="433" s="1"/>
  <c r="J211" i="433"/>
  <c r="I211" i="433"/>
  <c r="H211" i="433"/>
  <c r="G211" i="433"/>
  <c r="F211" i="433"/>
  <c r="E211" i="433"/>
  <c r="D211" i="433"/>
  <c r="AA210" i="433"/>
  <c r="R210" i="433"/>
  <c r="K210" i="433"/>
  <c r="E210" i="433"/>
  <c r="AA209" i="433"/>
  <c r="R209" i="433"/>
  <c r="K209" i="433"/>
  <c r="E209" i="433"/>
  <c r="AA208" i="433"/>
  <c r="R208" i="433"/>
  <c r="K208" i="433"/>
  <c r="E208" i="433"/>
  <c r="X207" i="433"/>
  <c r="X206" i="433" s="1"/>
  <c r="W207" i="433"/>
  <c r="W206" i="433" s="1"/>
  <c r="V207" i="433"/>
  <c r="V206" i="433" s="1"/>
  <c r="T207" i="433"/>
  <c r="T206" i="433" s="1"/>
  <c r="S207" i="433"/>
  <c r="S206" i="433" s="1"/>
  <c r="Q207" i="433"/>
  <c r="Q206" i="433" s="1"/>
  <c r="P207" i="433"/>
  <c r="P206" i="433" s="1"/>
  <c r="O207" i="433"/>
  <c r="N207" i="433"/>
  <c r="N206" i="433" s="1"/>
  <c r="M207" i="433"/>
  <c r="L207" i="433"/>
  <c r="J207" i="433"/>
  <c r="I207" i="433"/>
  <c r="H207" i="433"/>
  <c r="H206" i="433" s="1"/>
  <c r="G207" i="433"/>
  <c r="G206" i="433" s="1"/>
  <c r="F207" i="433"/>
  <c r="E207" i="433"/>
  <c r="D207" i="433"/>
  <c r="D206" i="433" s="1"/>
  <c r="Z206" i="433"/>
  <c r="O206" i="433"/>
  <c r="M206" i="433"/>
  <c r="J206" i="433"/>
  <c r="I206" i="433"/>
  <c r="F206" i="433"/>
  <c r="E206" i="433"/>
  <c r="AA205" i="433"/>
  <c r="R205" i="433"/>
  <c r="K205" i="433"/>
  <c r="E205" i="433"/>
  <c r="AA204" i="433"/>
  <c r="R204" i="433"/>
  <c r="K204" i="433"/>
  <c r="E204" i="433"/>
  <c r="AA203" i="433"/>
  <c r="R203" i="433"/>
  <c r="AB203" i="433" s="1"/>
  <c r="E203" i="433"/>
  <c r="K203" i="433" s="1"/>
  <c r="Z202" i="433"/>
  <c r="Z201" i="433" s="1"/>
  <c r="Z200" i="433" s="1"/>
  <c r="Y202" i="433"/>
  <c r="Y201" i="433" s="1"/>
  <c r="Y200" i="433" s="1"/>
  <c r="X202" i="433"/>
  <c r="X201" i="433" s="1"/>
  <c r="X200" i="433" s="1"/>
  <c r="W202" i="433"/>
  <c r="V202" i="433"/>
  <c r="V201" i="433" s="1"/>
  <c r="V200" i="433" s="1"/>
  <c r="U202" i="433"/>
  <c r="U201" i="433" s="1"/>
  <c r="U200" i="433" s="1"/>
  <c r="T202" i="433"/>
  <c r="T201" i="433" s="1"/>
  <c r="T200" i="433" s="1"/>
  <c r="S202" i="433"/>
  <c r="Q202" i="433"/>
  <c r="Q201" i="433" s="1"/>
  <c r="Q200" i="433" s="1"/>
  <c r="P202" i="433"/>
  <c r="O202" i="433"/>
  <c r="N202" i="433"/>
  <c r="M202" i="433"/>
  <c r="M201" i="433" s="1"/>
  <c r="M200" i="433" s="1"/>
  <c r="L202" i="433"/>
  <c r="J202" i="433"/>
  <c r="J201" i="433" s="1"/>
  <c r="J200" i="433" s="1"/>
  <c r="I202" i="433"/>
  <c r="I201" i="433" s="1"/>
  <c r="I200" i="433" s="1"/>
  <c r="H202" i="433"/>
  <c r="H201" i="433" s="1"/>
  <c r="H200" i="433" s="1"/>
  <c r="G202" i="433"/>
  <c r="F202" i="433"/>
  <c r="F201" i="433" s="1"/>
  <c r="F200" i="433" s="1"/>
  <c r="E202" i="433"/>
  <c r="D202" i="433"/>
  <c r="K202" i="433" s="1"/>
  <c r="W201" i="433"/>
  <c r="W200" i="433" s="1"/>
  <c r="S201" i="433"/>
  <c r="P201" i="433"/>
  <c r="O201" i="433"/>
  <c r="O200" i="433" s="1"/>
  <c r="N201" i="433"/>
  <c r="L201" i="433"/>
  <c r="R201" i="433" s="1"/>
  <c r="G201" i="433"/>
  <c r="G200" i="433" s="1"/>
  <c r="E201" i="433"/>
  <c r="P200" i="433"/>
  <c r="N200" i="433"/>
  <c r="E200" i="433"/>
  <c r="AA199" i="433"/>
  <c r="R199" i="433"/>
  <c r="AB199" i="433" s="1"/>
  <c r="E199" i="433"/>
  <c r="K199" i="433" s="1"/>
  <c r="AA198" i="433"/>
  <c r="R198" i="433"/>
  <c r="AB198" i="433" s="1"/>
  <c r="E198" i="433"/>
  <c r="K198" i="433" s="1"/>
  <c r="AA197" i="433"/>
  <c r="R197" i="433"/>
  <c r="AB197" i="433" s="1"/>
  <c r="E197" i="433"/>
  <c r="K197" i="433" s="1"/>
  <c r="AA196" i="433"/>
  <c r="R196" i="433"/>
  <c r="AB196" i="433" s="1"/>
  <c r="E196" i="433"/>
  <c r="K196" i="433" s="1"/>
  <c r="AA195" i="433"/>
  <c r="R195" i="433"/>
  <c r="AB195" i="433" s="1"/>
  <c r="E195" i="433"/>
  <c r="K195" i="433" s="1"/>
  <c r="AA194" i="433"/>
  <c r="R194" i="433"/>
  <c r="AB194" i="433" s="1"/>
  <c r="E194" i="433"/>
  <c r="K194" i="433" s="1"/>
  <c r="Z193" i="433"/>
  <c r="Y193" i="433"/>
  <c r="X193" i="433"/>
  <c r="X192" i="433" s="1"/>
  <c r="X191" i="433" s="1"/>
  <c r="W193" i="433"/>
  <c r="W192" i="433" s="1"/>
  <c r="V193" i="433"/>
  <c r="V192" i="433" s="1"/>
  <c r="U193" i="433"/>
  <c r="T193" i="433"/>
  <c r="T192" i="433" s="1"/>
  <c r="T191" i="433" s="1"/>
  <c r="S193" i="433"/>
  <c r="Q193" i="433"/>
  <c r="P193" i="433"/>
  <c r="P192" i="433" s="1"/>
  <c r="O193" i="433"/>
  <c r="O192" i="433" s="1"/>
  <c r="O191" i="433" s="1"/>
  <c r="N193" i="433"/>
  <c r="M193" i="433"/>
  <c r="M192" i="433" s="1"/>
  <c r="L193" i="433"/>
  <c r="J193" i="433"/>
  <c r="J192" i="433" s="1"/>
  <c r="I193" i="433"/>
  <c r="H193" i="433"/>
  <c r="H192" i="433" s="1"/>
  <c r="G193" i="433"/>
  <c r="G192" i="433" s="1"/>
  <c r="F193" i="433"/>
  <c r="F192" i="433" s="1"/>
  <c r="E193" i="433"/>
  <c r="D193" i="433"/>
  <c r="Z192" i="433"/>
  <c r="Y192" i="433"/>
  <c r="U192" i="433"/>
  <c r="Q192" i="433"/>
  <c r="N192" i="433"/>
  <c r="L192" i="433"/>
  <c r="I192" i="433"/>
  <c r="E192" i="433"/>
  <c r="D192" i="433"/>
  <c r="E191" i="433"/>
  <c r="Z190" i="433"/>
  <c r="Y190" i="433"/>
  <c r="X190" i="433"/>
  <c r="W190" i="433"/>
  <c r="V190" i="433"/>
  <c r="U190" i="433"/>
  <c r="T190" i="433"/>
  <c r="S190" i="433"/>
  <c r="Q190" i="433"/>
  <c r="P190" i="433"/>
  <c r="O190" i="433"/>
  <c r="N190" i="433"/>
  <c r="M190" i="433"/>
  <c r="L190" i="433"/>
  <c r="J190" i="433"/>
  <c r="I190" i="433"/>
  <c r="H190" i="433"/>
  <c r="G190" i="433"/>
  <c r="F190" i="433"/>
  <c r="E190" i="433"/>
  <c r="D190" i="433"/>
  <c r="Z189" i="433"/>
  <c r="Y189" i="433"/>
  <c r="X189" i="433"/>
  <c r="W189" i="433"/>
  <c r="V189" i="433"/>
  <c r="U189" i="433"/>
  <c r="T189" i="433"/>
  <c r="S189" i="433"/>
  <c r="Q189" i="433"/>
  <c r="P189" i="433"/>
  <c r="O189" i="433"/>
  <c r="N189" i="433"/>
  <c r="M189" i="433"/>
  <c r="L189" i="433"/>
  <c r="J189" i="433"/>
  <c r="I189" i="433"/>
  <c r="H189" i="433"/>
  <c r="G189" i="433"/>
  <c r="F189" i="433"/>
  <c r="E189" i="433"/>
  <c r="D189" i="433"/>
  <c r="Z188" i="433"/>
  <c r="Y188" i="433"/>
  <c r="X188" i="433"/>
  <c r="W188" i="433"/>
  <c r="V188" i="433"/>
  <c r="U188" i="433"/>
  <c r="T188" i="433"/>
  <c r="S188" i="433"/>
  <c r="Q188" i="433"/>
  <c r="P188" i="433"/>
  <c r="O188" i="433"/>
  <c r="N188" i="433"/>
  <c r="M188" i="433"/>
  <c r="L188" i="433"/>
  <c r="J188" i="433"/>
  <c r="I188" i="433"/>
  <c r="H188" i="433"/>
  <c r="G188" i="433"/>
  <c r="F188" i="433"/>
  <c r="E188" i="433"/>
  <c r="D188" i="433"/>
  <c r="Z187" i="433"/>
  <c r="Y187" i="433"/>
  <c r="X187" i="433"/>
  <c r="W187" i="433"/>
  <c r="V187" i="433"/>
  <c r="U187" i="433"/>
  <c r="T187" i="433"/>
  <c r="S187" i="433"/>
  <c r="Q187" i="433"/>
  <c r="P187" i="433"/>
  <c r="O187" i="433"/>
  <c r="N187" i="433"/>
  <c r="M187" i="433"/>
  <c r="L187" i="433"/>
  <c r="J187" i="433"/>
  <c r="I187" i="433"/>
  <c r="H187" i="433"/>
  <c r="G187" i="433"/>
  <c r="F187" i="433"/>
  <c r="E187" i="433"/>
  <c r="D187" i="433"/>
  <c r="K187" i="433" s="1"/>
  <c r="Z186" i="433"/>
  <c r="Y186" i="433"/>
  <c r="X186" i="433"/>
  <c r="W186" i="433"/>
  <c r="V186" i="433"/>
  <c r="U186" i="433"/>
  <c r="T186" i="433"/>
  <c r="S186" i="433"/>
  <c r="Q186" i="433"/>
  <c r="P186" i="433"/>
  <c r="O186" i="433"/>
  <c r="N186" i="433"/>
  <c r="M186" i="433"/>
  <c r="L186" i="433"/>
  <c r="J186" i="433"/>
  <c r="I186" i="433"/>
  <c r="H186" i="433"/>
  <c r="G186" i="433"/>
  <c r="F186" i="433"/>
  <c r="E186" i="433"/>
  <c r="D186" i="433"/>
  <c r="AA185" i="433"/>
  <c r="R185" i="433"/>
  <c r="AB185" i="433" s="1"/>
  <c r="AC185" i="433" s="1"/>
  <c r="E185" i="433"/>
  <c r="K185" i="433" s="1"/>
  <c r="Z184" i="433"/>
  <c r="Z183" i="433" s="1"/>
  <c r="Z182" i="433" s="1"/>
  <c r="Z181" i="433" s="1"/>
  <c r="Y184" i="433"/>
  <c r="Y183" i="433" s="1"/>
  <c r="Y182" i="433" s="1"/>
  <c r="Y181" i="433" s="1"/>
  <c r="X184" i="433"/>
  <c r="W184" i="433"/>
  <c r="V184" i="433"/>
  <c r="V183" i="433" s="1"/>
  <c r="V182" i="433" s="1"/>
  <c r="V181" i="433" s="1"/>
  <c r="U184" i="433"/>
  <c r="U183" i="433" s="1"/>
  <c r="U182" i="433" s="1"/>
  <c r="U181" i="433" s="1"/>
  <c r="T184" i="433"/>
  <c r="T183" i="433" s="1"/>
  <c r="T182" i="433" s="1"/>
  <c r="T181" i="433" s="1"/>
  <c r="S184" i="433"/>
  <c r="Q184" i="433"/>
  <c r="Q183" i="433" s="1"/>
  <c r="Q182" i="433" s="1"/>
  <c r="Q181" i="433" s="1"/>
  <c r="P184" i="433"/>
  <c r="O184" i="433"/>
  <c r="O183" i="433" s="1"/>
  <c r="O182" i="433" s="1"/>
  <c r="O181" i="433" s="1"/>
  <c r="N184" i="433"/>
  <c r="M184" i="433"/>
  <c r="M183" i="433" s="1"/>
  <c r="M182" i="433" s="1"/>
  <c r="M181" i="433" s="1"/>
  <c r="L184" i="433"/>
  <c r="J184" i="433"/>
  <c r="J183" i="433" s="1"/>
  <c r="J182" i="433" s="1"/>
  <c r="J181" i="433" s="1"/>
  <c r="I184" i="433"/>
  <c r="I183" i="433" s="1"/>
  <c r="I182" i="433" s="1"/>
  <c r="I181" i="433" s="1"/>
  <c r="H184" i="433"/>
  <c r="G184" i="433"/>
  <c r="F184" i="433"/>
  <c r="F183" i="433" s="1"/>
  <c r="F182" i="433" s="1"/>
  <c r="F181" i="433" s="1"/>
  <c r="E184" i="433"/>
  <c r="D184" i="433"/>
  <c r="D183" i="433" s="1"/>
  <c r="X183" i="433"/>
  <c r="X182" i="433" s="1"/>
  <c r="X181" i="433" s="1"/>
  <c r="W183" i="433"/>
  <c r="W182" i="433" s="1"/>
  <c r="W181" i="433" s="1"/>
  <c r="S183" i="433"/>
  <c r="P183" i="433"/>
  <c r="P182" i="433" s="1"/>
  <c r="P181" i="433" s="1"/>
  <c r="N183" i="433"/>
  <c r="N182" i="433" s="1"/>
  <c r="N181" i="433" s="1"/>
  <c r="L183" i="433"/>
  <c r="H183" i="433"/>
  <c r="H182" i="433" s="1"/>
  <c r="H181" i="433" s="1"/>
  <c r="G183" i="433"/>
  <c r="G182" i="433" s="1"/>
  <c r="G181" i="433" s="1"/>
  <c r="E183" i="433"/>
  <c r="L182" i="433"/>
  <c r="E182" i="433"/>
  <c r="E181" i="433"/>
  <c r="Z180" i="433"/>
  <c r="Y180" i="433"/>
  <c r="X180" i="433"/>
  <c r="W180" i="433"/>
  <c r="V180" i="433"/>
  <c r="U180" i="433"/>
  <c r="T180" i="433"/>
  <c r="S180" i="433"/>
  <c r="Q180" i="433"/>
  <c r="P180" i="433"/>
  <c r="O180" i="433"/>
  <c r="N180" i="433"/>
  <c r="M180" i="433"/>
  <c r="L180" i="433"/>
  <c r="J180" i="433"/>
  <c r="I180" i="433"/>
  <c r="H180" i="433"/>
  <c r="G180" i="433"/>
  <c r="F180" i="433"/>
  <c r="E180" i="433"/>
  <c r="D180" i="433"/>
  <c r="Z179" i="433"/>
  <c r="Y179" i="433"/>
  <c r="X179" i="433"/>
  <c r="W179" i="433"/>
  <c r="V179" i="433"/>
  <c r="U179" i="433"/>
  <c r="T179" i="433"/>
  <c r="S179" i="433"/>
  <c r="Q179" i="433"/>
  <c r="P179" i="433"/>
  <c r="O179" i="433"/>
  <c r="N179" i="433"/>
  <c r="M179" i="433"/>
  <c r="L179" i="433"/>
  <c r="J179" i="433"/>
  <c r="I179" i="433"/>
  <c r="H179" i="433"/>
  <c r="G179" i="433"/>
  <c r="F179" i="433"/>
  <c r="E179" i="433"/>
  <c r="D179" i="433"/>
  <c r="Z178" i="433"/>
  <c r="Y178" i="433"/>
  <c r="X178" i="433"/>
  <c r="W178" i="433"/>
  <c r="V178" i="433"/>
  <c r="U178" i="433"/>
  <c r="T178" i="433"/>
  <c r="S178" i="433"/>
  <c r="Q178" i="433"/>
  <c r="P178" i="433"/>
  <c r="O178" i="433"/>
  <c r="N178" i="433"/>
  <c r="M178" i="433"/>
  <c r="L178" i="433"/>
  <c r="J178" i="433"/>
  <c r="I178" i="433"/>
  <c r="H178" i="433"/>
  <c r="G178" i="433"/>
  <c r="F178" i="433"/>
  <c r="E178" i="433"/>
  <c r="D178" i="433"/>
  <c r="Z177" i="433"/>
  <c r="Y177" i="433"/>
  <c r="X177" i="433"/>
  <c r="W177" i="433"/>
  <c r="V177" i="433"/>
  <c r="U177" i="433"/>
  <c r="T177" i="433"/>
  <c r="S177" i="433"/>
  <c r="Q177" i="433"/>
  <c r="P177" i="433"/>
  <c r="O177" i="433"/>
  <c r="N177" i="433"/>
  <c r="M177" i="433"/>
  <c r="L177" i="433"/>
  <c r="J177" i="433"/>
  <c r="I177" i="433"/>
  <c r="H177" i="433"/>
  <c r="G177" i="433"/>
  <c r="F177" i="433"/>
  <c r="E177" i="433"/>
  <c r="D177" i="433"/>
  <c r="K177" i="433" s="1"/>
  <c r="Z176" i="433"/>
  <c r="Y176" i="433"/>
  <c r="X176" i="433"/>
  <c r="W176" i="433"/>
  <c r="V176" i="433"/>
  <c r="U176" i="433"/>
  <c r="T176" i="433"/>
  <c r="S176" i="433"/>
  <c r="Q176" i="433"/>
  <c r="P176" i="433"/>
  <c r="O176" i="433"/>
  <c r="N176" i="433"/>
  <c r="M176" i="433"/>
  <c r="L176" i="433"/>
  <c r="J176" i="433"/>
  <c r="I176" i="433"/>
  <c r="H176" i="433"/>
  <c r="G176" i="433"/>
  <c r="F176" i="433"/>
  <c r="E176" i="433"/>
  <c r="D176" i="433"/>
  <c r="AA175" i="433"/>
  <c r="R175" i="433"/>
  <c r="AB175" i="433" s="1"/>
  <c r="AC175" i="433" s="1"/>
  <c r="E175" i="433"/>
  <c r="K175" i="433" s="1"/>
  <c r="Z174" i="433"/>
  <c r="Y174" i="433"/>
  <c r="X174" i="433"/>
  <c r="W174" i="433"/>
  <c r="V174" i="433"/>
  <c r="U174" i="433"/>
  <c r="T174" i="433"/>
  <c r="S174" i="433"/>
  <c r="Q174" i="433"/>
  <c r="P174" i="433"/>
  <c r="O174" i="433"/>
  <c r="N174" i="433"/>
  <c r="M174" i="433"/>
  <c r="L174" i="433"/>
  <c r="J174" i="433"/>
  <c r="I174" i="433"/>
  <c r="H174" i="433"/>
  <c r="G174" i="433"/>
  <c r="F174" i="433"/>
  <c r="E174" i="433"/>
  <c r="D174" i="433"/>
  <c r="Z173" i="433"/>
  <c r="Y173" i="433"/>
  <c r="X173" i="433"/>
  <c r="W173" i="433"/>
  <c r="V173" i="433"/>
  <c r="U173" i="433"/>
  <c r="T173" i="433"/>
  <c r="S173" i="433"/>
  <c r="Q173" i="433"/>
  <c r="P173" i="433"/>
  <c r="O173" i="433"/>
  <c r="N173" i="433"/>
  <c r="M173" i="433"/>
  <c r="L173" i="433"/>
  <c r="J173" i="433"/>
  <c r="I173" i="433"/>
  <c r="H173" i="433"/>
  <c r="G173" i="433"/>
  <c r="F173" i="433"/>
  <c r="E173" i="433"/>
  <c r="D173" i="433"/>
  <c r="Z172" i="433"/>
  <c r="Y172" i="433"/>
  <c r="X172" i="433"/>
  <c r="W172" i="433"/>
  <c r="V172" i="433"/>
  <c r="U172" i="433"/>
  <c r="T172" i="433"/>
  <c r="S172" i="433"/>
  <c r="Q172" i="433"/>
  <c r="P172" i="433"/>
  <c r="O172" i="433"/>
  <c r="N172" i="433"/>
  <c r="M172" i="433"/>
  <c r="L172" i="433"/>
  <c r="J172" i="433"/>
  <c r="I172" i="433"/>
  <c r="H172" i="433"/>
  <c r="G172" i="433"/>
  <c r="F172" i="433"/>
  <c r="E172" i="433"/>
  <c r="D172" i="433"/>
  <c r="K172" i="433" s="1"/>
  <c r="Z171" i="433"/>
  <c r="Y171" i="433"/>
  <c r="X171" i="433"/>
  <c r="W171" i="433"/>
  <c r="V171" i="433"/>
  <c r="U171" i="433"/>
  <c r="T171" i="433"/>
  <c r="S171" i="433"/>
  <c r="Q171" i="433"/>
  <c r="P171" i="433"/>
  <c r="O171" i="433"/>
  <c r="N171" i="433"/>
  <c r="M171" i="433"/>
  <c r="L171" i="433"/>
  <c r="J171" i="433"/>
  <c r="I171" i="433"/>
  <c r="H171" i="433"/>
  <c r="G171" i="433"/>
  <c r="F171" i="433"/>
  <c r="E171" i="433"/>
  <c r="D171" i="433"/>
  <c r="Z170" i="433"/>
  <c r="Y170" i="433"/>
  <c r="X170" i="433"/>
  <c r="W170" i="433"/>
  <c r="V170" i="433"/>
  <c r="U170" i="433"/>
  <c r="T170" i="433"/>
  <c r="S170" i="433"/>
  <c r="Q170" i="433"/>
  <c r="P170" i="433"/>
  <c r="O170" i="433"/>
  <c r="N170" i="433"/>
  <c r="M170" i="433"/>
  <c r="L170" i="433"/>
  <c r="J170" i="433"/>
  <c r="I170" i="433"/>
  <c r="H170" i="433"/>
  <c r="G170" i="433"/>
  <c r="F170" i="433"/>
  <c r="E170" i="433"/>
  <c r="D170" i="433"/>
  <c r="Z169" i="433"/>
  <c r="Y169" i="433"/>
  <c r="X169" i="433"/>
  <c r="W169" i="433"/>
  <c r="V169" i="433"/>
  <c r="U169" i="433"/>
  <c r="T169" i="433"/>
  <c r="S169" i="433"/>
  <c r="Q169" i="433"/>
  <c r="P169" i="433"/>
  <c r="O169" i="433"/>
  <c r="N169" i="433"/>
  <c r="M169" i="433"/>
  <c r="L169" i="433"/>
  <c r="J169" i="433"/>
  <c r="I169" i="433"/>
  <c r="H169" i="433"/>
  <c r="G169" i="433"/>
  <c r="F169" i="433"/>
  <c r="E169" i="433"/>
  <c r="D169" i="433"/>
  <c r="AA168" i="433"/>
  <c r="R168" i="433"/>
  <c r="E168" i="433"/>
  <c r="K168" i="433" s="1"/>
  <c r="Z167" i="433"/>
  <c r="Y167" i="433"/>
  <c r="X167" i="433"/>
  <c r="W167" i="433"/>
  <c r="V167" i="433"/>
  <c r="U167" i="433"/>
  <c r="T167" i="433"/>
  <c r="S167" i="433"/>
  <c r="Q167" i="433"/>
  <c r="P167" i="433"/>
  <c r="O167" i="433"/>
  <c r="N167" i="433"/>
  <c r="M167" i="433"/>
  <c r="L167" i="433"/>
  <c r="R167" i="433" s="1"/>
  <c r="J167" i="433"/>
  <c r="I167" i="433"/>
  <c r="H167" i="433"/>
  <c r="G167" i="433"/>
  <c r="F167" i="433"/>
  <c r="E167" i="433"/>
  <c r="D167" i="433"/>
  <c r="Z166" i="433"/>
  <c r="Y166" i="433"/>
  <c r="X166" i="433"/>
  <c r="W166" i="433"/>
  <c r="V166" i="433"/>
  <c r="U166" i="433"/>
  <c r="T166" i="433"/>
  <c r="S166" i="433"/>
  <c r="Q166" i="433"/>
  <c r="P166" i="433"/>
  <c r="O166" i="433"/>
  <c r="N166" i="433"/>
  <c r="M166" i="433"/>
  <c r="L166" i="433"/>
  <c r="J166" i="433"/>
  <c r="I166" i="433"/>
  <c r="H166" i="433"/>
  <c r="G166" i="433"/>
  <c r="F166" i="433"/>
  <c r="E166" i="433"/>
  <c r="D166" i="433"/>
  <c r="Z165" i="433"/>
  <c r="Y165" i="433"/>
  <c r="X165" i="433"/>
  <c r="W165" i="433"/>
  <c r="V165" i="433"/>
  <c r="U165" i="433"/>
  <c r="T165" i="433"/>
  <c r="S165" i="433"/>
  <c r="Q165" i="433"/>
  <c r="P165" i="433"/>
  <c r="O165" i="433"/>
  <c r="N165" i="433"/>
  <c r="R165" i="433" s="1"/>
  <c r="M165" i="433"/>
  <c r="L165" i="433"/>
  <c r="J165" i="433"/>
  <c r="I165" i="433"/>
  <c r="H165" i="433"/>
  <c r="G165" i="433"/>
  <c r="F165" i="433"/>
  <c r="E165" i="433"/>
  <c r="D165" i="433"/>
  <c r="Z164" i="433"/>
  <c r="Y164" i="433"/>
  <c r="X164" i="433"/>
  <c r="W164" i="433"/>
  <c r="V164" i="433"/>
  <c r="U164" i="433"/>
  <c r="T164" i="433"/>
  <c r="S164" i="433"/>
  <c r="Q164" i="433"/>
  <c r="P164" i="433"/>
  <c r="O164" i="433"/>
  <c r="N164" i="433"/>
  <c r="M164" i="433"/>
  <c r="L164" i="433"/>
  <c r="J164" i="433"/>
  <c r="I164" i="433"/>
  <c r="H164" i="433"/>
  <c r="G164" i="433"/>
  <c r="F164" i="433"/>
  <c r="E164" i="433"/>
  <c r="D164" i="433"/>
  <c r="Z163" i="433"/>
  <c r="Y163" i="433"/>
  <c r="X163" i="433"/>
  <c r="W163" i="433"/>
  <c r="V163" i="433"/>
  <c r="U163" i="433"/>
  <c r="T163" i="433"/>
  <c r="S163" i="433"/>
  <c r="Q163" i="433"/>
  <c r="P163" i="433"/>
  <c r="O163" i="433"/>
  <c r="N163" i="433"/>
  <c r="M163" i="433"/>
  <c r="L163" i="433"/>
  <c r="R163" i="433" s="1"/>
  <c r="J163" i="433"/>
  <c r="I163" i="433"/>
  <c r="H163" i="433"/>
  <c r="G163" i="433"/>
  <c r="F163" i="433"/>
  <c r="E163" i="433"/>
  <c r="D163" i="433"/>
  <c r="Z162" i="433"/>
  <c r="Y162" i="433"/>
  <c r="X162" i="433"/>
  <c r="W162" i="433"/>
  <c r="V162" i="433"/>
  <c r="U162" i="433"/>
  <c r="T162" i="433"/>
  <c r="S162" i="433"/>
  <c r="Q162" i="433"/>
  <c r="P162" i="433"/>
  <c r="O162" i="433"/>
  <c r="N162" i="433"/>
  <c r="M162" i="433"/>
  <c r="L162" i="433"/>
  <c r="J162" i="433"/>
  <c r="I162" i="433"/>
  <c r="H162" i="433"/>
  <c r="G162" i="433"/>
  <c r="F162" i="433"/>
  <c r="E162" i="433"/>
  <c r="D162" i="433"/>
  <c r="AA161" i="433"/>
  <c r="R161" i="433"/>
  <c r="E161" i="433"/>
  <c r="K161" i="433" s="1"/>
  <c r="Z160" i="433"/>
  <c r="Y160" i="433"/>
  <c r="X160" i="433"/>
  <c r="W160" i="433"/>
  <c r="V160" i="433"/>
  <c r="U160" i="433"/>
  <c r="T160" i="433"/>
  <c r="S160" i="433"/>
  <c r="Q160" i="433"/>
  <c r="P160" i="433"/>
  <c r="O160" i="433"/>
  <c r="N160" i="433"/>
  <c r="R160" i="433" s="1"/>
  <c r="M160" i="433"/>
  <c r="L160" i="433"/>
  <c r="J160" i="433"/>
  <c r="I160" i="433"/>
  <c r="H160" i="433"/>
  <c r="G160" i="433"/>
  <c r="F160" i="433"/>
  <c r="E160" i="433"/>
  <c r="D160" i="433"/>
  <c r="K160" i="433" s="1"/>
  <c r="Z159" i="433"/>
  <c r="Y159" i="433"/>
  <c r="X159" i="433"/>
  <c r="W159" i="433"/>
  <c r="V159" i="433"/>
  <c r="U159" i="433"/>
  <c r="T159" i="433"/>
  <c r="S159" i="433"/>
  <c r="Q159" i="433"/>
  <c r="P159" i="433"/>
  <c r="O159" i="433"/>
  <c r="N159" i="433"/>
  <c r="M159" i="433"/>
  <c r="L159" i="433"/>
  <c r="J159" i="433"/>
  <c r="I159" i="433"/>
  <c r="H159" i="433"/>
  <c r="G159" i="433"/>
  <c r="F159" i="433"/>
  <c r="E159" i="433"/>
  <c r="D159" i="433"/>
  <c r="Z158" i="433"/>
  <c r="Y158" i="433"/>
  <c r="X158" i="433"/>
  <c r="W158" i="433"/>
  <c r="V158" i="433"/>
  <c r="U158" i="433"/>
  <c r="T158" i="433"/>
  <c r="S158" i="433"/>
  <c r="Q158" i="433"/>
  <c r="P158" i="433"/>
  <c r="O158" i="433"/>
  <c r="N158" i="433"/>
  <c r="M158" i="433"/>
  <c r="L158" i="433"/>
  <c r="R158" i="433" s="1"/>
  <c r="J158" i="433"/>
  <c r="I158" i="433"/>
  <c r="H158" i="433"/>
  <c r="G158" i="433"/>
  <c r="F158" i="433"/>
  <c r="E158" i="433"/>
  <c r="D158" i="433"/>
  <c r="Z157" i="433"/>
  <c r="Y157" i="433"/>
  <c r="X157" i="433"/>
  <c r="W157" i="433"/>
  <c r="V157" i="433"/>
  <c r="U157" i="433"/>
  <c r="T157" i="433"/>
  <c r="S157" i="433"/>
  <c r="Q157" i="433"/>
  <c r="P157" i="433"/>
  <c r="O157" i="433"/>
  <c r="N157" i="433"/>
  <c r="M157" i="433"/>
  <c r="L157" i="433"/>
  <c r="J157" i="433"/>
  <c r="I157" i="433"/>
  <c r="H157" i="433"/>
  <c r="G157" i="433"/>
  <c r="F157" i="433"/>
  <c r="E157" i="433"/>
  <c r="D157" i="433"/>
  <c r="Z156" i="433"/>
  <c r="Y156" i="433"/>
  <c r="X156" i="433"/>
  <c r="W156" i="433"/>
  <c r="V156" i="433"/>
  <c r="U156" i="433"/>
  <c r="T156" i="433"/>
  <c r="S156" i="433"/>
  <c r="AA156" i="433" s="1"/>
  <c r="Q156" i="433"/>
  <c r="P156" i="433"/>
  <c r="O156" i="433"/>
  <c r="N156" i="433"/>
  <c r="R156" i="433" s="1"/>
  <c r="AB156" i="433" s="1"/>
  <c r="M156" i="433"/>
  <c r="L156" i="433"/>
  <c r="J156" i="433"/>
  <c r="I156" i="433"/>
  <c r="H156" i="433"/>
  <c r="G156" i="433"/>
  <c r="F156" i="433"/>
  <c r="E156" i="433"/>
  <c r="D156" i="433"/>
  <c r="Z155" i="433"/>
  <c r="Y155" i="433"/>
  <c r="X155" i="433"/>
  <c r="W155" i="433"/>
  <c r="V155" i="433"/>
  <c r="U155" i="433"/>
  <c r="T155" i="433"/>
  <c r="S155" i="433"/>
  <c r="Q155" i="433"/>
  <c r="P155" i="433"/>
  <c r="O155" i="433"/>
  <c r="N155" i="433"/>
  <c r="M155" i="433"/>
  <c r="L155" i="433"/>
  <c r="J155" i="433"/>
  <c r="I155" i="433"/>
  <c r="H155" i="433"/>
  <c r="G155" i="433"/>
  <c r="F155" i="433"/>
  <c r="E155" i="433"/>
  <c r="D155" i="433"/>
  <c r="AA154" i="433"/>
  <c r="R154" i="433"/>
  <c r="AB154" i="433" s="1"/>
  <c r="E154" i="433"/>
  <c r="K154" i="433" s="1"/>
  <c r="Z153" i="433"/>
  <c r="Y153" i="433"/>
  <c r="Y152" i="433" s="1"/>
  <c r="Y151" i="433" s="1"/>
  <c r="X153" i="433"/>
  <c r="X152" i="433" s="1"/>
  <c r="X151" i="433" s="1"/>
  <c r="W153" i="433"/>
  <c r="W152" i="433" s="1"/>
  <c r="W151" i="433" s="1"/>
  <c r="V153" i="433"/>
  <c r="U153" i="433"/>
  <c r="U152" i="433" s="1"/>
  <c r="U151" i="433" s="1"/>
  <c r="T153" i="433"/>
  <c r="T152" i="433" s="1"/>
  <c r="T151" i="433" s="1"/>
  <c r="S153" i="433"/>
  <c r="Q153" i="433"/>
  <c r="P153" i="433"/>
  <c r="P152" i="433" s="1"/>
  <c r="P151" i="433" s="1"/>
  <c r="O153" i="433"/>
  <c r="O152" i="433" s="1"/>
  <c r="O151" i="433" s="1"/>
  <c r="N153" i="433"/>
  <c r="M153" i="433"/>
  <c r="L153" i="433"/>
  <c r="R153" i="433" s="1"/>
  <c r="J153" i="433"/>
  <c r="J152" i="433" s="1"/>
  <c r="J151" i="433" s="1"/>
  <c r="I153" i="433"/>
  <c r="H153" i="433"/>
  <c r="G153" i="433"/>
  <c r="G152" i="433" s="1"/>
  <c r="G151" i="433" s="1"/>
  <c r="F153" i="433"/>
  <c r="F152" i="433" s="1"/>
  <c r="F151" i="433" s="1"/>
  <c r="E153" i="433"/>
  <c r="D153" i="433"/>
  <c r="Z152" i="433"/>
  <c r="Z151" i="433" s="1"/>
  <c r="V152" i="433"/>
  <c r="V151" i="433" s="1"/>
  <c r="Q152" i="433"/>
  <c r="Q151" i="433" s="1"/>
  <c r="N152" i="433"/>
  <c r="M152" i="433"/>
  <c r="M151" i="433" s="1"/>
  <c r="I152" i="433"/>
  <c r="I151" i="433" s="1"/>
  <c r="H152" i="433"/>
  <c r="E152" i="433"/>
  <c r="N151" i="433"/>
  <c r="H151" i="433"/>
  <c r="E151" i="433"/>
  <c r="AA150" i="433"/>
  <c r="R150" i="433"/>
  <c r="AB150" i="433" s="1"/>
  <c r="AC150" i="433" s="1"/>
  <c r="E150" i="433"/>
  <c r="K150" i="433" s="1"/>
  <c r="AA149" i="433"/>
  <c r="R149" i="433"/>
  <c r="AB149" i="433" s="1"/>
  <c r="AC149" i="433" s="1"/>
  <c r="E149" i="433"/>
  <c r="K149" i="433" s="1"/>
  <c r="AA148" i="433"/>
  <c r="R148" i="433"/>
  <c r="AB148" i="433" s="1"/>
  <c r="AC148" i="433" s="1"/>
  <c r="E148" i="433"/>
  <c r="K148" i="433" s="1"/>
  <c r="Z147" i="433"/>
  <c r="Y147" i="433"/>
  <c r="Y146" i="433" s="1"/>
  <c r="Y143" i="433" s="1"/>
  <c r="X147" i="433"/>
  <c r="X146" i="433" s="1"/>
  <c r="X143" i="433" s="1"/>
  <c r="W147" i="433"/>
  <c r="W146" i="433" s="1"/>
  <c r="W143" i="433" s="1"/>
  <c r="V147" i="433"/>
  <c r="U147" i="433"/>
  <c r="U146" i="433" s="1"/>
  <c r="U143" i="433" s="1"/>
  <c r="T147" i="433"/>
  <c r="T146" i="433" s="1"/>
  <c r="T143" i="433" s="1"/>
  <c r="S147" i="433"/>
  <c r="Q147" i="433"/>
  <c r="P147" i="433"/>
  <c r="P146" i="433" s="1"/>
  <c r="P143" i="433" s="1"/>
  <c r="O147" i="433"/>
  <c r="O146" i="433" s="1"/>
  <c r="O143" i="433" s="1"/>
  <c r="N147" i="433"/>
  <c r="N146" i="433" s="1"/>
  <c r="N143" i="433" s="1"/>
  <c r="M147" i="433"/>
  <c r="L147" i="433"/>
  <c r="R147" i="433" s="1"/>
  <c r="J147" i="433"/>
  <c r="J146" i="433" s="1"/>
  <c r="J143" i="433" s="1"/>
  <c r="I147" i="433"/>
  <c r="H147" i="433"/>
  <c r="G147" i="433"/>
  <c r="G146" i="433" s="1"/>
  <c r="G143" i="433" s="1"/>
  <c r="F147" i="433"/>
  <c r="F146" i="433" s="1"/>
  <c r="F143" i="433" s="1"/>
  <c r="E147" i="433"/>
  <c r="D147" i="433"/>
  <c r="Z146" i="433"/>
  <c r="Z143" i="433" s="1"/>
  <c r="V146" i="433"/>
  <c r="Q146" i="433"/>
  <c r="Q143" i="433" s="1"/>
  <c r="M146" i="433"/>
  <c r="M143" i="433" s="1"/>
  <c r="I146" i="433"/>
  <c r="I143" i="433" s="1"/>
  <c r="H146" i="433"/>
  <c r="E146" i="433"/>
  <c r="Z145" i="433"/>
  <c r="Y145" i="433"/>
  <c r="X145" i="433"/>
  <c r="W145" i="433"/>
  <c r="V145" i="433"/>
  <c r="U145" i="433"/>
  <c r="T145" i="433"/>
  <c r="S145" i="433"/>
  <c r="Q145" i="433"/>
  <c r="P145" i="433"/>
  <c r="O145" i="433"/>
  <c r="N145" i="433"/>
  <c r="R145" i="433" s="1"/>
  <c r="M145" i="433"/>
  <c r="L145" i="433"/>
  <c r="J145" i="433"/>
  <c r="I145" i="433"/>
  <c r="H145" i="433"/>
  <c r="G145" i="433"/>
  <c r="F145" i="433"/>
  <c r="E145" i="433"/>
  <c r="D145" i="433"/>
  <c r="AA144" i="433"/>
  <c r="R144" i="433"/>
  <c r="E144" i="433"/>
  <c r="K144" i="433" s="1"/>
  <c r="V143" i="433"/>
  <c r="H143" i="433"/>
  <c r="E143" i="433"/>
  <c r="E142" i="433"/>
  <c r="Z141" i="433"/>
  <c r="Y141" i="433"/>
  <c r="X141" i="433"/>
  <c r="W141" i="433"/>
  <c r="V141" i="433"/>
  <c r="U141" i="433"/>
  <c r="T141" i="433"/>
  <c r="S141" i="433"/>
  <c r="Q141" i="433"/>
  <c r="P141" i="433"/>
  <c r="O141" i="433"/>
  <c r="N141" i="433"/>
  <c r="R141" i="433" s="1"/>
  <c r="M141" i="433"/>
  <c r="L141" i="433"/>
  <c r="J141" i="433"/>
  <c r="I141" i="433"/>
  <c r="H141" i="433"/>
  <c r="G141" i="433"/>
  <c r="F141" i="433"/>
  <c r="E141" i="433"/>
  <c r="D141" i="433"/>
  <c r="K141" i="433" s="1"/>
  <c r="Z140" i="433"/>
  <c r="Y140" i="433"/>
  <c r="X140" i="433"/>
  <c r="W140" i="433"/>
  <c r="V140" i="433"/>
  <c r="U140" i="433"/>
  <c r="T140" i="433"/>
  <c r="S140" i="433"/>
  <c r="Q140" i="433"/>
  <c r="P140" i="433"/>
  <c r="O140" i="433"/>
  <c r="N140" i="433"/>
  <c r="M140" i="433"/>
  <c r="L140" i="433"/>
  <c r="J140" i="433"/>
  <c r="I140" i="433"/>
  <c r="H140" i="433"/>
  <c r="G140" i="433"/>
  <c r="F140" i="433"/>
  <c r="E140" i="433"/>
  <c r="D140" i="433"/>
  <c r="Z139" i="433"/>
  <c r="Y139" i="433"/>
  <c r="X139" i="433"/>
  <c r="W139" i="433"/>
  <c r="V139" i="433"/>
  <c r="U139" i="433"/>
  <c r="T139" i="433"/>
  <c r="S139" i="433"/>
  <c r="Q139" i="433"/>
  <c r="P139" i="433"/>
  <c r="O139" i="433"/>
  <c r="N139" i="433"/>
  <c r="M139" i="433"/>
  <c r="L139" i="433"/>
  <c r="J139" i="433"/>
  <c r="I139" i="433"/>
  <c r="H139" i="433"/>
  <c r="G139" i="433"/>
  <c r="F139" i="433"/>
  <c r="E139" i="433"/>
  <c r="D139" i="433"/>
  <c r="Z138" i="433"/>
  <c r="Y138" i="433"/>
  <c r="X138" i="433"/>
  <c r="W138" i="433"/>
  <c r="V138" i="433"/>
  <c r="U138" i="433"/>
  <c r="T138" i="433"/>
  <c r="S138" i="433"/>
  <c r="Q138" i="433"/>
  <c r="P138" i="433"/>
  <c r="O138" i="433"/>
  <c r="N138" i="433"/>
  <c r="M138" i="433"/>
  <c r="L138" i="433"/>
  <c r="J138" i="433"/>
  <c r="I138" i="433"/>
  <c r="H138" i="433"/>
  <c r="G138" i="433"/>
  <c r="F138" i="433"/>
  <c r="E138" i="433"/>
  <c r="D138" i="433"/>
  <c r="K138" i="433" s="1"/>
  <c r="AA137" i="433"/>
  <c r="R137" i="433"/>
  <c r="E137" i="433"/>
  <c r="K137" i="433" s="1"/>
  <c r="Z136" i="433"/>
  <c r="Y136" i="433"/>
  <c r="X136" i="433"/>
  <c r="W136" i="433"/>
  <c r="V136" i="433"/>
  <c r="U136" i="433"/>
  <c r="T136" i="433"/>
  <c r="S136" i="433"/>
  <c r="Q136" i="433"/>
  <c r="P136" i="433"/>
  <c r="O136" i="433"/>
  <c r="N136" i="433"/>
  <c r="M136" i="433"/>
  <c r="L136" i="433"/>
  <c r="J136" i="433"/>
  <c r="I136" i="433"/>
  <c r="H136" i="433"/>
  <c r="G136" i="433"/>
  <c r="F136" i="433"/>
  <c r="E136" i="433"/>
  <c r="D136" i="433"/>
  <c r="K136" i="433" s="1"/>
  <c r="Z135" i="433"/>
  <c r="Y135" i="433"/>
  <c r="X135" i="433"/>
  <c r="W135" i="433"/>
  <c r="V135" i="433"/>
  <c r="U135" i="433"/>
  <c r="T135" i="433"/>
  <c r="S135" i="433"/>
  <c r="Q135" i="433"/>
  <c r="P135" i="433"/>
  <c r="O135" i="433"/>
  <c r="N135" i="433"/>
  <c r="M135" i="433"/>
  <c r="L135" i="433"/>
  <c r="J135" i="433"/>
  <c r="I135" i="433"/>
  <c r="H135" i="433"/>
  <c r="G135" i="433"/>
  <c r="F135" i="433"/>
  <c r="E135" i="433"/>
  <c r="D135" i="433"/>
  <c r="K135" i="433" s="1"/>
  <c r="Z134" i="433"/>
  <c r="Y134" i="433"/>
  <c r="X134" i="433"/>
  <c r="W134" i="433"/>
  <c r="V134" i="433"/>
  <c r="U134" i="433"/>
  <c r="T134" i="433"/>
  <c r="S134" i="433"/>
  <c r="Q134" i="433"/>
  <c r="P134" i="433"/>
  <c r="O134" i="433"/>
  <c r="N134" i="433"/>
  <c r="M134" i="433"/>
  <c r="L134" i="433"/>
  <c r="J134" i="433"/>
  <c r="I134" i="433"/>
  <c r="H134" i="433"/>
  <c r="G134" i="433"/>
  <c r="F134" i="433"/>
  <c r="E134" i="433"/>
  <c r="D134" i="433"/>
  <c r="Z133" i="433"/>
  <c r="Y133" i="433"/>
  <c r="X133" i="433"/>
  <c r="W133" i="433"/>
  <c r="V133" i="433"/>
  <c r="U133" i="433"/>
  <c r="T133" i="433"/>
  <c r="S133" i="433"/>
  <c r="Q133" i="433"/>
  <c r="P133" i="433"/>
  <c r="O133" i="433"/>
  <c r="N133" i="433"/>
  <c r="M133" i="433"/>
  <c r="L133" i="433"/>
  <c r="R133" i="433" s="1"/>
  <c r="J133" i="433"/>
  <c r="I133" i="433"/>
  <c r="H133" i="433"/>
  <c r="G133" i="433"/>
  <c r="K133" i="433" s="1"/>
  <c r="F133" i="433"/>
  <c r="E133" i="433"/>
  <c r="D133" i="433"/>
  <c r="AA132" i="433"/>
  <c r="R132" i="433"/>
  <c r="K132" i="433"/>
  <c r="E132" i="433"/>
  <c r="Z131" i="433"/>
  <c r="Y131" i="433"/>
  <c r="X131" i="433"/>
  <c r="W131" i="433"/>
  <c r="V131" i="433"/>
  <c r="U131" i="433"/>
  <c r="T131" i="433"/>
  <c r="S131" i="433"/>
  <c r="Q131" i="433"/>
  <c r="P131" i="433"/>
  <c r="O131" i="433"/>
  <c r="N131" i="433"/>
  <c r="M131" i="433"/>
  <c r="L131" i="433"/>
  <c r="J131" i="433"/>
  <c r="I131" i="433"/>
  <c r="H131" i="433"/>
  <c r="G131" i="433"/>
  <c r="F131" i="433"/>
  <c r="E131" i="433"/>
  <c r="D131" i="433"/>
  <c r="Z130" i="433"/>
  <c r="Y130" i="433"/>
  <c r="X130" i="433"/>
  <c r="W130" i="433"/>
  <c r="V130" i="433"/>
  <c r="U130" i="433"/>
  <c r="T130" i="433"/>
  <c r="S130" i="433"/>
  <c r="Q130" i="433"/>
  <c r="P130" i="433"/>
  <c r="O130" i="433"/>
  <c r="N130" i="433"/>
  <c r="R130" i="433" s="1"/>
  <c r="M130" i="433"/>
  <c r="L130" i="433"/>
  <c r="J130" i="433"/>
  <c r="I130" i="433"/>
  <c r="H130" i="433"/>
  <c r="G130" i="433"/>
  <c r="F130" i="433"/>
  <c r="E130" i="433"/>
  <c r="D130" i="433"/>
  <c r="Z129" i="433"/>
  <c r="Y129" i="433"/>
  <c r="X129" i="433"/>
  <c r="W129" i="433"/>
  <c r="V129" i="433"/>
  <c r="U129" i="433"/>
  <c r="T129" i="433"/>
  <c r="S129" i="433"/>
  <c r="Q129" i="433"/>
  <c r="P129" i="433"/>
  <c r="O129" i="433"/>
  <c r="N129" i="433"/>
  <c r="M129" i="433"/>
  <c r="L129" i="433"/>
  <c r="J129" i="433"/>
  <c r="I129" i="433"/>
  <c r="H129" i="433"/>
  <c r="G129" i="433"/>
  <c r="F129" i="433"/>
  <c r="K129" i="433" s="1"/>
  <c r="E129" i="433"/>
  <c r="D129" i="433"/>
  <c r="Z128" i="433"/>
  <c r="Y128" i="433"/>
  <c r="X128" i="433"/>
  <c r="W128" i="433"/>
  <c r="V128" i="433"/>
  <c r="U128" i="433"/>
  <c r="T128" i="433"/>
  <c r="S128" i="433"/>
  <c r="Q128" i="433"/>
  <c r="P128" i="433"/>
  <c r="O128" i="433"/>
  <c r="N128" i="433"/>
  <c r="M128" i="433"/>
  <c r="L128" i="433"/>
  <c r="J128" i="433"/>
  <c r="I128" i="433"/>
  <c r="H128" i="433"/>
  <c r="G128" i="433"/>
  <c r="F128" i="433"/>
  <c r="E128" i="433"/>
  <c r="D128" i="433"/>
  <c r="Z127" i="433"/>
  <c r="Y127" i="433"/>
  <c r="X127" i="433"/>
  <c r="W127" i="433"/>
  <c r="V127" i="433"/>
  <c r="U127" i="433"/>
  <c r="T127" i="433"/>
  <c r="S127" i="433"/>
  <c r="Q127" i="433"/>
  <c r="P127" i="433"/>
  <c r="O127" i="433"/>
  <c r="N127" i="433"/>
  <c r="M127" i="433"/>
  <c r="L127" i="433"/>
  <c r="J127" i="433"/>
  <c r="I127" i="433"/>
  <c r="H127" i="433"/>
  <c r="G127" i="433"/>
  <c r="F127" i="433"/>
  <c r="E127" i="433"/>
  <c r="D127" i="433"/>
  <c r="K127" i="433" s="1"/>
  <c r="AA126" i="433"/>
  <c r="R126" i="433"/>
  <c r="K126" i="433"/>
  <c r="E126" i="433"/>
  <c r="Z125" i="433"/>
  <c r="Y125" i="433"/>
  <c r="X125" i="433"/>
  <c r="W125" i="433"/>
  <c r="V125" i="433"/>
  <c r="U125" i="433"/>
  <c r="T125" i="433"/>
  <c r="S125" i="433"/>
  <c r="AA125" i="433" s="1"/>
  <c r="Q125" i="433"/>
  <c r="P125" i="433"/>
  <c r="O125" i="433"/>
  <c r="N125" i="433"/>
  <c r="M125" i="433"/>
  <c r="L125" i="433"/>
  <c r="J125" i="433"/>
  <c r="I125" i="433"/>
  <c r="H125" i="433"/>
  <c r="G125" i="433"/>
  <c r="F125" i="433"/>
  <c r="E125" i="433"/>
  <c r="D125" i="433"/>
  <c r="Z124" i="433"/>
  <c r="Y124" i="433"/>
  <c r="X124" i="433"/>
  <c r="W124" i="433"/>
  <c r="V124" i="433"/>
  <c r="U124" i="433"/>
  <c r="T124" i="433"/>
  <c r="S124" i="433"/>
  <c r="Q124" i="433"/>
  <c r="P124" i="433"/>
  <c r="O124" i="433"/>
  <c r="N124" i="433"/>
  <c r="M124" i="433"/>
  <c r="L124" i="433"/>
  <c r="J124" i="433"/>
  <c r="I124" i="433"/>
  <c r="H124" i="433"/>
  <c r="G124" i="433"/>
  <c r="F124" i="433"/>
  <c r="E124" i="433"/>
  <c r="D124" i="433"/>
  <c r="AA123" i="433"/>
  <c r="R123" i="433"/>
  <c r="E123" i="433"/>
  <c r="K123" i="433" s="1"/>
  <c r="Z122" i="433"/>
  <c r="Y122" i="433"/>
  <c r="X122" i="433"/>
  <c r="W122" i="433"/>
  <c r="V122" i="433"/>
  <c r="U122" i="433"/>
  <c r="T122" i="433"/>
  <c r="S122" i="433"/>
  <c r="Q122" i="433"/>
  <c r="P122" i="433"/>
  <c r="O122" i="433"/>
  <c r="N122" i="433"/>
  <c r="M122" i="433"/>
  <c r="L122" i="433"/>
  <c r="J122" i="433"/>
  <c r="I122" i="433"/>
  <c r="H122" i="433"/>
  <c r="G122" i="433"/>
  <c r="F122" i="433"/>
  <c r="E122" i="433"/>
  <c r="D122" i="433"/>
  <c r="Z121" i="433"/>
  <c r="Y121" i="433"/>
  <c r="X121" i="433"/>
  <c r="W121" i="433"/>
  <c r="V121" i="433"/>
  <c r="U121" i="433"/>
  <c r="T121" i="433"/>
  <c r="S121" i="433"/>
  <c r="Q121" i="433"/>
  <c r="P121" i="433"/>
  <c r="O121" i="433"/>
  <c r="N121" i="433"/>
  <c r="M121" i="433"/>
  <c r="L121" i="433"/>
  <c r="R121" i="433" s="1"/>
  <c r="J121" i="433"/>
  <c r="I121" i="433"/>
  <c r="H121" i="433"/>
  <c r="G121" i="433"/>
  <c r="F121" i="433"/>
  <c r="E121" i="433"/>
  <c r="D121" i="433"/>
  <c r="Z120" i="433"/>
  <c r="Y120" i="433"/>
  <c r="X120" i="433"/>
  <c r="W120" i="433"/>
  <c r="V120" i="433"/>
  <c r="U120" i="433"/>
  <c r="T120" i="433"/>
  <c r="S120" i="433"/>
  <c r="Q120" i="433"/>
  <c r="P120" i="433"/>
  <c r="O120" i="433"/>
  <c r="N120" i="433"/>
  <c r="M120" i="433"/>
  <c r="R120" i="433" s="1"/>
  <c r="L120" i="433"/>
  <c r="J120" i="433"/>
  <c r="I120" i="433"/>
  <c r="H120" i="433"/>
  <c r="G120" i="433"/>
  <c r="F120" i="433"/>
  <c r="E120" i="433"/>
  <c r="D120" i="433"/>
  <c r="K120" i="433" s="1"/>
  <c r="Z119" i="433"/>
  <c r="Y119" i="433"/>
  <c r="X119" i="433"/>
  <c r="W119" i="433"/>
  <c r="V119" i="433"/>
  <c r="U119" i="433"/>
  <c r="T119" i="433"/>
  <c r="S119" i="433"/>
  <c r="Q119" i="433"/>
  <c r="P119" i="433"/>
  <c r="O119" i="433"/>
  <c r="N119" i="433"/>
  <c r="M119" i="433"/>
  <c r="L119" i="433"/>
  <c r="J119" i="433"/>
  <c r="I119" i="433"/>
  <c r="H119" i="433"/>
  <c r="G119" i="433"/>
  <c r="F119" i="433"/>
  <c r="E119" i="433"/>
  <c r="D119" i="433"/>
  <c r="K119" i="433" s="1"/>
  <c r="AA118" i="433"/>
  <c r="R118" i="433"/>
  <c r="AB118" i="433" s="1"/>
  <c r="AC118" i="433" s="1"/>
  <c r="E118" i="433"/>
  <c r="K118" i="433" s="1"/>
  <c r="Z117" i="433"/>
  <c r="X117" i="433"/>
  <c r="W117" i="433"/>
  <c r="V117" i="433"/>
  <c r="U117" i="433"/>
  <c r="T117" i="433"/>
  <c r="S117" i="433"/>
  <c r="Q117" i="433"/>
  <c r="P117" i="433"/>
  <c r="O117" i="433"/>
  <c r="N117" i="433"/>
  <c r="M117" i="433"/>
  <c r="L117" i="433"/>
  <c r="J117" i="433"/>
  <c r="I117" i="433"/>
  <c r="H117" i="433"/>
  <c r="G117" i="433"/>
  <c r="F117" i="433"/>
  <c r="E117" i="433"/>
  <c r="D117" i="433"/>
  <c r="Y116" i="433"/>
  <c r="R116" i="433"/>
  <c r="K116" i="433"/>
  <c r="E116" i="433"/>
  <c r="Z115" i="433"/>
  <c r="Y115" i="433"/>
  <c r="X115" i="433"/>
  <c r="W115" i="433"/>
  <c r="V115" i="433"/>
  <c r="U115" i="433"/>
  <c r="T115" i="433"/>
  <c r="S115" i="433"/>
  <c r="Q115" i="433"/>
  <c r="P115" i="433"/>
  <c r="O115" i="433"/>
  <c r="N115" i="433"/>
  <c r="M115" i="433"/>
  <c r="L115" i="433"/>
  <c r="J115" i="433"/>
  <c r="I115" i="433"/>
  <c r="H115" i="433"/>
  <c r="G115" i="433"/>
  <c r="F115" i="433"/>
  <c r="E115" i="433"/>
  <c r="D115" i="433"/>
  <c r="Z114" i="433"/>
  <c r="Y114" i="433"/>
  <c r="X114" i="433"/>
  <c r="W114" i="433"/>
  <c r="V114" i="433"/>
  <c r="U114" i="433"/>
  <c r="T114" i="433"/>
  <c r="S114" i="433"/>
  <c r="Q114" i="433"/>
  <c r="P114" i="433"/>
  <c r="O114" i="433"/>
  <c r="N114" i="433"/>
  <c r="M114" i="433"/>
  <c r="L114" i="433"/>
  <c r="J114" i="433"/>
  <c r="I114" i="433"/>
  <c r="H114" i="433"/>
  <c r="G114" i="433"/>
  <c r="F114" i="433"/>
  <c r="E114" i="433"/>
  <c r="D114" i="433"/>
  <c r="Z113" i="433"/>
  <c r="Y113" i="433"/>
  <c r="X113" i="433"/>
  <c r="W113" i="433"/>
  <c r="V113" i="433"/>
  <c r="U113" i="433"/>
  <c r="T113" i="433"/>
  <c r="S113" i="433"/>
  <c r="Q113" i="433"/>
  <c r="P113" i="433"/>
  <c r="O113" i="433"/>
  <c r="N113" i="433"/>
  <c r="M113" i="433"/>
  <c r="L113" i="433"/>
  <c r="J113" i="433"/>
  <c r="I113" i="433"/>
  <c r="H113" i="433"/>
  <c r="G113" i="433"/>
  <c r="F113" i="433"/>
  <c r="E113" i="433"/>
  <c r="D113" i="433"/>
  <c r="Z112" i="433"/>
  <c r="Y112" i="433"/>
  <c r="X112" i="433"/>
  <c r="W112" i="433"/>
  <c r="V112" i="433"/>
  <c r="U112" i="433"/>
  <c r="T112" i="433"/>
  <c r="S112" i="433"/>
  <c r="Q112" i="433"/>
  <c r="P112" i="433"/>
  <c r="O112" i="433"/>
  <c r="N112" i="433"/>
  <c r="R112" i="433" s="1"/>
  <c r="M112" i="433"/>
  <c r="L112" i="433"/>
  <c r="J112" i="433"/>
  <c r="I112" i="433"/>
  <c r="H112" i="433"/>
  <c r="G112" i="433"/>
  <c r="F112" i="433"/>
  <c r="E112" i="433"/>
  <c r="K112" i="433" s="1"/>
  <c r="D112" i="433"/>
  <c r="Z111" i="433"/>
  <c r="Y111" i="433"/>
  <c r="X111" i="433"/>
  <c r="W111" i="433"/>
  <c r="V111" i="433"/>
  <c r="U111" i="433"/>
  <c r="T111" i="433"/>
  <c r="S111" i="433"/>
  <c r="Q111" i="433"/>
  <c r="P111" i="433"/>
  <c r="O111" i="433"/>
  <c r="N111" i="433"/>
  <c r="M111" i="433"/>
  <c r="L111" i="433"/>
  <c r="J111" i="433"/>
  <c r="I111" i="433"/>
  <c r="H111" i="433"/>
  <c r="G111" i="433"/>
  <c r="F111" i="433"/>
  <c r="E111" i="433"/>
  <c r="D111" i="433"/>
  <c r="Z110" i="433"/>
  <c r="Y110" i="433"/>
  <c r="X110" i="433"/>
  <c r="W110" i="433"/>
  <c r="V110" i="433"/>
  <c r="U110" i="433"/>
  <c r="T110" i="433"/>
  <c r="S110" i="433"/>
  <c r="Q110" i="433"/>
  <c r="P110" i="433"/>
  <c r="O110" i="433"/>
  <c r="N110" i="433"/>
  <c r="M110" i="433"/>
  <c r="L110" i="433"/>
  <c r="J110" i="433"/>
  <c r="I110" i="433"/>
  <c r="H110" i="433"/>
  <c r="G110" i="433"/>
  <c r="F110" i="433"/>
  <c r="E110" i="433"/>
  <c r="D110" i="433"/>
  <c r="AB109" i="433"/>
  <c r="AC109" i="433" s="1"/>
  <c r="AA109" i="433"/>
  <c r="R109" i="433"/>
  <c r="E109" i="433"/>
  <c r="K109" i="433" s="1"/>
  <c r="Z108" i="433"/>
  <c r="Y108" i="433"/>
  <c r="X108" i="433"/>
  <c r="W108" i="433"/>
  <c r="V108" i="433"/>
  <c r="U108" i="433"/>
  <c r="T108" i="433"/>
  <c r="S108" i="433"/>
  <c r="Q108" i="433"/>
  <c r="P108" i="433"/>
  <c r="O108" i="433"/>
  <c r="N108" i="433"/>
  <c r="M108" i="433"/>
  <c r="R108" i="433" s="1"/>
  <c r="L108" i="433"/>
  <c r="J108" i="433"/>
  <c r="I108" i="433"/>
  <c r="H108" i="433"/>
  <c r="G108" i="433"/>
  <c r="F108" i="433"/>
  <c r="E108" i="433"/>
  <c r="D108" i="433"/>
  <c r="Z107" i="433"/>
  <c r="Y107" i="433"/>
  <c r="X107" i="433"/>
  <c r="W107" i="433"/>
  <c r="V107" i="433"/>
  <c r="U107" i="433"/>
  <c r="T107" i="433"/>
  <c r="S107" i="433"/>
  <c r="Q107" i="433"/>
  <c r="P107" i="433"/>
  <c r="O107" i="433"/>
  <c r="N107" i="433"/>
  <c r="M107" i="433"/>
  <c r="L107" i="433"/>
  <c r="J107" i="433"/>
  <c r="I107" i="433"/>
  <c r="H107" i="433"/>
  <c r="G107" i="433"/>
  <c r="F107" i="433"/>
  <c r="E107" i="433"/>
  <c r="D107" i="433"/>
  <c r="K107" i="433" s="1"/>
  <c r="Z106" i="433"/>
  <c r="Y106" i="433"/>
  <c r="X106" i="433"/>
  <c r="W106" i="433"/>
  <c r="V106" i="433"/>
  <c r="U106" i="433"/>
  <c r="T106" i="433"/>
  <c r="S106" i="433"/>
  <c r="Q106" i="433"/>
  <c r="P106" i="433"/>
  <c r="O106" i="433"/>
  <c r="N106" i="433"/>
  <c r="M106" i="433"/>
  <c r="L106" i="433"/>
  <c r="J106" i="433"/>
  <c r="I106" i="433"/>
  <c r="H106" i="433"/>
  <c r="G106" i="433"/>
  <c r="F106" i="433"/>
  <c r="E106" i="433"/>
  <c r="D106" i="433"/>
  <c r="Z105" i="433"/>
  <c r="Y105" i="433"/>
  <c r="X105" i="433"/>
  <c r="W105" i="433"/>
  <c r="V105" i="433"/>
  <c r="U105" i="433"/>
  <c r="T105" i="433"/>
  <c r="S105" i="433"/>
  <c r="Q105" i="433"/>
  <c r="P105" i="433"/>
  <c r="O105" i="433"/>
  <c r="N105" i="433"/>
  <c r="M105" i="433"/>
  <c r="L105" i="433"/>
  <c r="J105" i="433"/>
  <c r="I105" i="433"/>
  <c r="H105" i="433"/>
  <c r="G105" i="433"/>
  <c r="F105" i="433"/>
  <c r="E105" i="433"/>
  <c r="D105" i="433"/>
  <c r="Z104" i="433"/>
  <c r="Y104" i="433"/>
  <c r="X104" i="433"/>
  <c r="W104" i="433"/>
  <c r="V104" i="433"/>
  <c r="U104" i="433"/>
  <c r="T104" i="433"/>
  <c r="S104" i="433"/>
  <c r="Q104" i="433"/>
  <c r="P104" i="433"/>
  <c r="O104" i="433"/>
  <c r="N104" i="433"/>
  <c r="M104" i="433"/>
  <c r="R104" i="433" s="1"/>
  <c r="L104" i="433"/>
  <c r="J104" i="433"/>
  <c r="I104" i="433"/>
  <c r="H104" i="433"/>
  <c r="G104" i="433"/>
  <c r="F104" i="433"/>
  <c r="E104" i="433"/>
  <c r="D104" i="433"/>
  <c r="Z103" i="433"/>
  <c r="Y103" i="433"/>
  <c r="X103" i="433"/>
  <c r="W103" i="433"/>
  <c r="V103" i="433"/>
  <c r="U103" i="433"/>
  <c r="T103" i="433"/>
  <c r="S103" i="433"/>
  <c r="AA103" i="433" s="1"/>
  <c r="Q103" i="433"/>
  <c r="P103" i="433"/>
  <c r="O103" i="433"/>
  <c r="N103" i="433"/>
  <c r="M103" i="433"/>
  <c r="L103" i="433"/>
  <c r="J103" i="433"/>
  <c r="I103" i="433"/>
  <c r="H103" i="433"/>
  <c r="G103" i="433"/>
  <c r="F103" i="433"/>
  <c r="E103" i="433"/>
  <c r="D103" i="433"/>
  <c r="K103" i="433" s="1"/>
  <c r="AA102" i="433"/>
  <c r="R102" i="433"/>
  <c r="K102" i="433"/>
  <c r="E102" i="433"/>
  <c r="Z101" i="433"/>
  <c r="Y101" i="433"/>
  <c r="X101" i="433"/>
  <c r="W101" i="433"/>
  <c r="V101" i="433"/>
  <c r="U101" i="433"/>
  <c r="T101" i="433"/>
  <c r="S101" i="433"/>
  <c r="Q101" i="433"/>
  <c r="P101" i="433"/>
  <c r="O101" i="433"/>
  <c r="N101" i="433"/>
  <c r="M101" i="433"/>
  <c r="L101" i="433"/>
  <c r="J101" i="433"/>
  <c r="I101" i="433"/>
  <c r="H101" i="433"/>
  <c r="G101" i="433"/>
  <c r="F101" i="433"/>
  <c r="E101" i="433"/>
  <c r="D101" i="433"/>
  <c r="Z100" i="433"/>
  <c r="Y100" i="433"/>
  <c r="X100" i="433"/>
  <c r="W100" i="433"/>
  <c r="V100" i="433"/>
  <c r="U100" i="433"/>
  <c r="T100" i="433"/>
  <c r="S100" i="433"/>
  <c r="Q100" i="433"/>
  <c r="P100" i="433"/>
  <c r="O100" i="433"/>
  <c r="N100" i="433"/>
  <c r="M100" i="433"/>
  <c r="L100" i="433"/>
  <c r="J100" i="433"/>
  <c r="I100" i="433"/>
  <c r="H100" i="433"/>
  <c r="G100" i="433"/>
  <c r="F100" i="433"/>
  <c r="E100" i="433"/>
  <c r="D100" i="433"/>
  <c r="Z99" i="433"/>
  <c r="Y99" i="433"/>
  <c r="X99" i="433"/>
  <c r="W99" i="433"/>
  <c r="V99" i="433"/>
  <c r="U99" i="433"/>
  <c r="T99" i="433"/>
  <c r="S99" i="433"/>
  <c r="Q99" i="433"/>
  <c r="P99" i="433"/>
  <c r="O99" i="433"/>
  <c r="N99" i="433"/>
  <c r="M99" i="433"/>
  <c r="L99" i="433"/>
  <c r="J99" i="433"/>
  <c r="I99" i="433"/>
  <c r="H99" i="433"/>
  <c r="G99" i="433"/>
  <c r="F99" i="433"/>
  <c r="E99" i="433"/>
  <c r="D99" i="433"/>
  <c r="Z98" i="433"/>
  <c r="Y98" i="433"/>
  <c r="X98" i="433"/>
  <c r="W98" i="433"/>
  <c r="V98" i="433"/>
  <c r="U98" i="433"/>
  <c r="T98" i="433"/>
  <c r="S98" i="433"/>
  <c r="AA98" i="433" s="1"/>
  <c r="Q98" i="433"/>
  <c r="P98" i="433"/>
  <c r="O98" i="433"/>
  <c r="N98" i="433"/>
  <c r="M98" i="433"/>
  <c r="L98" i="433"/>
  <c r="J98" i="433"/>
  <c r="I98" i="433"/>
  <c r="H98" i="433"/>
  <c r="G98" i="433"/>
  <c r="F98" i="433"/>
  <c r="E98" i="433"/>
  <c r="K98" i="433" s="1"/>
  <c r="D98" i="433"/>
  <c r="Z97" i="433"/>
  <c r="Y97" i="433"/>
  <c r="X97" i="433"/>
  <c r="W97" i="433"/>
  <c r="V97" i="433"/>
  <c r="U97" i="433"/>
  <c r="T97" i="433"/>
  <c r="S97" i="433"/>
  <c r="Q97" i="433"/>
  <c r="P97" i="433"/>
  <c r="O97" i="433"/>
  <c r="N97" i="433"/>
  <c r="M97" i="433"/>
  <c r="L97" i="433"/>
  <c r="J97" i="433"/>
  <c r="I97" i="433"/>
  <c r="H97" i="433"/>
  <c r="G97" i="433"/>
  <c r="F97" i="433"/>
  <c r="E97" i="433"/>
  <c r="D97" i="433"/>
  <c r="Z96" i="433"/>
  <c r="Y96" i="433"/>
  <c r="X96" i="433"/>
  <c r="W96" i="433"/>
  <c r="V96" i="433"/>
  <c r="U96" i="433"/>
  <c r="T96" i="433"/>
  <c r="S96" i="433"/>
  <c r="Q96" i="433"/>
  <c r="P96" i="433"/>
  <c r="O96" i="433"/>
  <c r="N96" i="433"/>
  <c r="M96" i="433"/>
  <c r="L96" i="433"/>
  <c r="J96" i="433"/>
  <c r="I96" i="433"/>
  <c r="H96" i="433"/>
  <c r="G96" i="433"/>
  <c r="F96" i="433"/>
  <c r="E96" i="433"/>
  <c r="D96" i="433"/>
  <c r="AA95" i="433"/>
  <c r="R95" i="433"/>
  <c r="K95" i="433"/>
  <c r="E95" i="433"/>
  <c r="Z94" i="433"/>
  <c r="Z93" i="433" s="1"/>
  <c r="Y94" i="433"/>
  <c r="X94" i="433"/>
  <c r="W94" i="433"/>
  <c r="W93" i="433" s="1"/>
  <c r="V94" i="433"/>
  <c r="V93" i="433" s="1"/>
  <c r="U94" i="433"/>
  <c r="T94" i="433"/>
  <c r="S94" i="433"/>
  <c r="S93" i="433" s="1"/>
  <c r="Q94" i="433"/>
  <c r="Q93" i="433" s="1"/>
  <c r="P94" i="433"/>
  <c r="P93" i="433" s="1"/>
  <c r="O94" i="433"/>
  <c r="O93" i="433" s="1"/>
  <c r="N94" i="433"/>
  <c r="M94" i="433"/>
  <c r="L94" i="433"/>
  <c r="J94" i="433"/>
  <c r="J93" i="433" s="1"/>
  <c r="I94" i="433"/>
  <c r="I93" i="433" s="1"/>
  <c r="H94" i="433"/>
  <c r="H93" i="433" s="1"/>
  <c r="G94" i="433"/>
  <c r="G93" i="433" s="1"/>
  <c r="F94" i="433"/>
  <c r="E94" i="433"/>
  <c r="D94" i="433"/>
  <c r="D93" i="433" s="1"/>
  <c r="Y93" i="433"/>
  <c r="X93" i="433"/>
  <c r="U93" i="433"/>
  <c r="T93" i="433"/>
  <c r="N93" i="433"/>
  <c r="M93" i="433"/>
  <c r="L93" i="433"/>
  <c r="E93" i="433"/>
  <c r="Z92" i="433"/>
  <c r="Y92" i="433"/>
  <c r="X92" i="433"/>
  <c r="W92" i="433"/>
  <c r="V92" i="433"/>
  <c r="U92" i="433"/>
  <c r="T92" i="433"/>
  <c r="S92" i="433"/>
  <c r="Q92" i="433"/>
  <c r="P92" i="433"/>
  <c r="O92" i="433"/>
  <c r="N92" i="433"/>
  <c r="M92" i="433"/>
  <c r="L92" i="433"/>
  <c r="J92" i="433"/>
  <c r="I92" i="433"/>
  <c r="H92" i="433"/>
  <c r="G92" i="433"/>
  <c r="F92" i="433"/>
  <c r="E92" i="433"/>
  <c r="D92" i="433"/>
  <c r="Z91" i="433"/>
  <c r="Y91" i="433"/>
  <c r="X91" i="433"/>
  <c r="W91" i="433"/>
  <c r="V91" i="433"/>
  <c r="U91" i="433"/>
  <c r="T91" i="433"/>
  <c r="S91" i="433"/>
  <c r="Q91" i="433"/>
  <c r="P91" i="433"/>
  <c r="O91" i="433"/>
  <c r="N91" i="433"/>
  <c r="M91" i="433"/>
  <c r="L91" i="433"/>
  <c r="R91" i="433" s="1"/>
  <c r="J91" i="433"/>
  <c r="I91" i="433"/>
  <c r="H91" i="433"/>
  <c r="G91" i="433"/>
  <c r="F91" i="433"/>
  <c r="E91" i="433"/>
  <c r="D91" i="433"/>
  <c r="Z90" i="433"/>
  <c r="Y90" i="433"/>
  <c r="X90" i="433"/>
  <c r="W90" i="433"/>
  <c r="V90" i="433"/>
  <c r="U90" i="433"/>
  <c r="T90" i="433"/>
  <c r="S90" i="433"/>
  <c r="Q90" i="433"/>
  <c r="P90" i="433"/>
  <c r="O90" i="433"/>
  <c r="N90" i="433"/>
  <c r="M90" i="433"/>
  <c r="L90" i="433"/>
  <c r="J90" i="433"/>
  <c r="I90" i="433"/>
  <c r="H90" i="433"/>
  <c r="G90" i="433"/>
  <c r="F90" i="433"/>
  <c r="E90" i="433"/>
  <c r="D90" i="433"/>
  <c r="Z89" i="433"/>
  <c r="Y89" i="433"/>
  <c r="X89" i="433"/>
  <c r="W89" i="433"/>
  <c r="V89" i="433"/>
  <c r="U89" i="433"/>
  <c r="T89" i="433"/>
  <c r="S89" i="433"/>
  <c r="Q89" i="433"/>
  <c r="P89" i="433"/>
  <c r="O89" i="433"/>
  <c r="N89" i="433"/>
  <c r="R89" i="433" s="1"/>
  <c r="M89" i="433"/>
  <c r="L89" i="433"/>
  <c r="J89" i="433"/>
  <c r="I89" i="433"/>
  <c r="H89" i="433"/>
  <c r="G89" i="433"/>
  <c r="F89" i="433"/>
  <c r="E89" i="433"/>
  <c r="D89" i="433"/>
  <c r="Z88" i="433"/>
  <c r="Y88" i="433"/>
  <c r="X88" i="433"/>
  <c r="W88" i="433"/>
  <c r="V88" i="433"/>
  <c r="U88" i="433"/>
  <c r="T88" i="433"/>
  <c r="S88" i="433"/>
  <c r="Q88" i="433"/>
  <c r="P88" i="433"/>
  <c r="O88" i="433"/>
  <c r="N88" i="433"/>
  <c r="M88" i="433"/>
  <c r="L88" i="433"/>
  <c r="J88" i="433"/>
  <c r="I88" i="433"/>
  <c r="H88" i="433"/>
  <c r="G88" i="433"/>
  <c r="F88" i="433"/>
  <c r="E88" i="433"/>
  <c r="D88" i="433"/>
  <c r="AA87" i="433"/>
  <c r="R87" i="433"/>
  <c r="AB87" i="433" s="1"/>
  <c r="K87" i="433"/>
  <c r="E87" i="433"/>
  <c r="Z86" i="433"/>
  <c r="Y86" i="433"/>
  <c r="X86" i="433"/>
  <c r="W86" i="433"/>
  <c r="V86" i="433"/>
  <c r="U86" i="433"/>
  <c r="T86" i="433"/>
  <c r="S86" i="433"/>
  <c r="Q86" i="433"/>
  <c r="P86" i="433"/>
  <c r="O86" i="433"/>
  <c r="N86" i="433"/>
  <c r="R86" i="433" s="1"/>
  <c r="M86" i="433"/>
  <c r="L86" i="433"/>
  <c r="J86" i="433"/>
  <c r="I86" i="433"/>
  <c r="H86" i="433"/>
  <c r="F86" i="433"/>
  <c r="E86" i="433"/>
  <c r="Z85" i="433"/>
  <c r="Y85" i="433"/>
  <c r="X85" i="433"/>
  <c r="W85" i="433"/>
  <c r="V85" i="433"/>
  <c r="U85" i="433"/>
  <c r="T85" i="433"/>
  <c r="S85" i="433"/>
  <c r="Q85" i="433"/>
  <c r="P85" i="433"/>
  <c r="O85" i="433"/>
  <c r="N85" i="433"/>
  <c r="M85" i="433"/>
  <c r="L85" i="433"/>
  <c r="R85" i="433" s="1"/>
  <c r="J85" i="433"/>
  <c r="I85" i="433"/>
  <c r="H85" i="433"/>
  <c r="F85" i="433"/>
  <c r="K85" i="433" s="1"/>
  <c r="E85" i="433"/>
  <c r="Z84" i="433"/>
  <c r="Y84" i="433"/>
  <c r="X84" i="433"/>
  <c r="W84" i="433"/>
  <c r="V84" i="433"/>
  <c r="U84" i="433"/>
  <c r="T84" i="433"/>
  <c r="S84" i="433"/>
  <c r="Q84" i="433"/>
  <c r="P84" i="433"/>
  <c r="O84" i="433"/>
  <c r="O80" i="433" s="1"/>
  <c r="O79" i="433" s="1"/>
  <c r="N84" i="433"/>
  <c r="R84" i="433" s="1"/>
  <c r="M84" i="433"/>
  <c r="L84" i="433"/>
  <c r="J84" i="433"/>
  <c r="I84" i="433"/>
  <c r="H84" i="433"/>
  <c r="F84" i="433"/>
  <c r="K84" i="433" s="1"/>
  <c r="E84" i="433"/>
  <c r="Z83" i="433"/>
  <c r="Y83" i="433"/>
  <c r="X83" i="433"/>
  <c r="W83" i="433"/>
  <c r="V83" i="433"/>
  <c r="U83" i="433"/>
  <c r="T83" i="433"/>
  <c r="S83" i="433"/>
  <c r="AA83" i="433" s="1"/>
  <c r="Q83" i="433"/>
  <c r="P83" i="433"/>
  <c r="O83" i="433"/>
  <c r="N83" i="433"/>
  <c r="R83" i="433" s="1"/>
  <c r="AB83" i="433" s="1"/>
  <c r="M83" i="433"/>
  <c r="L83" i="433"/>
  <c r="J83" i="433"/>
  <c r="I83" i="433"/>
  <c r="H83" i="433"/>
  <c r="F83" i="433"/>
  <c r="E83" i="433"/>
  <c r="AB82" i="433"/>
  <c r="AC82" i="433" s="1"/>
  <c r="AA82" i="433"/>
  <c r="R82" i="433"/>
  <c r="E82" i="433"/>
  <c r="K82" i="433" s="1"/>
  <c r="Z81" i="433"/>
  <c r="Y81" i="433"/>
  <c r="X81" i="433"/>
  <c r="W81" i="433"/>
  <c r="V81" i="433"/>
  <c r="U81" i="433"/>
  <c r="T81" i="433"/>
  <c r="S81" i="433"/>
  <c r="Q81" i="433"/>
  <c r="P81" i="433"/>
  <c r="O81" i="433"/>
  <c r="N81" i="433"/>
  <c r="R81" i="433" s="1"/>
  <c r="M81" i="433"/>
  <c r="M80" i="433" s="1"/>
  <c r="M79" i="433" s="1"/>
  <c r="L81" i="433"/>
  <c r="J81" i="433"/>
  <c r="I81" i="433"/>
  <c r="H81" i="433"/>
  <c r="F81" i="433"/>
  <c r="E81" i="433"/>
  <c r="Q80" i="433"/>
  <c r="Q79" i="433" s="1"/>
  <c r="G80" i="433"/>
  <c r="G79" i="433" s="1"/>
  <c r="E80" i="433"/>
  <c r="D80" i="433"/>
  <c r="Z79" i="433"/>
  <c r="Y79" i="433"/>
  <c r="X79" i="433"/>
  <c r="W79" i="433"/>
  <c r="V79" i="433"/>
  <c r="U79" i="433"/>
  <c r="T79" i="433"/>
  <c r="J79" i="433"/>
  <c r="I79" i="433"/>
  <c r="H79" i="433"/>
  <c r="F79" i="433"/>
  <c r="E79" i="433"/>
  <c r="D79" i="433"/>
  <c r="K79" i="433" s="1"/>
  <c r="Z78" i="433"/>
  <c r="Y78" i="433"/>
  <c r="X78" i="433"/>
  <c r="W78" i="433"/>
  <c r="V78" i="433"/>
  <c r="U78" i="433"/>
  <c r="T78" i="433"/>
  <c r="S78" i="433"/>
  <c r="AA78" i="433" s="1"/>
  <c r="Q78" i="433"/>
  <c r="P78" i="433"/>
  <c r="O78" i="433"/>
  <c r="N78" i="433"/>
  <c r="R78" i="433" s="1"/>
  <c r="M78" i="433"/>
  <c r="L78" i="433"/>
  <c r="J78" i="433"/>
  <c r="I78" i="433"/>
  <c r="H78" i="433"/>
  <c r="G78" i="433"/>
  <c r="F78" i="433"/>
  <c r="E78" i="433"/>
  <c r="K78" i="433" s="1"/>
  <c r="D78" i="433"/>
  <c r="Z77" i="433"/>
  <c r="Y77" i="433"/>
  <c r="X77" i="433"/>
  <c r="W77" i="433"/>
  <c r="V77" i="433"/>
  <c r="U77" i="433"/>
  <c r="T77" i="433"/>
  <c r="S77" i="433"/>
  <c r="Q77" i="433"/>
  <c r="P77" i="433"/>
  <c r="O77" i="433"/>
  <c r="N77" i="433"/>
  <c r="M77" i="433"/>
  <c r="L77" i="433"/>
  <c r="J77" i="433"/>
  <c r="I77" i="433"/>
  <c r="H77" i="433"/>
  <c r="G77" i="433"/>
  <c r="F77" i="433"/>
  <c r="E77" i="433"/>
  <c r="D77" i="433"/>
  <c r="Z76" i="433"/>
  <c r="Y76" i="433"/>
  <c r="X76" i="433"/>
  <c r="W76" i="433"/>
  <c r="V76" i="433"/>
  <c r="U76" i="433"/>
  <c r="T76" i="433"/>
  <c r="S76" i="433"/>
  <c r="Q76" i="433"/>
  <c r="P76" i="433"/>
  <c r="O76" i="433"/>
  <c r="N76" i="433"/>
  <c r="M76" i="433"/>
  <c r="L76" i="433"/>
  <c r="J76" i="433"/>
  <c r="I76" i="433"/>
  <c r="H76" i="433"/>
  <c r="G76" i="433"/>
  <c r="K76" i="433" s="1"/>
  <c r="F76" i="433"/>
  <c r="E76" i="433"/>
  <c r="D76" i="433"/>
  <c r="Z75" i="433"/>
  <c r="Y75" i="433"/>
  <c r="X75" i="433"/>
  <c r="W75" i="433"/>
  <c r="V75" i="433"/>
  <c r="U75" i="433"/>
  <c r="T75" i="433"/>
  <c r="S75" i="433"/>
  <c r="Q75" i="433"/>
  <c r="P75" i="433"/>
  <c r="O75" i="433"/>
  <c r="N75" i="433"/>
  <c r="M75" i="433"/>
  <c r="L75" i="433"/>
  <c r="J75" i="433"/>
  <c r="I75" i="433"/>
  <c r="H75" i="433"/>
  <c r="G75" i="433"/>
  <c r="F75" i="433"/>
  <c r="E75" i="433"/>
  <c r="D75" i="433"/>
  <c r="K75" i="433" s="1"/>
  <c r="Z74" i="433"/>
  <c r="Y74" i="433"/>
  <c r="X74" i="433"/>
  <c r="W74" i="433"/>
  <c r="V74" i="433"/>
  <c r="U74" i="433"/>
  <c r="T74" i="433"/>
  <c r="S74" i="433"/>
  <c r="AA74" i="433" s="1"/>
  <c r="Q74" i="433"/>
  <c r="P74" i="433"/>
  <c r="O74" i="433"/>
  <c r="N74" i="433"/>
  <c r="R74" i="433" s="1"/>
  <c r="AB74" i="433" s="1"/>
  <c r="M74" i="433"/>
  <c r="L74" i="433"/>
  <c r="J74" i="433"/>
  <c r="I74" i="433"/>
  <c r="H74" i="433"/>
  <c r="G74" i="433"/>
  <c r="F74" i="433"/>
  <c r="E74" i="433"/>
  <c r="D74" i="433"/>
  <c r="K74" i="433" s="1"/>
  <c r="AA73" i="433"/>
  <c r="R73" i="433"/>
  <c r="AB73" i="433" s="1"/>
  <c r="E73" i="433"/>
  <c r="K73" i="433" s="1"/>
  <c r="Z72" i="433"/>
  <c r="Y72" i="433"/>
  <c r="X72" i="433"/>
  <c r="W72" i="433"/>
  <c r="V72" i="433"/>
  <c r="U72" i="433"/>
  <c r="T72" i="433"/>
  <c r="S72" i="433"/>
  <c r="Q72" i="433"/>
  <c r="P72" i="433"/>
  <c r="O72" i="433"/>
  <c r="N72" i="433"/>
  <c r="M72" i="433"/>
  <c r="L72" i="433"/>
  <c r="J72" i="433"/>
  <c r="I72" i="433"/>
  <c r="H72" i="433"/>
  <c r="G72" i="433"/>
  <c r="F72" i="433"/>
  <c r="E72" i="433"/>
  <c r="D72" i="433"/>
  <c r="Z71" i="433"/>
  <c r="Y71" i="433"/>
  <c r="X71" i="433"/>
  <c r="W71" i="433"/>
  <c r="V71" i="433"/>
  <c r="U71" i="433"/>
  <c r="T71" i="433"/>
  <c r="S71" i="433"/>
  <c r="Q71" i="433"/>
  <c r="P71" i="433"/>
  <c r="O71" i="433"/>
  <c r="N71" i="433"/>
  <c r="M71" i="433"/>
  <c r="L71" i="433"/>
  <c r="R71" i="433" s="1"/>
  <c r="J71" i="433"/>
  <c r="I71" i="433"/>
  <c r="H71" i="433"/>
  <c r="G71" i="433"/>
  <c r="F71" i="433"/>
  <c r="E71" i="433"/>
  <c r="D71" i="433"/>
  <c r="Z70" i="433"/>
  <c r="Y70" i="433"/>
  <c r="X70" i="433"/>
  <c r="W70" i="433"/>
  <c r="V70" i="433"/>
  <c r="U70" i="433"/>
  <c r="T70" i="433"/>
  <c r="S70" i="433"/>
  <c r="Q70" i="433"/>
  <c r="P70" i="433"/>
  <c r="O70" i="433"/>
  <c r="N70" i="433"/>
  <c r="M70" i="433"/>
  <c r="L70" i="433"/>
  <c r="J70" i="433"/>
  <c r="I70" i="433"/>
  <c r="H70" i="433"/>
  <c r="G70" i="433"/>
  <c r="F70" i="433"/>
  <c r="E70" i="433"/>
  <c r="D70" i="433"/>
  <c r="Z69" i="433"/>
  <c r="Y69" i="433"/>
  <c r="X69" i="433"/>
  <c r="W69" i="433"/>
  <c r="V69" i="433"/>
  <c r="U69" i="433"/>
  <c r="T69" i="433"/>
  <c r="S69" i="433"/>
  <c r="AA69" i="433" s="1"/>
  <c r="Q69" i="433"/>
  <c r="P69" i="433"/>
  <c r="O69" i="433"/>
  <c r="N69" i="433"/>
  <c r="M69" i="433"/>
  <c r="L69" i="433"/>
  <c r="J69" i="433"/>
  <c r="I69" i="433"/>
  <c r="H69" i="433"/>
  <c r="G69" i="433"/>
  <c r="F69" i="433"/>
  <c r="E69" i="433"/>
  <c r="D69" i="433"/>
  <c r="K69" i="433" s="1"/>
  <c r="Z68" i="433"/>
  <c r="Y68" i="433"/>
  <c r="X68" i="433"/>
  <c r="W68" i="433"/>
  <c r="V68" i="433"/>
  <c r="U68" i="433"/>
  <c r="T68" i="433"/>
  <c r="S68" i="433"/>
  <c r="Q68" i="433"/>
  <c r="P68" i="433"/>
  <c r="O68" i="433"/>
  <c r="N68" i="433"/>
  <c r="M68" i="433"/>
  <c r="L68" i="433"/>
  <c r="J68" i="433"/>
  <c r="I68" i="433"/>
  <c r="H68" i="433"/>
  <c r="G68" i="433"/>
  <c r="F68" i="433"/>
  <c r="E68" i="433"/>
  <c r="D68" i="433"/>
  <c r="AA67" i="433"/>
  <c r="R67" i="433"/>
  <c r="E67" i="433"/>
  <c r="K67" i="433" s="1"/>
  <c r="Z66" i="433"/>
  <c r="Y66" i="433"/>
  <c r="X66" i="433"/>
  <c r="W66" i="433"/>
  <c r="V66" i="433"/>
  <c r="U66" i="433"/>
  <c r="T66" i="433"/>
  <c r="S66" i="433"/>
  <c r="Q66" i="433"/>
  <c r="P66" i="433"/>
  <c r="O66" i="433"/>
  <c r="N66" i="433"/>
  <c r="M66" i="433"/>
  <c r="L66" i="433"/>
  <c r="J66" i="433"/>
  <c r="J52" i="433" s="1"/>
  <c r="J30" i="433" s="1"/>
  <c r="I66" i="433"/>
  <c r="H66" i="433"/>
  <c r="G66" i="433"/>
  <c r="F66" i="433"/>
  <c r="F52" i="433" s="1"/>
  <c r="E66" i="433"/>
  <c r="D66" i="433"/>
  <c r="Z65" i="433"/>
  <c r="Y65" i="433"/>
  <c r="X65" i="433"/>
  <c r="W65" i="433"/>
  <c r="V65" i="433"/>
  <c r="U65" i="433"/>
  <c r="T65" i="433"/>
  <c r="S65" i="433"/>
  <c r="Q65" i="433"/>
  <c r="P65" i="433"/>
  <c r="O65" i="433"/>
  <c r="N65" i="433"/>
  <c r="M65" i="433"/>
  <c r="L65" i="433"/>
  <c r="R65" i="433" s="1"/>
  <c r="J65" i="433"/>
  <c r="I65" i="433"/>
  <c r="H65" i="433"/>
  <c r="G65" i="433"/>
  <c r="K65" i="433" s="1"/>
  <c r="F65" i="433"/>
  <c r="E65" i="433"/>
  <c r="D65" i="433"/>
  <c r="Z64" i="433"/>
  <c r="Y64" i="433"/>
  <c r="X64" i="433"/>
  <c r="W64" i="433"/>
  <c r="V64" i="433"/>
  <c r="U64" i="433"/>
  <c r="T64" i="433"/>
  <c r="S64" i="433"/>
  <c r="Q64" i="433"/>
  <c r="P64" i="433"/>
  <c r="O64" i="433"/>
  <c r="N64" i="433"/>
  <c r="M64" i="433"/>
  <c r="R64" i="433" s="1"/>
  <c r="L64" i="433"/>
  <c r="J64" i="433"/>
  <c r="I64" i="433"/>
  <c r="H64" i="433"/>
  <c r="G64" i="433"/>
  <c r="F64" i="433"/>
  <c r="E64" i="433"/>
  <c r="D64" i="433"/>
  <c r="K64" i="433" s="1"/>
  <c r="Z63" i="433"/>
  <c r="Y63" i="433"/>
  <c r="X63" i="433"/>
  <c r="W63" i="433"/>
  <c r="V63" i="433"/>
  <c r="U63" i="433"/>
  <c r="T63" i="433"/>
  <c r="S63" i="433"/>
  <c r="AA63" i="433" s="1"/>
  <c r="Q63" i="433"/>
  <c r="P63" i="433"/>
  <c r="O63" i="433"/>
  <c r="N63" i="433"/>
  <c r="M63" i="433"/>
  <c r="L63" i="433"/>
  <c r="J63" i="433"/>
  <c r="I63" i="433"/>
  <c r="H63" i="433"/>
  <c r="G63" i="433"/>
  <c r="F63" i="433"/>
  <c r="E63" i="433"/>
  <c r="D63" i="433"/>
  <c r="Z62" i="433"/>
  <c r="Y62" i="433"/>
  <c r="X62" i="433"/>
  <c r="W62" i="433"/>
  <c r="V62" i="433"/>
  <c r="U62" i="433"/>
  <c r="T62" i="433"/>
  <c r="S62" i="433"/>
  <c r="Q62" i="433"/>
  <c r="P62" i="433"/>
  <c r="O62" i="433"/>
  <c r="N62" i="433"/>
  <c r="M62" i="433"/>
  <c r="L62" i="433"/>
  <c r="J62" i="433"/>
  <c r="I62" i="433"/>
  <c r="H62" i="433"/>
  <c r="G62" i="433"/>
  <c r="F62" i="433"/>
  <c r="E62" i="433"/>
  <c r="D62" i="433"/>
  <c r="Z61" i="433"/>
  <c r="Y61" i="433"/>
  <c r="X61" i="433"/>
  <c r="W61" i="433"/>
  <c r="V61" i="433"/>
  <c r="U61" i="433"/>
  <c r="T61" i="433"/>
  <c r="S61" i="433"/>
  <c r="Q61" i="433"/>
  <c r="P61" i="433"/>
  <c r="O61" i="433"/>
  <c r="N61" i="433"/>
  <c r="M61" i="433"/>
  <c r="L61" i="433"/>
  <c r="R61" i="433" s="1"/>
  <c r="J61" i="433"/>
  <c r="I61" i="433"/>
  <c r="H61" i="433"/>
  <c r="G61" i="433"/>
  <c r="K61" i="433" s="1"/>
  <c r="F61" i="433"/>
  <c r="E61" i="433"/>
  <c r="D61" i="433"/>
  <c r="AA60" i="433"/>
  <c r="R60" i="433"/>
  <c r="K60" i="433"/>
  <c r="E60" i="433"/>
  <c r="Z59" i="433"/>
  <c r="Y59" i="433"/>
  <c r="X59" i="433"/>
  <c r="W59" i="433"/>
  <c r="V59" i="433"/>
  <c r="U59" i="433"/>
  <c r="T59" i="433"/>
  <c r="S59" i="433"/>
  <c r="Q59" i="433"/>
  <c r="P59" i="433"/>
  <c r="O59" i="433"/>
  <c r="N59" i="433"/>
  <c r="M59" i="433"/>
  <c r="L59" i="433"/>
  <c r="J59" i="433"/>
  <c r="I59" i="433"/>
  <c r="H59" i="433"/>
  <c r="G59" i="433"/>
  <c r="F59" i="433"/>
  <c r="E59" i="433"/>
  <c r="D59" i="433"/>
  <c r="Z58" i="433"/>
  <c r="Y58" i="433"/>
  <c r="X58" i="433"/>
  <c r="W58" i="433"/>
  <c r="V58" i="433"/>
  <c r="U58" i="433"/>
  <c r="T58" i="433"/>
  <c r="S58" i="433"/>
  <c r="AA58" i="433" s="1"/>
  <c r="Q58" i="433"/>
  <c r="P58" i="433"/>
  <c r="O58" i="433"/>
  <c r="N58" i="433"/>
  <c r="M58" i="433"/>
  <c r="L58" i="433"/>
  <c r="J58" i="433"/>
  <c r="I58" i="433"/>
  <c r="H58" i="433"/>
  <c r="G58" i="433"/>
  <c r="F58" i="433"/>
  <c r="E58" i="433"/>
  <c r="D58" i="433"/>
  <c r="K58" i="433" s="1"/>
  <c r="Z57" i="433"/>
  <c r="Y57" i="433"/>
  <c r="X57" i="433"/>
  <c r="W57" i="433"/>
  <c r="V57" i="433"/>
  <c r="U57" i="433"/>
  <c r="T57" i="433"/>
  <c r="S57" i="433"/>
  <c r="Q57" i="433"/>
  <c r="P57" i="433"/>
  <c r="O57" i="433"/>
  <c r="N57" i="433"/>
  <c r="M57" i="433"/>
  <c r="L57" i="433"/>
  <c r="J57" i="433"/>
  <c r="I57" i="433"/>
  <c r="H57" i="433"/>
  <c r="G57" i="433"/>
  <c r="F57" i="433"/>
  <c r="E57" i="433"/>
  <c r="D57" i="433"/>
  <c r="Z56" i="433"/>
  <c r="Y56" i="433"/>
  <c r="X56" i="433"/>
  <c r="W56" i="433"/>
  <c r="V56" i="433"/>
  <c r="U56" i="433"/>
  <c r="T56" i="433"/>
  <c r="S56" i="433"/>
  <c r="Q56" i="433"/>
  <c r="P56" i="433"/>
  <c r="O56" i="433"/>
  <c r="N56" i="433"/>
  <c r="M56" i="433"/>
  <c r="L56" i="433"/>
  <c r="J56" i="433"/>
  <c r="I56" i="433"/>
  <c r="H56" i="433"/>
  <c r="G56" i="433"/>
  <c r="F56" i="433"/>
  <c r="E56" i="433"/>
  <c r="D56" i="433"/>
  <c r="Z55" i="433"/>
  <c r="Y55" i="433"/>
  <c r="X55" i="433"/>
  <c r="W55" i="433"/>
  <c r="V55" i="433"/>
  <c r="U55" i="433"/>
  <c r="T55" i="433"/>
  <c r="S55" i="433"/>
  <c r="Q55" i="433"/>
  <c r="P55" i="433"/>
  <c r="O55" i="433"/>
  <c r="N55" i="433"/>
  <c r="M55" i="433"/>
  <c r="L55" i="433"/>
  <c r="J55" i="433"/>
  <c r="I55" i="433"/>
  <c r="H55" i="433"/>
  <c r="G55" i="433"/>
  <c r="F55" i="433"/>
  <c r="E55" i="433"/>
  <c r="D55" i="433"/>
  <c r="AA54" i="433"/>
  <c r="R54" i="433"/>
  <c r="K54" i="433"/>
  <c r="E54" i="433"/>
  <c r="Z53" i="433"/>
  <c r="Z52" i="433" s="1"/>
  <c r="Y53" i="433"/>
  <c r="X53" i="433"/>
  <c r="W53" i="433"/>
  <c r="W52" i="433" s="1"/>
  <c r="V53" i="433"/>
  <c r="U53" i="433"/>
  <c r="T53" i="433"/>
  <c r="S53" i="433"/>
  <c r="AA53" i="433" s="1"/>
  <c r="Q53" i="433"/>
  <c r="Q52" i="433" s="1"/>
  <c r="P53" i="433"/>
  <c r="O53" i="433"/>
  <c r="N53" i="433"/>
  <c r="N52" i="433" s="1"/>
  <c r="M53" i="433"/>
  <c r="L53" i="433"/>
  <c r="J53" i="433"/>
  <c r="I53" i="433"/>
  <c r="I52" i="433" s="1"/>
  <c r="I30" i="433" s="1"/>
  <c r="H53" i="433"/>
  <c r="H52" i="433" s="1"/>
  <c r="G53" i="433"/>
  <c r="F53" i="433"/>
  <c r="E53" i="433"/>
  <c r="D53" i="433"/>
  <c r="D52" i="433" s="1"/>
  <c r="Y52" i="433"/>
  <c r="V52" i="433"/>
  <c r="U52" i="433"/>
  <c r="M52" i="433"/>
  <c r="E52" i="433"/>
  <c r="Z51" i="433"/>
  <c r="Y51" i="433"/>
  <c r="X51" i="433"/>
  <c r="W51" i="433"/>
  <c r="V51" i="433"/>
  <c r="U51" i="433"/>
  <c r="T51" i="433"/>
  <c r="S51" i="433"/>
  <c r="AA51" i="433" s="1"/>
  <c r="Q51" i="433"/>
  <c r="P51" i="433"/>
  <c r="O51" i="433"/>
  <c r="N51" i="433"/>
  <c r="M51" i="433"/>
  <c r="L51" i="433"/>
  <c r="J51" i="433"/>
  <c r="I51" i="433"/>
  <c r="H51" i="433"/>
  <c r="G51" i="433"/>
  <c r="F51" i="433"/>
  <c r="E51" i="433"/>
  <c r="D51" i="433"/>
  <c r="Z50" i="433"/>
  <c r="Y50" i="433"/>
  <c r="X50" i="433"/>
  <c r="W50" i="433"/>
  <c r="V50" i="433"/>
  <c r="U50" i="433"/>
  <c r="T50" i="433"/>
  <c r="S50" i="433"/>
  <c r="Q50" i="433"/>
  <c r="P50" i="433"/>
  <c r="O50" i="433"/>
  <c r="N50" i="433"/>
  <c r="M50" i="433"/>
  <c r="L50" i="433"/>
  <c r="J50" i="433"/>
  <c r="I50" i="433"/>
  <c r="H50" i="433"/>
  <c r="G50" i="433"/>
  <c r="F50" i="433"/>
  <c r="E50" i="433"/>
  <c r="D50" i="433"/>
  <c r="Z49" i="433"/>
  <c r="Y49" i="433"/>
  <c r="X49" i="433"/>
  <c r="W49" i="433"/>
  <c r="V49" i="433"/>
  <c r="U49" i="433"/>
  <c r="T49" i="433"/>
  <c r="S49" i="433"/>
  <c r="Q49" i="433"/>
  <c r="P49" i="433"/>
  <c r="O49" i="433"/>
  <c r="N49" i="433"/>
  <c r="M49" i="433"/>
  <c r="L49" i="433"/>
  <c r="R49" i="433" s="1"/>
  <c r="J49" i="433"/>
  <c r="I49" i="433"/>
  <c r="H49" i="433"/>
  <c r="G49" i="433"/>
  <c r="K49" i="433" s="1"/>
  <c r="F49" i="433"/>
  <c r="E49" i="433"/>
  <c r="D49" i="433"/>
  <c r="Z48" i="433"/>
  <c r="Y48" i="433"/>
  <c r="X48" i="433"/>
  <c r="W48" i="433"/>
  <c r="V48" i="433"/>
  <c r="U48" i="433"/>
  <c r="T48" i="433"/>
  <c r="S48" i="433"/>
  <c r="Q48" i="433"/>
  <c r="P48" i="433"/>
  <c r="O48" i="433"/>
  <c r="N48" i="433"/>
  <c r="M48" i="433"/>
  <c r="R48" i="433" s="1"/>
  <c r="L48" i="433"/>
  <c r="J48" i="433"/>
  <c r="I48" i="433"/>
  <c r="H48" i="433"/>
  <c r="G48" i="433"/>
  <c r="F48" i="433"/>
  <c r="E48" i="433"/>
  <c r="D48" i="433"/>
  <c r="K48" i="433" s="1"/>
  <c r="Z47" i="433"/>
  <c r="Y47" i="433"/>
  <c r="X47" i="433"/>
  <c r="W47" i="433"/>
  <c r="V47" i="433"/>
  <c r="U47" i="433"/>
  <c r="T47" i="433"/>
  <c r="S47" i="433"/>
  <c r="AA47" i="433" s="1"/>
  <c r="Q47" i="433"/>
  <c r="P47" i="433"/>
  <c r="O47" i="433"/>
  <c r="N47" i="433"/>
  <c r="M47" i="433"/>
  <c r="L47" i="433"/>
  <c r="J47" i="433"/>
  <c r="I47" i="433"/>
  <c r="H47" i="433"/>
  <c r="G47" i="433"/>
  <c r="F47" i="433"/>
  <c r="E47" i="433"/>
  <c r="D47" i="433"/>
  <c r="AA46" i="433"/>
  <c r="R46" i="433"/>
  <c r="AB46" i="433" s="1"/>
  <c r="K46" i="433"/>
  <c r="E46" i="433"/>
  <c r="Z45" i="433"/>
  <c r="Y45" i="433"/>
  <c r="X45" i="433"/>
  <c r="W45" i="433"/>
  <c r="V45" i="433"/>
  <c r="U45" i="433"/>
  <c r="T45" i="433"/>
  <c r="S45" i="433"/>
  <c r="Q45" i="433"/>
  <c r="P45" i="433"/>
  <c r="O45" i="433"/>
  <c r="N45" i="433"/>
  <c r="M45" i="433"/>
  <c r="L45" i="433"/>
  <c r="J45" i="433"/>
  <c r="I45" i="433"/>
  <c r="H45" i="433"/>
  <c r="G45" i="433"/>
  <c r="F45" i="433"/>
  <c r="E45" i="433"/>
  <c r="D45" i="433"/>
  <c r="Z44" i="433"/>
  <c r="Y44" i="433"/>
  <c r="X44" i="433"/>
  <c r="W44" i="433"/>
  <c r="V44" i="433"/>
  <c r="U44" i="433"/>
  <c r="T44" i="433"/>
  <c r="S44" i="433"/>
  <c r="Q44" i="433"/>
  <c r="P44" i="433"/>
  <c r="O44" i="433"/>
  <c r="N44" i="433"/>
  <c r="M44" i="433"/>
  <c r="L44" i="433"/>
  <c r="J44" i="433"/>
  <c r="I44" i="433"/>
  <c r="H44" i="433"/>
  <c r="G44" i="433"/>
  <c r="F44" i="433"/>
  <c r="E44" i="433"/>
  <c r="D44" i="433"/>
  <c r="Z43" i="433"/>
  <c r="Y43" i="433"/>
  <c r="X43" i="433"/>
  <c r="W43" i="433"/>
  <c r="V43" i="433"/>
  <c r="U43" i="433"/>
  <c r="T43" i="433"/>
  <c r="S43" i="433"/>
  <c r="Q43" i="433"/>
  <c r="P43" i="433"/>
  <c r="O43" i="433"/>
  <c r="N43" i="433"/>
  <c r="M43" i="433"/>
  <c r="L43" i="433"/>
  <c r="J43" i="433"/>
  <c r="I43" i="433"/>
  <c r="H43" i="433"/>
  <c r="G43" i="433"/>
  <c r="F43" i="433"/>
  <c r="E43" i="433"/>
  <c r="D43" i="433"/>
  <c r="K43" i="433" s="1"/>
  <c r="Z42" i="433"/>
  <c r="Y42" i="433"/>
  <c r="X42" i="433"/>
  <c r="W42" i="433"/>
  <c r="V42" i="433"/>
  <c r="U42" i="433"/>
  <c r="T42" i="433"/>
  <c r="S42" i="433"/>
  <c r="Q42" i="433"/>
  <c r="P42" i="433"/>
  <c r="O42" i="433"/>
  <c r="N42" i="433"/>
  <c r="M42" i="433"/>
  <c r="L42" i="433"/>
  <c r="J42" i="433"/>
  <c r="I42" i="433"/>
  <c r="H42" i="433"/>
  <c r="G42" i="433"/>
  <c r="F42" i="433"/>
  <c r="E42" i="433"/>
  <c r="D42" i="433"/>
  <c r="Z41" i="433"/>
  <c r="Y41" i="433"/>
  <c r="X41" i="433"/>
  <c r="W41" i="433"/>
  <c r="V41" i="433"/>
  <c r="U41" i="433"/>
  <c r="T41" i="433"/>
  <c r="S41" i="433"/>
  <c r="Q41" i="433"/>
  <c r="P41" i="433"/>
  <c r="O41" i="433"/>
  <c r="N41" i="433"/>
  <c r="M41" i="433"/>
  <c r="L41" i="433"/>
  <c r="R41" i="433" s="1"/>
  <c r="J41" i="433"/>
  <c r="I41" i="433"/>
  <c r="H41" i="433"/>
  <c r="G41" i="433"/>
  <c r="K41" i="433" s="1"/>
  <c r="F41" i="433"/>
  <c r="E41" i="433"/>
  <c r="D41" i="433"/>
  <c r="Z40" i="433"/>
  <c r="Y40" i="433"/>
  <c r="X40" i="433"/>
  <c r="W40" i="433"/>
  <c r="V40" i="433"/>
  <c r="U40" i="433"/>
  <c r="T40" i="433"/>
  <c r="S40" i="433"/>
  <c r="Q40" i="433"/>
  <c r="P40" i="433"/>
  <c r="O40" i="433"/>
  <c r="N40" i="433"/>
  <c r="M40" i="433"/>
  <c r="R40" i="433" s="1"/>
  <c r="L40" i="433"/>
  <c r="J40" i="433"/>
  <c r="I40" i="433"/>
  <c r="H40" i="433"/>
  <c r="G40" i="433"/>
  <c r="F40" i="433"/>
  <c r="E40" i="433"/>
  <c r="D40" i="433"/>
  <c r="K40" i="433" s="1"/>
  <c r="AA39" i="433"/>
  <c r="AB39" i="433" s="1"/>
  <c r="AC39" i="433" s="1"/>
  <c r="R39" i="433"/>
  <c r="E39" i="433"/>
  <c r="K39" i="433" s="1"/>
  <c r="Z38" i="433"/>
  <c r="Y38" i="433"/>
  <c r="X38" i="433"/>
  <c r="W38" i="433"/>
  <c r="V38" i="433"/>
  <c r="U38" i="433"/>
  <c r="T38" i="433"/>
  <c r="S38" i="433"/>
  <c r="Q38" i="433"/>
  <c r="P38" i="433"/>
  <c r="O38" i="433"/>
  <c r="N38" i="433"/>
  <c r="M38" i="433"/>
  <c r="R38" i="433" s="1"/>
  <c r="L38" i="433"/>
  <c r="J38" i="433"/>
  <c r="I38" i="433"/>
  <c r="H38" i="433"/>
  <c r="G38" i="433"/>
  <c r="F38" i="433"/>
  <c r="E38" i="433"/>
  <c r="D38" i="433"/>
  <c r="K38" i="433" s="1"/>
  <c r="Z37" i="433"/>
  <c r="Y37" i="433"/>
  <c r="X37" i="433"/>
  <c r="W37" i="433"/>
  <c r="V37" i="433"/>
  <c r="U37" i="433"/>
  <c r="T37" i="433"/>
  <c r="S37" i="433"/>
  <c r="AA37" i="433" s="1"/>
  <c r="Q37" i="433"/>
  <c r="P37" i="433"/>
  <c r="O37" i="433"/>
  <c r="N37" i="433"/>
  <c r="M37" i="433"/>
  <c r="L37" i="433"/>
  <c r="J37" i="433"/>
  <c r="I37" i="433"/>
  <c r="H37" i="433"/>
  <c r="G37" i="433"/>
  <c r="F37" i="433"/>
  <c r="E37" i="433"/>
  <c r="D37" i="433"/>
  <c r="Z36" i="433"/>
  <c r="Y36" i="433"/>
  <c r="X36" i="433"/>
  <c r="W36" i="433"/>
  <c r="V36" i="433"/>
  <c r="U36" i="433"/>
  <c r="T36" i="433"/>
  <c r="S36" i="433"/>
  <c r="Q36" i="433"/>
  <c r="P36" i="433"/>
  <c r="O36" i="433"/>
  <c r="N36" i="433"/>
  <c r="M36" i="433"/>
  <c r="L36" i="433"/>
  <c r="J36" i="433"/>
  <c r="I36" i="433"/>
  <c r="H36" i="433"/>
  <c r="G36" i="433"/>
  <c r="F36" i="433"/>
  <c r="E36" i="433"/>
  <c r="D36" i="433"/>
  <c r="Z35" i="433"/>
  <c r="Y35" i="433"/>
  <c r="X35" i="433"/>
  <c r="W35" i="433"/>
  <c r="V35" i="433"/>
  <c r="U35" i="433"/>
  <c r="T35" i="433"/>
  <c r="S35" i="433"/>
  <c r="Q35" i="433"/>
  <c r="P35" i="433"/>
  <c r="O35" i="433"/>
  <c r="N35" i="433"/>
  <c r="M35" i="433"/>
  <c r="L35" i="433"/>
  <c r="J35" i="433"/>
  <c r="I35" i="433"/>
  <c r="H35" i="433"/>
  <c r="G35" i="433"/>
  <c r="F35" i="433"/>
  <c r="E35" i="433"/>
  <c r="D35" i="433"/>
  <c r="Z34" i="433"/>
  <c r="Y34" i="433"/>
  <c r="X34" i="433"/>
  <c r="W34" i="433"/>
  <c r="V34" i="433"/>
  <c r="U34" i="433"/>
  <c r="T34" i="433"/>
  <c r="S34" i="433"/>
  <c r="AA34" i="433" s="1"/>
  <c r="Q34" i="433"/>
  <c r="P34" i="433"/>
  <c r="O34" i="433"/>
  <c r="N34" i="433"/>
  <c r="M34" i="433"/>
  <c r="L34" i="433"/>
  <c r="J34" i="433"/>
  <c r="I34" i="433"/>
  <c r="H34" i="433"/>
  <c r="G34" i="433"/>
  <c r="F34" i="433"/>
  <c r="E34" i="433"/>
  <c r="D34" i="433"/>
  <c r="K34" i="433" s="1"/>
  <c r="Z33" i="433"/>
  <c r="Y33" i="433"/>
  <c r="X33" i="433"/>
  <c r="W33" i="433"/>
  <c r="V33" i="433"/>
  <c r="U33" i="433"/>
  <c r="T33" i="433"/>
  <c r="S33" i="433"/>
  <c r="AA33" i="433" s="1"/>
  <c r="Q33" i="433"/>
  <c r="P33" i="433"/>
  <c r="O33" i="433"/>
  <c r="N33" i="433"/>
  <c r="M33" i="433"/>
  <c r="L33" i="433"/>
  <c r="R33" i="433" s="1"/>
  <c r="J33" i="433"/>
  <c r="I33" i="433"/>
  <c r="H33" i="433"/>
  <c r="G33" i="433"/>
  <c r="K33" i="433" s="1"/>
  <c r="F33" i="433"/>
  <c r="E33" i="433"/>
  <c r="D33" i="433"/>
  <c r="AA32" i="433"/>
  <c r="R32" i="433"/>
  <c r="K32" i="433"/>
  <c r="E32" i="433"/>
  <c r="Z31" i="433"/>
  <c r="Y31" i="433"/>
  <c r="Y30" i="433" s="1"/>
  <c r="X31" i="433"/>
  <c r="W31" i="433"/>
  <c r="V31" i="433"/>
  <c r="U31" i="433"/>
  <c r="T31" i="433"/>
  <c r="S31" i="433"/>
  <c r="Q31" i="433"/>
  <c r="P31" i="433"/>
  <c r="O31" i="433"/>
  <c r="N31" i="433"/>
  <c r="M31" i="433"/>
  <c r="L31" i="433"/>
  <c r="J31" i="433"/>
  <c r="I31" i="433"/>
  <c r="H31" i="433"/>
  <c r="G31" i="433"/>
  <c r="F31" i="433"/>
  <c r="E31" i="433"/>
  <c r="D31" i="433"/>
  <c r="U30" i="433"/>
  <c r="E30" i="433"/>
  <c r="Z29" i="433"/>
  <c r="Y29" i="433"/>
  <c r="X29" i="433"/>
  <c r="W29" i="433"/>
  <c r="V29" i="433"/>
  <c r="U29" i="433"/>
  <c r="T29" i="433"/>
  <c r="S29" i="433"/>
  <c r="Q29" i="433"/>
  <c r="P29" i="433"/>
  <c r="O29" i="433"/>
  <c r="N29" i="433"/>
  <c r="M29" i="433"/>
  <c r="L29" i="433"/>
  <c r="J29" i="433"/>
  <c r="I29" i="433"/>
  <c r="H29" i="433"/>
  <c r="G29" i="433"/>
  <c r="F29" i="433"/>
  <c r="E29" i="433"/>
  <c r="D29" i="433"/>
  <c r="Z28" i="433"/>
  <c r="Y28" i="433"/>
  <c r="X28" i="433"/>
  <c r="W28" i="433"/>
  <c r="V28" i="433"/>
  <c r="U28" i="433"/>
  <c r="T28" i="433"/>
  <c r="S28" i="433"/>
  <c r="Q28" i="433"/>
  <c r="P28" i="433"/>
  <c r="O28" i="433"/>
  <c r="N28" i="433"/>
  <c r="M28" i="433"/>
  <c r="L28" i="433"/>
  <c r="J28" i="433"/>
  <c r="I28" i="433"/>
  <c r="H28" i="433"/>
  <c r="G28" i="433"/>
  <c r="F28" i="433"/>
  <c r="E28" i="433"/>
  <c r="D28" i="433"/>
  <c r="Z27" i="433"/>
  <c r="Y27" i="433"/>
  <c r="X27" i="433"/>
  <c r="W27" i="433"/>
  <c r="V27" i="433"/>
  <c r="U27" i="433"/>
  <c r="T27" i="433"/>
  <c r="S27" i="433"/>
  <c r="Q27" i="433"/>
  <c r="P27" i="433"/>
  <c r="O27" i="433"/>
  <c r="N27" i="433"/>
  <c r="M27" i="433"/>
  <c r="L27" i="433"/>
  <c r="J27" i="433"/>
  <c r="I27" i="433"/>
  <c r="H27" i="433"/>
  <c r="G27" i="433"/>
  <c r="F27" i="433"/>
  <c r="E27" i="433"/>
  <c r="D27" i="433"/>
  <c r="Z26" i="433"/>
  <c r="Y26" i="433"/>
  <c r="X26" i="433"/>
  <c r="W26" i="433"/>
  <c r="V26" i="433"/>
  <c r="U26" i="433"/>
  <c r="T26" i="433"/>
  <c r="S26" i="433"/>
  <c r="AA26" i="433" s="1"/>
  <c r="Q26" i="433"/>
  <c r="P26" i="433"/>
  <c r="O26" i="433"/>
  <c r="N26" i="433"/>
  <c r="M26" i="433"/>
  <c r="L26" i="433"/>
  <c r="J26" i="433"/>
  <c r="I26" i="433"/>
  <c r="H26" i="433"/>
  <c r="G26" i="433"/>
  <c r="F26" i="433"/>
  <c r="E26" i="433"/>
  <c r="D26" i="433"/>
  <c r="K26" i="433" s="1"/>
  <c r="Z25" i="433"/>
  <c r="Y25" i="433"/>
  <c r="X25" i="433"/>
  <c r="W25" i="433"/>
  <c r="V25" i="433"/>
  <c r="U25" i="433"/>
  <c r="T25" i="433"/>
  <c r="S25" i="433"/>
  <c r="Q25" i="433"/>
  <c r="P25" i="433"/>
  <c r="O25" i="433"/>
  <c r="N25" i="433"/>
  <c r="M25" i="433"/>
  <c r="L25" i="433"/>
  <c r="J25" i="433"/>
  <c r="I25" i="433"/>
  <c r="H25" i="433"/>
  <c r="G25" i="433"/>
  <c r="F25" i="433"/>
  <c r="E25" i="433"/>
  <c r="D25" i="433"/>
  <c r="Z24" i="433"/>
  <c r="Y24" i="433"/>
  <c r="X24" i="433"/>
  <c r="W24" i="433"/>
  <c r="V24" i="433"/>
  <c r="U24" i="433"/>
  <c r="T24" i="433"/>
  <c r="S24" i="433"/>
  <c r="Q24" i="433"/>
  <c r="P24" i="433"/>
  <c r="O24" i="433"/>
  <c r="N24" i="433"/>
  <c r="M24" i="433"/>
  <c r="L24" i="433"/>
  <c r="J24" i="433"/>
  <c r="I24" i="433"/>
  <c r="H24" i="433"/>
  <c r="G24" i="433"/>
  <c r="F24" i="433"/>
  <c r="E24" i="433"/>
  <c r="D24" i="433"/>
  <c r="AA23" i="433"/>
  <c r="AB23" i="433" s="1"/>
  <c r="R23" i="433"/>
  <c r="E23" i="433"/>
  <c r="K23" i="433" s="1"/>
  <c r="Z22" i="433"/>
  <c r="Y22" i="433"/>
  <c r="X22" i="433"/>
  <c r="W22" i="433"/>
  <c r="V22" i="433"/>
  <c r="U22" i="433"/>
  <c r="T22" i="433"/>
  <c r="S22" i="433"/>
  <c r="Q22" i="433"/>
  <c r="P22" i="433"/>
  <c r="O22" i="433"/>
  <c r="N22" i="433"/>
  <c r="M22" i="433"/>
  <c r="L22" i="433"/>
  <c r="J22" i="433"/>
  <c r="I22" i="433"/>
  <c r="H22" i="433"/>
  <c r="G22" i="433"/>
  <c r="F22" i="433"/>
  <c r="E22" i="433"/>
  <c r="D22" i="433"/>
  <c r="Z21" i="433"/>
  <c r="Y21" i="433"/>
  <c r="X21" i="433"/>
  <c r="W21" i="433"/>
  <c r="V21" i="433"/>
  <c r="U21" i="433"/>
  <c r="T21" i="433"/>
  <c r="S21" i="433"/>
  <c r="Q21" i="433"/>
  <c r="P21" i="433"/>
  <c r="O21" i="433"/>
  <c r="N21" i="433"/>
  <c r="M21" i="433"/>
  <c r="L21" i="433"/>
  <c r="J21" i="433"/>
  <c r="I21" i="433"/>
  <c r="H21" i="433"/>
  <c r="G21" i="433"/>
  <c r="F21" i="433"/>
  <c r="E21" i="433"/>
  <c r="D21" i="433"/>
  <c r="K21" i="433" s="1"/>
  <c r="Z20" i="433"/>
  <c r="Y20" i="433"/>
  <c r="X20" i="433"/>
  <c r="W20" i="433"/>
  <c r="V20" i="433"/>
  <c r="U20" i="433"/>
  <c r="T20" i="433"/>
  <c r="S20" i="433"/>
  <c r="Q20" i="433"/>
  <c r="P20" i="433"/>
  <c r="O20" i="433"/>
  <c r="N20" i="433"/>
  <c r="M20" i="433"/>
  <c r="L20" i="433"/>
  <c r="J20" i="433"/>
  <c r="I20" i="433"/>
  <c r="H20" i="433"/>
  <c r="G20" i="433"/>
  <c r="F20" i="433"/>
  <c r="E20" i="433"/>
  <c r="D20" i="433"/>
  <c r="Z19" i="433"/>
  <c r="Y19" i="433"/>
  <c r="X19" i="433"/>
  <c r="W19" i="433"/>
  <c r="V19" i="433"/>
  <c r="U19" i="433"/>
  <c r="T19" i="433"/>
  <c r="S19" i="433"/>
  <c r="AA19" i="433" s="1"/>
  <c r="Q19" i="433"/>
  <c r="P19" i="433"/>
  <c r="O19" i="433"/>
  <c r="N19" i="433"/>
  <c r="M19" i="433"/>
  <c r="L19" i="433"/>
  <c r="J19" i="433"/>
  <c r="I19" i="433"/>
  <c r="H19" i="433"/>
  <c r="G19" i="433"/>
  <c r="F19" i="433"/>
  <c r="E19" i="433"/>
  <c r="D19" i="433"/>
  <c r="Z18" i="433"/>
  <c r="Y18" i="433"/>
  <c r="X18" i="433"/>
  <c r="W18" i="433"/>
  <c r="V18" i="433"/>
  <c r="U18" i="433"/>
  <c r="T18" i="433"/>
  <c r="S18" i="433"/>
  <c r="AA18" i="433" s="1"/>
  <c r="Q18" i="433"/>
  <c r="P18" i="433"/>
  <c r="O18" i="433"/>
  <c r="N18" i="433"/>
  <c r="M18" i="433"/>
  <c r="L18" i="433"/>
  <c r="J18" i="433"/>
  <c r="I18" i="433"/>
  <c r="H18" i="433"/>
  <c r="G18" i="433"/>
  <c r="F18" i="433"/>
  <c r="E18" i="433"/>
  <c r="D18" i="433"/>
  <c r="K18" i="433" s="1"/>
  <c r="Z17" i="433"/>
  <c r="Y17" i="433"/>
  <c r="X17" i="433"/>
  <c r="W17" i="433"/>
  <c r="V17" i="433"/>
  <c r="U17" i="433"/>
  <c r="T17" i="433"/>
  <c r="S17" i="433"/>
  <c r="Q17" i="433"/>
  <c r="P17" i="433"/>
  <c r="O17" i="433"/>
  <c r="N17" i="433"/>
  <c r="M17" i="433"/>
  <c r="L17" i="433"/>
  <c r="J17" i="433"/>
  <c r="I17" i="433"/>
  <c r="H17" i="433"/>
  <c r="G17" i="433"/>
  <c r="F17" i="433"/>
  <c r="E17" i="433"/>
  <c r="D17" i="433"/>
  <c r="AA16" i="433"/>
  <c r="R16" i="433"/>
  <c r="AB16" i="433" s="1"/>
  <c r="AC16" i="433" s="1"/>
  <c r="K16" i="433"/>
  <c r="E16" i="433"/>
  <c r="Z15" i="433"/>
  <c r="Y15" i="433"/>
  <c r="Y14" i="433" s="1"/>
  <c r="Y13" i="433" s="1"/>
  <c r="X15" i="433"/>
  <c r="X14" i="433" s="1"/>
  <c r="W15" i="433"/>
  <c r="W14" i="433" s="1"/>
  <c r="V15" i="433"/>
  <c r="V14" i="433" s="1"/>
  <c r="U15" i="433"/>
  <c r="U14" i="433" s="1"/>
  <c r="U13" i="433" s="1"/>
  <c r="T15" i="433"/>
  <c r="T14" i="433" s="1"/>
  <c r="S15" i="433"/>
  <c r="Q15" i="433"/>
  <c r="P15" i="433"/>
  <c r="P14" i="433" s="1"/>
  <c r="O15" i="433"/>
  <c r="O14" i="433" s="1"/>
  <c r="N15" i="433"/>
  <c r="M15" i="433"/>
  <c r="M14" i="433" s="1"/>
  <c r="L15" i="433"/>
  <c r="R15" i="433" s="1"/>
  <c r="J15" i="433"/>
  <c r="J14" i="433" s="1"/>
  <c r="I15" i="433"/>
  <c r="H15" i="433"/>
  <c r="H14" i="433" s="1"/>
  <c r="G15" i="433"/>
  <c r="G14" i="433" s="1"/>
  <c r="F15" i="433"/>
  <c r="E15" i="433"/>
  <c r="D15" i="433"/>
  <c r="D14" i="433" s="1"/>
  <c r="Z14" i="433"/>
  <c r="Q14" i="433"/>
  <c r="N14" i="433"/>
  <c r="I14" i="433"/>
  <c r="F14" i="433"/>
  <c r="E14" i="433"/>
  <c r="E13" i="433"/>
  <c r="E12" i="433"/>
  <c r="E11" i="433"/>
  <c r="E765" i="433" s="1"/>
  <c r="E1018" i="433" s="1"/>
  <c r="Z135" i="435" l="1"/>
  <c r="Z132" i="435"/>
  <c r="Z105" i="435"/>
  <c r="AA155" i="435"/>
  <c r="AA126" i="435"/>
  <c r="Z140" i="435"/>
  <c r="AA140" i="435" s="1"/>
  <c r="Z157" i="435"/>
  <c r="AA157" i="435" s="1"/>
  <c r="AA145" i="435"/>
  <c r="AA166" i="435"/>
  <c r="AA149" i="435"/>
  <c r="AA159" i="435"/>
  <c r="Z131" i="435"/>
  <c r="AA131" i="435" s="1"/>
  <c r="Z136" i="435"/>
  <c r="AA136" i="435" s="1"/>
  <c r="Z143" i="435"/>
  <c r="AA143" i="435" s="1"/>
  <c r="Z153" i="435"/>
  <c r="AA153" i="435" s="1"/>
  <c r="Z161" i="435"/>
  <c r="AA161" i="435" s="1"/>
  <c r="Z164" i="435"/>
  <c r="AA164" i="435" s="1"/>
  <c r="Z10" i="435"/>
  <c r="AA10" i="435" s="1"/>
  <c r="Z33" i="435"/>
  <c r="AA33" i="435" s="1"/>
  <c r="Z37" i="435"/>
  <c r="AA37" i="435" s="1"/>
  <c r="Z51" i="435"/>
  <c r="AA51" i="435" s="1"/>
  <c r="Z55" i="435"/>
  <c r="AA55" i="435" s="1"/>
  <c r="Z58" i="435"/>
  <c r="AA58" i="435" s="1"/>
  <c r="Z70" i="435"/>
  <c r="AA70" i="435" s="1"/>
  <c r="Z75" i="435"/>
  <c r="AA75" i="435" s="1"/>
  <c r="Z87" i="435"/>
  <c r="AA87" i="435" s="1"/>
  <c r="Z99" i="435"/>
  <c r="AA99" i="435" s="1"/>
  <c r="Z101" i="435"/>
  <c r="AA101" i="435" s="1"/>
  <c r="Z107" i="435"/>
  <c r="AA107" i="435" s="1"/>
  <c r="Z13" i="435"/>
  <c r="AA13" i="435" s="1"/>
  <c r="Z23" i="435"/>
  <c r="AA23" i="435" s="1"/>
  <c r="Z28" i="435"/>
  <c r="AA28" i="435" s="1"/>
  <c r="Z40" i="435"/>
  <c r="AA40" i="435" s="1"/>
  <c r="Z46" i="435"/>
  <c r="AA46" i="435" s="1"/>
  <c r="Z53" i="435"/>
  <c r="AA53" i="435" s="1"/>
  <c r="Z62" i="435"/>
  <c r="AA62" i="435" s="1"/>
  <c r="Z65" i="435"/>
  <c r="Z72" i="435"/>
  <c r="AA72" i="435" s="1"/>
  <c r="Z79" i="435"/>
  <c r="AA79" i="435" s="1"/>
  <c r="Z89" i="435"/>
  <c r="AA89" i="435" s="1"/>
  <c r="Z96" i="435"/>
  <c r="AA96" i="435" s="1"/>
  <c r="Z104" i="435"/>
  <c r="Z109" i="435"/>
  <c r="Z114" i="435"/>
  <c r="AA114" i="435" s="1"/>
  <c r="Z118" i="435"/>
  <c r="AA132" i="435"/>
  <c r="AA162" i="435"/>
  <c r="F176" i="435"/>
  <c r="AA146" i="435"/>
  <c r="AA135" i="435"/>
  <c r="AA67" i="435"/>
  <c r="AA118" i="435"/>
  <c r="AA106" i="435"/>
  <c r="AA65" i="435"/>
  <c r="AA14" i="435"/>
  <c r="AA15" i="435"/>
  <c r="AA110" i="435"/>
  <c r="I5" i="435"/>
  <c r="I119" i="435" s="1"/>
  <c r="Q119" i="435"/>
  <c r="Q176" i="435" s="1"/>
  <c r="Y5" i="435"/>
  <c r="Y119" i="435" s="1"/>
  <c r="N176" i="435"/>
  <c r="J119" i="435"/>
  <c r="I6" i="435"/>
  <c r="Y6" i="435"/>
  <c r="Z6" i="435" s="1"/>
  <c r="I123" i="435"/>
  <c r="B122" i="435"/>
  <c r="L5" i="435"/>
  <c r="L119" i="435" s="1"/>
  <c r="L176" i="435" s="1"/>
  <c r="B119" i="435"/>
  <c r="P123" i="435"/>
  <c r="J122" i="435"/>
  <c r="Z36" i="435"/>
  <c r="AA36" i="435" s="1"/>
  <c r="Z48" i="435"/>
  <c r="AA48" i="435" s="1"/>
  <c r="Z61" i="435"/>
  <c r="AA61" i="435" s="1"/>
  <c r="Y123" i="435"/>
  <c r="Y122" i="435" s="1"/>
  <c r="Y170" i="435" s="1"/>
  <c r="Z147" i="435"/>
  <c r="AA147" i="435" s="1"/>
  <c r="Z168" i="435"/>
  <c r="AA168" i="435" s="1"/>
  <c r="Z889" i="433"/>
  <c r="Q1004" i="433"/>
  <c r="Q995" i="433" s="1"/>
  <c r="Q1017" i="433" s="1"/>
  <c r="H995" i="433"/>
  <c r="H1017" i="433" s="1"/>
  <c r="AB617" i="433"/>
  <c r="AB615" i="433"/>
  <c r="AA335" i="433"/>
  <c r="AB339" i="433"/>
  <c r="AB322" i="433"/>
  <c r="AC322" i="433" s="1"/>
  <c r="R31" i="434"/>
  <c r="C15" i="434"/>
  <c r="Z34" i="434"/>
  <c r="T33" i="434"/>
  <c r="T32" i="434" s="1"/>
  <c r="T31" i="434" s="1"/>
  <c r="T30" i="434" s="1"/>
  <c r="T29" i="434" s="1"/>
  <c r="O16" i="434"/>
  <c r="O15" i="434" s="1"/>
  <c r="O14" i="434" s="1"/>
  <c r="O13" i="434" s="1"/>
  <c r="O12" i="434" s="1"/>
  <c r="O11" i="434" s="1"/>
  <c r="O45" i="434" s="1"/>
  <c r="K17" i="434"/>
  <c r="R16" i="434"/>
  <c r="Z17" i="434"/>
  <c r="J20" i="434"/>
  <c r="Q21" i="434"/>
  <c r="K20" i="434"/>
  <c r="O20" i="434"/>
  <c r="J23" i="434"/>
  <c r="AB23" i="434" s="1"/>
  <c r="Q27" i="434"/>
  <c r="AA27" i="434" s="1"/>
  <c r="AB27" i="434" s="1"/>
  <c r="AA37" i="434"/>
  <c r="AB37" i="434" s="1"/>
  <c r="AA38" i="434"/>
  <c r="AB38" i="434" s="1"/>
  <c r="N16" i="434"/>
  <c r="N15" i="434" s="1"/>
  <c r="N14" i="434" s="1"/>
  <c r="N13" i="434" s="1"/>
  <c r="N12" i="434" s="1"/>
  <c r="N11" i="434" s="1"/>
  <c r="N45" i="434" s="1"/>
  <c r="V16" i="434"/>
  <c r="V15" i="434" s="1"/>
  <c r="V14" i="434" s="1"/>
  <c r="V13" i="434" s="1"/>
  <c r="V12" i="434" s="1"/>
  <c r="V11" i="434" s="1"/>
  <c r="V45" i="434" s="1"/>
  <c r="T16" i="434"/>
  <c r="T15" i="434" s="1"/>
  <c r="T14" i="434" s="1"/>
  <c r="T13" i="434" s="1"/>
  <c r="T12" i="434" s="1"/>
  <c r="D20" i="434"/>
  <c r="D16" i="434" s="1"/>
  <c r="Z20" i="434"/>
  <c r="Z21" i="434"/>
  <c r="Z35" i="434"/>
  <c r="J17" i="434"/>
  <c r="I16" i="434"/>
  <c r="I15" i="434" s="1"/>
  <c r="I14" i="434" s="1"/>
  <c r="I13" i="434" s="1"/>
  <c r="I12" i="434" s="1"/>
  <c r="I11" i="434" s="1"/>
  <c r="I45" i="434" s="1"/>
  <c r="Z18" i="434"/>
  <c r="AA18" i="434" s="1"/>
  <c r="AB18" i="434" s="1"/>
  <c r="AA28" i="434"/>
  <c r="AB28" i="434" s="1"/>
  <c r="C34" i="434"/>
  <c r="G34" i="434"/>
  <c r="G33" i="434" s="1"/>
  <c r="G32" i="434" s="1"/>
  <c r="G31" i="434" s="1"/>
  <c r="G30" i="434" s="1"/>
  <c r="G29" i="434" s="1"/>
  <c r="G11" i="434" s="1"/>
  <c r="G45" i="434" s="1"/>
  <c r="Q35" i="434"/>
  <c r="AA35" i="434" s="1"/>
  <c r="AB35" i="434" s="1"/>
  <c r="K34" i="434"/>
  <c r="O34" i="434"/>
  <c r="O33" i="434" s="1"/>
  <c r="O32" i="434" s="1"/>
  <c r="O31" i="434" s="1"/>
  <c r="O30" i="434" s="1"/>
  <c r="O29" i="434" s="1"/>
  <c r="Z40" i="434"/>
  <c r="AA40" i="434" s="1"/>
  <c r="AB40" i="434" s="1"/>
  <c r="J13" i="433"/>
  <c r="M30" i="433"/>
  <c r="M13" i="433" s="1"/>
  <c r="Q30" i="433"/>
  <c r="V30" i="433"/>
  <c r="V13" i="433" s="1"/>
  <c r="Z30" i="433"/>
  <c r="Z13" i="433" s="1"/>
  <c r="I13" i="433"/>
  <c r="H30" i="433"/>
  <c r="AB33" i="433"/>
  <c r="AC33" i="433" s="1"/>
  <c r="K70" i="433"/>
  <c r="AB78" i="433"/>
  <c r="AC78" i="433" s="1"/>
  <c r="AB86" i="433"/>
  <c r="AC86" i="433" s="1"/>
  <c r="AA86" i="433"/>
  <c r="K88" i="433"/>
  <c r="R90" i="433"/>
  <c r="AA90" i="433"/>
  <c r="R94" i="433"/>
  <c r="R97" i="433"/>
  <c r="R99" i="433"/>
  <c r="K100" i="433"/>
  <c r="K104" i="433"/>
  <c r="AA104" i="433"/>
  <c r="K105" i="433"/>
  <c r="K108" i="433"/>
  <c r="AA108" i="433"/>
  <c r="AA113" i="433"/>
  <c r="K121" i="433"/>
  <c r="AB123" i="433"/>
  <c r="AC123" i="433" s="1"/>
  <c r="R124" i="433"/>
  <c r="AA127" i="433"/>
  <c r="R131" i="433"/>
  <c r="AA131" i="433"/>
  <c r="R134" i="433"/>
  <c r="R136" i="433"/>
  <c r="R138" i="433"/>
  <c r="R140" i="433"/>
  <c r="AB144" i="433"/>
  <c r="R155" i="433"/>
  <c r="K158" i="433"/>
  <c r="R159" i="433"/>
  <c r="AB161" i="433"/>
  <c r="AC161" i="433" s="1"/>
  <c r="N191" i="433"/>
  <c r="N142" i="433" s="1"/>
  <c r="Z191" i="433"/>
  <c r="H191" i="433"/>
  <c r="H142" i="433" s="1"/>
  <c r="R215" i="433"/>
  <c r="AB265" i="433"/>
  <c r="AB342" i="433"/>
  <c r="AC342" i="433" s="1"/>
  <c r="Y341" i="433"/>
  <c r="Y340" i="433" s="1"/>
  <c r="Y245" i="433" s="1"/>
  <c r="D346" i="433"/>
  <c r="K346" i="433" s="1"/>
  <c r="D577" i="433"/>
  <c r="AB699" i="433"/>
  <c r="AC699" i="433" s="1"/>
  <c r="Q13" i="433"/>
  <c r="D30" i="433"/>
  <c r="D13" i="433" s="1"/>
  <c r="R100" i="433"/>
  <c r="AB104" i="433"/>
  <c r="AC104" i="433" s="1"/>
  <c r="AA107" i="433"/>
  <c r="Z142" i="433"/>
  <c r="J191" i="433"/>
  <c r="S461" i="433"/>
  <c r="N461" i="433"/>
  <c r="K17" i="433"/>
  <c r="R17" i="433"/>
  <c r="AA21" i="433"/>
  <c r="K22" i="433"/>
  <c r="R22" i="433"/>
  <c r="AB22" i="433" s="1"/>
  <c r="AC22" i="433" s="1"/>
  <c r="K24" i="433"/>
  <c r="R24" i="433"/>
  <c r="K25" i="433"/>
  <c r="R25" i="433"/>
  <c r="AB25" i="433" s="1"/>
  <c r="AC25" i="433" s="1"/>
  <c r="AA27" i="433"/>
  <c r="K28" i="433"/>
  <c r="R28" i="433"/>
  <c r="K29" i="433"/>
  <c r="R29" i="433"/>
  <c r="AA31" i="433"/>
  <c r="AA35" i="433"/>
  <c r="K36" i="433"/>
  <c r="R36" i="433"/>
  <c r="K37" i="433"/>
  <c r="R37" i="433"/>
  <c r="AB37" i="433" s="1"/>
  <c r="AA38" i="433"/>
  <c r="AB38" i="433" s="1"/>
  <c r="AC38" i="433" s="1"/>
  <c r="AA40" i="433"/>
  <c r="AB40" i="433" s="1"/>
  <c r="AC40" i="433" s="1"/>
  <c r="AA43" i="433"/>
  <c r="K44" i="433"/>
  <c r="R44" i="433"/>
  <c r="AB44" i="433" s="1"/>
  <c r="AC44" i="433" s="1"/>
  <c r="K45" i="433"/>
  <c r="R45" i="433"/>
  <c r="AC46" i="433"/>
  <c r="AA48" i="433"/>
  <c r="AB48" i="433" s="1"/>
  <c r="AC48" i="433" s="1"/>
  <c r="O52" i="433"/>
  <c r="T52" i="433"/>
  <c r="X52" i="433"/>
  <c r="X30" i="433" s="1"/>
  <c r="X13" i="433" s="1"/>
  <c r="X12" i="433" s="1"/>
  <c r="AA55" i="433"/>
  <c r="K56" i="433"/>
  <c r="R56" i="433"/>
  <c r="K57" i="433"/>
  <c r="R57" i="433"/>
  <c r="AA59" i="433"/>
  <c r="AA64" i="433"/>
  <c r="AB67" i="433"/>
  <c r="R70" i="433"/>
  <c r="AB70" i="433" s="1"/>
  <c r="AC70" i="433" s="1"/>
  <c r="AA70" i="433"/>
  <c r="K71" i="433"/>
  <c r="AA75" i="433"/>
  <c r="K77" i="433"/>
  <c r="AA15" i="433"/>
  <c r="K20" i="433"/>
  <c r="R20" i="433"/>
  <c r="AA22" i="433"/>
  <c r="AA24" i="433"/>
  <c r="AA28" i="433"/>
  <c r="O30" i="433"/>
  <c r="T30" i="433"/>
  <c r="AA36" i="433"/>
  <c r="AA41" i="433"/>
  <c r="K42" i="433"/>
  <c r="R42" i="433"/>
  <c r="AA44" i="433"/>
  <c r="K47" i="433"/>
  <c r="R47" i="433"/>
  <c r="AB47" i="433" s="1"/>
  <c r="AA49" i="433"/>
  <c r="K50" i="433"/>
  <c r="R50" i="433"/>
  <c r="K51" i="433"/>
  <c r="AC51" i="433" s="1"/>
  <c r="R51" i="433"/>
  <c r="AB51" i="433" s="1"/>
  <c r="K53" i="433"/>
  <c r="R53" i="433"/>
  <c r="AB53" i="433" s="1"/>
  <c r="P52" i="433"/>
  <c r="AB54" i="433"/>
  <c r="AC54" i="433" s="1"/>
  <c r="AA56" i="433"/>
  <c r="AA61" i="433"/>
  <c r="K62" i="433"/>
  <c r="R62" i="433"/>
  <c r="K63" i="433"/>
  <c r="R63" i="433"/>
  <c r="AB63" i="433" s="1"/>
  <c r="AA65" i="433"/>
  <c r="AB65" i="433" s="1"/>
  <c r="AC65" i="433" s="1"/>
  <c r="K66" i="433"/>
  <c r="R66" i="433"/>
  <c r="K68" i="433"/>
  <c r="R69" i="433"/>
  <c r="AB69" i="433" s="1"/>
  <c r="AC69" i="433" s="1"/>
  <c r="AA71" i="433"/>
  <c r="K72" i="433"/>
  <c r="R76" i="433"/>
  <c r="AA76" i="433"/>
  <c r="K83" i="433"/>
  <c r="AA85" i="433"/>
  <c r="K86" i="433"/>
  <c r="AC87" i="433"/>
  <c r="K92" i="433"/>
  <c r="K94" i="433"/>
  <c r="AA96" i="433"/>
  <c r="K97" i="433"/>
  <c r="AA100" i="433"/>
  <c r="R103" i="433"/>
  <c r="AA105" i="433"/>
  <c r="R106" i="433"/>
  <c r="AB106" i="433" s="1"/>
  <c r="AC106" i="433" s="1"/>
  <c r="R107" i="433"/>
  <c r="R110" i="433"/>
  <c r="AA110" i="433"/>
  <c r="R114" i="433"/>
  <c r="AB114" i="433" s="1"/>
  <c r="AA114" i="433"/>
  <c r="K117" i="433"/>
  <c r="R117" i="433"/>
  <c r="R119" i="433"/>
  <c r="AA121" i="433"/>
  <c r="AB121" i="433" s="1"/>
  <c r="AC121" i="433" s="1"/>
  <c r="K125" i="433"/>
  <c r="R125" i="433"/>
  <c r="AB126" i="433"/>
  <c r="AC126" i="433" s="1"/>
  <c r="AA128" i="433"/>
  <c r="K131" i="433"/>
  <c r="AA133" i="433"/>
  <c r="AB133" i="433" s="1"/>
  <c r="AC133" i="433" s="1"/>
  <c r="R135" i="433"/>
  <c r="AB137" i="433"/>
  <c r="R139" i="433"/>
  <c r="AA147" i="433"/>
  <c r="AB147" i="433" s="1"/>
  <c r="K155" i="433"/>
  <c r="AA158" i="433"/>
  <c r="AB158" i="433" s="1"/>
  <c r="AC158" i="433" s="1"/>
  <c r="K159" i="433"/>
  <c r="R164" i="433"/>
  <c r="R166" i="433"/>
  <c r="V191" i="433"/>
  <c r="K234" i="433"/>
  <c r="AC234" i="433" s="1"/>
  <c r="D222" i="433"/>
  <c r="K252" i="433"/>
  <c r="AC332" i="433"/>
  <c r="AC384" i="433"/>
  <c r="AB470" i="433"/>
  <c r="AC470" i="433" s="1"/>
  <c r="AB64" i="433"/>
  <c r="AB108" i="433"/>
  <c r="O13" i="433"/>
  <c r="T13" i="433"/>
  <c r="AA17" i="433"/>
  <c r="R18" i="433"/>
  <c r="AB18" i="433" s="1"/>
  <c r="K19" i="433"/>
  <c r="R19" i="433"/>
  <c r="AB19" i="433" s="1"/>
  <c r="AA20" i="433"/>
  <c r="R21" i="433"/>
  <c r="AB21" i="433" s="1"/>
  <c r="AC21" i="433" s="1"/>
  <c r="AA25" i="433"/>
  <c r="R26" i="433"/>
  <c r="AB26" i="433" s="1"/>
  <c r="K27" i="433"/>
  <c r="R27" i="433"/>
  <c r="AB27" i="433" s="1"/>
  <c r="AC27" i="433" s="1"/>
  <c r="AA29" i="433"/>
  <c r="AB29" i="433" s="1"/>
  <c r="AC29" i="433" s="1"/>
  <c r="R31" i="433"/>
  <c r="AB31" i="433" s="1"/>
  <c r="AB32" i="433"/>
  <c r="AC32" i="433" s="1"/>
  <c r="R34" i="433"/>
  <c r="AB34" i="433" s="1"/>
  <c r="K35" i="433"/>
  <c r="R35" i="433"/>
  <c r="AA42" i="433"/>
  <c r="R43" i="433"/>
  <c r="AB43" i="433" s="1"/>
  <c r="AC43" i="433" s="1"/>
  <c r="AA45" i="433"/>
  <c r="AB45" i="433" s="1"/>
  <c r="AC45" i="433" s="1"/>
  <c r="AA50" i="433"/>
  <c r="K55" i="433"/>
  <c r="R55" i="433"/>
  <c r="AA57" i="433"/>
  <c r="R58" i="433"/>
  <c r="AB58" i="433" s="1"/>
  <c r="K59" i="433"/>
  <c r="R59" i="433"/>
  <c r="AB59" i="433" s="1"/>
  <c r="AB60" i="433"/>
  <c r="AC60" i="433" s="1"/>
  <c r="AA62" i="433"/>
  <c r="AA66" i="433"/>
  <c r="R68" i="433"/>
  <c r="AA68" i="433"/>
  <c r="R72" i="433"/>
  <c r="AA72" i="433"/>
  <c r="AA77" i="433"/>
  <c r="K80" i="433"/>
  <c r="AA84" i="433"/>
  <c r="AB84" i="433" s="1"/>
  <c r="AC84" i="433" s="1"/>
  <c r="R88" i="433"/>
  <c r="AA88" i="433"/>
  <c r="AA92" i="433"/>
  <c r="R93" i="433"/>
  <c r="AB95" i="433"/>
  <c r="R98" i="433"/>
  <c r="R101" i="433"/>
  <c r="K106" i="433"/>
  <c r="AA106" i="433"/>
  <c r="K110" i="433"/>
  <c r="K111" i="433"/>
  <c r="AA111" i="433"/>
  <c r="K113" i="433"/>
  <c r="K114" i="433"/>
  <c r="K115" i="433"/>
  <c r="AA115" i="433"/>
  <c r="AA122" i="433"/>
  <c r="R127" i="433"/>
  <c r="AB127" i="433" s="1"/>
  <c r="AC127" i="433" s="1"/>
  <c r="R129" i="433"/>
  <c r="AA129" i="433"/>
  <c r="AB132" i="433"/>
  <c r="AC132" i="433" s="1"/>
  <c r="AA134" i="433"/>
  <c r="V142" i="433"/>
  <c r="L146" i="433"/>
  <c r="J142" i="433"/>
  <c r="X142" i="433"/>
  <c r="T142" i="433"/>
  <c r="R157" i="433"/>
  <c r="AA252" i="433"/>
  <c r="AB469" i="433"/>
  <c r="AC469" i="433" s="1"/>
  <c r="AB489" i="433"/>
  <c r="AC489" i="433" s="1"/>
  <c r="M577" i="433"/>
  <c r="M573" i="433" s="1"/>
  <c r="M572" i="433" s="1"/>
  <c r="AA162" i="433"/>
  <c r="K163" i="433"/>
  <c r="AA166" i="433"/>
  <c r="K167" i="433"/>
  <c r="K169" i="433"/>
  <c r="K173" i="433"/>
  <c r="K178" i="433"/>
  <c r="R183" i="433"/>
  <c r="K188" i="433"/>
  <c r="G191" i="433"/>
  <c r="R193" i="433"/>
  <c r="P191" i="433"/>
  <c r="K206" i="433"/>
  <c r="AB213" i="433"/>
  <c r="AC213" i="433" s="1"/>
  <c r="K226" i="433"/>
  <c r="R240" i="433"/>
  <c r="R244" i="433"/>
  <c r="AB244" i="433" s="1"/>
  <c r="AC244" i="433" s="1"/>
  <c r="R247" i="433"/>
  <c r="AB255" i="433"/>
  <c r="AC255" i="433" s="1"/>
  <c r="K261" i="433"/>
  <c r="AC261" i="433" s="1"/>
  <c r="AA265" i="433"/>
  <c r="K267" i="433"/>
  <c r="K270" i="433"/>
  <c r="R272" i="433"/>
  <c r="AB273" i="433"/>
  <c r="K276" i="433"/>
  <c r="R279" i="433"/>
  <c r="K281" i="433"/>
  <c r="R282" i="433"/>
  <c r="AB283" i="433"/>
  <c r="AC283" i="433" s="1"/>
  <c r="K284" i="433"/>
  <c r="AA287" i="433"/>
  <c r="AC319" i="433"/>
  <c r="AC328" i="433"/>
  <c r="AC334" i="433"/>
  <c r="R338" i="433"/>
  <c r="AC339" i="433"/>
  <c r="K342" i="433"/>
  <c r="AC345" i="433"/>
  <c r="O341" i="433"/>
  <c r="O340" i="433" s="1"/>
  <c r="AC348" i="433"/>
  <c r="AC351" i="433"/>
  <c r="AA354" i="433"/>
  <c r="AC369" i="433"/>
  <c r="AC370" i="433"/>
  <c r="AC385" i="433"/>
  <c r="AC386" i="433"/>
  <c r="K403" i="433"/>
  <c r="AC409" i="433"/>
  <c r="AC413" i="433"/>
  <c r="AC415" i="433"/>
  <c r="AC419" i="433"/>
  <c r="AC423" i="433"/>
  <c r="AC427" i="433"/>
  <c r="AB431" i="433"/>
  <c r="AC431" i="433" s="1"/>
  <c r="AB435" i="433"/>
  <c r="AC435" i="433" s="1"/>
  <c r="AB439" i="433"/>
  <c r="AC439" i="433" s="1"/>
  <c r="AC443" i="433"/>
  <c r="AC447" i="433"/>
  <c r="AC451" i="433"/>
  <c r="R455" i="433"/>
  <c r="AB455" i="433" s="1"/>
  <c r="AC455" i="433" s="1"/>
  <c r="AC457" i="433"/>
  <c r="T461" i="433"/>
  <c r="X461" i="433"/>
  <c r="AC463" i="433"/>
  <c r="AC465" i="433"/>
  <c r="R471" i="433"/>
  <c r="P461" i="433"/>
  <c r="P341" i="433" s="1"/>
  <c r="P340" i="433" s="1"/>
  <c r="AB478" i="433"/>
  <c r="AC478" i="433" s="1"/>
  <c r="R482" i="433"/>
  <c r="AC484" i="433"/>
  <c r="R490" i="433"/>
  <c r="AB494" i="433"/>
  <c r="AC494" i="433" s="1"/>
  <c r="AB496" i="433"/>
  <c r="AC496" i="433" s="1"/>
  <c r="K501" i="433"/>
  <c r="K503" i="433"/>
  <c r="R507" i="433"/>
  <c r="R519" i="433"/>
  <c r="R521" i="433"/>
  <c r="AB521" i="433" s="1"/>
  <c r="K525" i="433"/>
  <c r="K527" i="433"/>
  <c r="R531" i="433"/>
  <c r="R533" i="433"/>
  <c r="R535" i="433"/>
  <c r="R537" i="433"/>
  <c r="R539" i="433"/>
  <c r="R541" i="433"/>
  <c r="R543" i="433"/>
  <c r="R545" i="433"/>
  <c r="AB545" i="433" s="1"/>
  <c r="AC545" i="433" s="1"/>
  <c r="R547" i="433"/>
  <c r="R549" i="433"/>
  <c r="R551" i="433"/>
  <c r="R553" i="433"/>
  <c r="AB562" i="433"/>
  <c r="AB564" i="433"/>
  <c r="AC564" i="433" s="1"/>
  <c r="Q566" i="433"/>
  <c r="G671" i="433"/>
  <c r="G670" i="433" s="1"/>
  <c r="G669" i="433" s="1"/>
  <c r="G668" i="433" s="1"/>
  <c r="G667" i="433" s="1"/>
  <c r="M671" i="433"/>
  <c r="M670" i="433" s="1"/>
  <c r="M669" i="433" s="1"/>
  <c r="M668" i="433" s="1"/>
  <c r="M667" i="433" s="1"/>
  <c r="Q671" i="433"/>
  <c r="Q670" i="433" s="1"/>
  <c r="Q669" i="433" s="1"/>
  <c r="Q668" i="433" s="1"/>
  <c r="Q667" i="433" s="1"/>
  <c r="V671" i="433"/>
  <c r="V670" i="433" s="1"/>
  <c r="V669" i="433" s="1"/>
  <c r="V668" i="433" s="1"/>
  <c r="V667" i="433" s="1"/>
  <c r="AC776" i="433"/>
  <c r="S790" i="433"/>
  <c r="AA791" i="433"/>
  <c r="D796" i="433"/>
  <c r="S819" i="433"/>
  <c r="J843" i="433"/>
  <c r="J842" i="433" s="1"/>
  <c r="O843" i="433"/>
  <c r="AA899" i="433"/>
  <c r="K164" i="433"/>
  <c r="R169" i="433"/>
  <c r="AB169" i="433" s="1"/>
  <c r="AC169" i="433" s="1"/>
  <c r="R171" i="433"/>
  <c r="R173" i="433"/>
  <c r="R176" i="433"/>
  <c r="R178" i="433"/>
  <c r="AB178" i="433" s="1"/>
  <c r="AC178" i="433" s="1"/>
  <c r="R180" i="433"/>
  <c r="R186" i="433"/>
  <c r="R188" i="433"/>
  <c r="R190" i="433"/>
  <c r="K207" i="433"/>
  <c r="K211" i="433"/>
  <c r="AB217" i="433"/>
  <c r="AB228" i="433"/>
  <c r="K230" i="433"/>
  <c r="AA236" i="433"/>
  <c r="K237" i="433"/>
  <c r="R237" i="433"/>
  <c r="K238" i="433"/>
  <c r="AA239" i="433"/>
  <c r="AB239" i="433" s="1"/>
  <c r="AA240" i="433"/>
  <c r="R241" i="433"/>
  <c r="AB241" i="433" s="1"/>
  <c r="AA241" i="433"/>
  <c r="K242" i="433"/>
  <c r="AA244" i="433"/>
  <c r="AA246" i="433"/>
  <c r="AB257" i="433"/>
  <c r="AC257" i="433" s="1"/>
  <c r="K262" i="433"/>
  <c r="AB264" i="433"/>
  <c r="AC264" i="433" s="1"/>
  <c r="K266" i="433"/>
  <c r="AA266" i="433"/>
  <c r="AA272" i="433"/>
  <c r="K274" i="433"/>
  <c r="K275" i="433"/>
  <c r="AA275" i="433"/>
  <c r="AA278" i="433"/>
  <c r="K280" i="433"/>
  <c r="AA282" i="433"/>
  <c r="AB282" i="433" s="1"/>
  <c r="AC282" i="433" s="1"/>
  <c r="R284" i="433"/>
  <c r="AB285" i="433"/>
  <c r="R286" i="433"/>
  <c r="AB286" i="433" s="1"/>
  <c r="AB291" i="433"/>
  <c r="AB292" i="433"/>
  <c r="AB307" i="433"/>
  <c r="K338" i="433"/>
  <c r="I341" i="433"/>
  <c r="I340" i="433" s="1"/>
  <c r="AA342" i="433"/>
  <c r="G346" i="433"/>
  <c r="G341" i="433" s="1"/>
  <c r="G340" i="433" s="1"/>
  <c r="R349" i="433"/>
  <c r="AA349" i="433"/>
  <c r="R352" i="433"/>
  <c r="AB353" i="433"/>
  <c r="AC353" i="433" s="1"/>
  <c r="AC356" i="433"/>
  <c r="AB365" i="433"/>
  <c r="AC365" i="433" s="1"/>
  <c r="AB366" i="433"/>
  <c r="AC366" i="433" s="1"/>
  <c r="AB381" i="433"/>
  <c r="AC381" i="433" s="1"/>
  <c r="AB382" i="433"/>
  <c r="AC382" i="433" s="1"/>
  <c r="AB397" i="433"/>
  <c r="AC397" i="433" s="1"/>
  <c r="AB398" i="433"/>
  <c r="AC398" i="433" s="1"/>
  <c r="R403" i="433"/>
  <c r="AA403" i="433"/>
  <c r="R406" i="433"/>
  <c r="AB406" i="433" s="1"/>
  <c r="AB408" i="433"/>
  <c r="AC408" i="433" s="1"/>
  <c r="AB412" i="433"/>
  <c r="AC412" i="433" s="1"/>
  <c r="AB418" i="433"/>
  <c r="AC418" i="433" s="1"/>
  <c r="AB422" i="433"/>
  <c r="AC422" i="433" s="1"/>
  <c r="AB426" i="433"/>
  <c r="AC426" i="433" s="1"/>
  <c r="AB430" i="433"/>
  <c r="AC430" i="433" s="1"/>
  <c r="AB434" i="433"/>
  <c r="AC434" i="433" s="1"/>
  <c r="AB438" i="433"/>
  <c r="AC438" i="433" s="1"/>
  <c r="AB442" i="433"/>
  <c r="AC442" i="433" s="1"/>
  <c r="AB446" i="433"/>
  <c r="AC446" i="433" s="1"/>
  <c r="AB450" i="433"/>
  <c r="AC450" i="433" s="1"/>
  <c r="AB454" i="433"/>
  <c r="AC454" i="433" s="1"/>
  <c r="AB456" i="433"/>
  <c r="AC456" i="433" s="1"/>
  <c r="AB460" i="433"/>
  <c r="AC460" i="433" s="1"/>
  <c r="R462" i="433"/>
  <c r="U461" i="433"/>
  <c r="AA461" i="433" s="1"/>
  <c r="Y461" i="433"/>
  <c r="R468" i="433"/>
  <c r="AA468" i="433"/>
  <c r="R477" i="433"/>
  <c r="AB481" i="433"/>
  <c r="AC481" i="433" s="1"/>
  <c r="AB483" i="433"/>
  <c r="AC483" i="433" s="1"/>
  <c r="R487" i="433"/>
  <c r="AA487" i="433"/>
  <c r="R493" i="433"/>
  <c r="R503" i="433"/>
  <c r="R505" i="433"/>
  <c r="AA505" i="433"/>
  <c r="R509" i="433"/>
  <c r="AB516" i="433"/>
  <c r="AC518" i="433"/>
  <c r="AC520" i="433"/>
  <c r="AC522" i="433"/>
  <c r="T577" i="433"/>
  <c r="T573" i="433" s="1"/>
  <c r="T572" i="433" s="1"/>
  <c r="T245" i="433" s="1"/>
  <c r="X577" i="433"/>
  <c r="X573" i="433" s="1"/>
  <c r="X572" i="433" s="1"/>
  <c r="N671" i="433"/>
  <c r="N670" i="433" s="1"/>
  <c r="N669" i="433" s="1"/>
  <c r="N668" i="433" s="1"/>
  <c r="N667" i="433" s="1"/>
  <c r="AB709" i="433"/>
  <c r="AB717" i="433"/>
  <c r="AB168" i="433"/>
  <c r="AC168" i="433" s="1"/>
  <c r="R170" i="433"/>
  <c r="AA170" i="433"/>
  <c r="R172" i="433"/>
  <c r="R174" i="433"/>
  <c r="AA174" i="433"/>
  <c r="R177" i="433"/>
  <c r="R179" i="433"/>
  <c r="AB179" i="433" s="1"/>
  <c r="AA179" i="433"/>
  <c r="R184" i="433"/>
  <c r="AA184" i="433"/>
  <c r="R187" i="433"/>
  <c r="R189" i="433"/>
  <c r="AA189" i="433"/>
  <c r="R202" i="433"/>
  <c r="AB205" i="433"/>
  <c r="AC205" i="433" s="1"/>
  <c r="AB209" i="433"/>
  <c r="AC209" i="433" s="1"/>
  <c r="K224" i="433"/>
  <c r="AA224" i="433"/>
  <c r="AA225" i="433"/>
  <c r="AB225" i="433" s="1"/>
  <c r="AA226" i="433"/>
  <c r="K239" i="433"/>
  <c r="K243" i="433"/>
  <c r="K247" i="433"/>
  <c r="AA247" i="433"/>
  <c r="R249" i="433"/>
  <c r="AB251" i="433"/>
  <c r="AC251" i="433" s="1"/>
  <c r="K253" i="433"/>
  <c r="AA259" i="433"/>
  <c r="AB261" i="433"/>
  <c r="K263" i="433"/>
  <c r="AC263" i="433" s="1"/>
  <c r="K265" i="433"/>
  <c r="AA267" i="433"/>
  <c r="R270" i="433"/>
  <c r="AA276" i="433"/>
  <c r="K279" i="433"/>
  <c r="R280" i="433"/>
  <c r="AA284" i="433"/>
  <c r="K286" i="433"/>
  <c r="K287" i="433"/>
  <c r="AB289" i="433"/>
  <c r="AB295" i="433"/>
  <c r="AC295" i="433" s="1"/>
  <c r="AB310" i="433"/>
  <c r="AB311" i="433"/>
  <c r="AA338" i="433"/>
  <c r="T341" i="433"/>
  <c r="T340" i="433" s="1"/>
  <c r="X341" i="433"/>
  <c r="X340" i="433" s="1"/>
  <c r="AC344" i="433"/>
  <c r="V346" i="433"/>
  <c r="Z346" i="433"/>
  <c r="Z341" i="433" s="1"/>
  <c r="Z340" i="433" s="1"/>
  <c r="AC350" i="433"/>
  <c r="K352" i="433"/>
  <c r="R354" i="433"/>
  <c r="AB355" i="433"/>
  <c r="AC355" i="433" s="1"/>
  <c r="AB361" i="433"/>
  <c r="AC361" i="433" s="1"/>
  <c r="AB362" i="433"/>
  <c r="AC362" i="433" s="1"/>
  <c r="AB377" i="433"/>
  <c r="AC377" i="433" s="1"/>
  <c r="AB378" i="433"/>
  <c r="AC378" i="433" s="1"/>
  <c r="AB393" i="433"/>
  <c r="AC393" i="433" s="1"/>
  <c r="AB394" i="433"/>
  <c r="AC394" i="433" s="1"/>
  <c r="R400" i="433"/>
  <c r="AC404" i="433"/>
  <c r="AC407" i="433"/>
  <c r="AC411" i="433"/>
  <c r="AC417" i="433"/>
  <c r="AC421" i="433"/>
  <c r="AC425" i="433"/>
  <c r="AC429" i="433"/>
  <c r="AC433" i="433"/>
  <c r="AB437" i="433"/>
  <c r="AC437" i="433" s="1"/>
  <c r="AB441" i="433"/>
  <c r="AC441" i="433" s="1"/>
  <c r="AB445" i="433"/>
  <c r="AC445" i="433" s="1"/>
  <c r="AB449" i="433"/>
  <c r="AC449" i="433" s="1"/>
  <c r="AB453" i="433"/>
  <c r="AC453" i="433" s="1"/>
  <c r="AB459" i="433"/>
  <c r="AC459" i="433" s="1"/>
  <c r="H461" i="433"/>
  <c r="H341" i="433" s="1"/>
  <c r="H340" i="433" s="1"/>
  <c r="H245" i="433" s="1"/>
  <c r="M461" i="433"/>
  <c r="R461" i="433" s="1"/>
  <c r="Q461" i="433"/>
  <c r="Q341" i="433" s="1"/>
  <c r="Q340" i="433" s="1"/>
  <c r="V461" i="433"/>
  <c r="Z461" i="433"/>
  <c r="AB467" i="433"/>
  <c r="AC467" i="433" s="1"/>
  <c r="J461" i="433"/>
  <c r="J341" i="433" s="1"/>
  <c r="J340" i="433" s="1"/>
  <c r="AB480" i="433"/>
  <c r="AC480" i="433" s="1"/>
  <c r="AB486" i="433"/>
  <c r="AC486" i="433" s="1"/>
  <c r="AC498" i="433"/>
  <c r="R499" i="433"/>
  <c r="AB502" i="433"/>
  <c r="AC502" i="433" s="1"/>
  <c r="AB504" i="433"/>
  <c r="AC504" i="433" s="1"/>
  <c r="T555" i="433"/>
  <c r="H577" i="433"/>
  <c r="H573" i="433" s="1"/>
  <c r="H572" i="433" s="1"/>
  <c r="L577" i="433"/>
  <c r="P577" i="433"/>
  <c r="P573" i="433" s="1"/>
  <c r="P572" i="433" s="1"/>
  <c r="AC594" i="433"/>
  <c r="U655" i="433"/>
  <c r="U651" i="433" s="1"/>
  <c r="U650" i="433" s="1"/>
  <c r="R778" i="433"/>
  <c r="W796" i="433"/>
  <c r="W789" i="433" s="1"/>
  <c r="W777" i="433" s="1"/>
  <c r="W770" i="433" s="1"/>
  <c r="AA797" i="433"/>
  <c r="R870" i="433"/>
  <c r="L869" i="433"/>
  <c r="AA567" i="433"/>
  <c r="I566" i="433"/>
  <c r="AA570" i="433"/>
  <c r="AA578" i="433"/>
  <c r="W577" i="433"/>
  <c r="W573" i="433" s="1"/>
  <c r="W572" i="433" s="1"/>
  <c r="W245" i="433" s="1"/>
  <c r="R586" i="433"/>
  <c r="R591" i="433"/>
  <c r="AC593" i="433"/>
  <c r="AC596" i="433"/>
  <c r="AC626" i="433"/>
  <c r="R652" i="433"/>
  <c r="W651" i="433"/>
  <c r="W650" i="433" s="1"/>
  <c r="H655" i="433"/>
  <c r="H651" i="433" s="1"/>
  <c r="H650" i="433" s="1"/>
  <c r="I671" i="433"/>
  <c r="I670" i="433" s="1"/>
  <c r="I669" i="433" s="1"/>
  <c r="I668" i="433" s="1"/>
  <c r="I667" i="433" s="1"/>
  <c r="AA673" i="433"/>
  <c r="AC678" i="433"/>
  <c r="T671" i="433"/>
  <c r="T670" i="433" s="1"/>
  <c r="T669" i="433" s="1"/>
  <c r="T668" i="433" s="1"/>
  <c r="T667" i="433" s="1"/>
  <c r="AA683" i="433"/>
  <c r="AA687" i="433"/>
  <c r="K691" i="433"/>
  <c r="AC698" i="433"/>
  <c r="AA701" i="433"/>
  <c r="AC710" i="433"/>
  <c r="AC714" i="433"/>
  <c r="AC718" i="433"/>
  <c r="K775" i="433"/>
  <c r="P789" i="433"/>
  <c r="U789" i="433"/>
  <c r="U777" i="433" s="1"/>
  <c r="U770" i="433" s="1"/>
  <c r="H777" i="433"/>
  <c r="P796" i="433"/>
  <c r="W819" i="433"/>
  <c r="W818" i="433" s="1"/>
  <c r="AA837" i="433"/>
  <c r="S836" i="433"/>
  <c r="AC881" i="433"/>
  <c r="V889" i="433"/>
  <c r="Y889" i="433"/>
  <c r="R511" i="433"/>
  <c r="R513" i="433"/>
  <c r="AA513" i="433"/>
  <c r="R517" i="433"/>
  <c r="R527" i="433"/>
  <c r="R529" i="433"/>
  <c r="AA529" i="433"/>
  <c r="K533" i="433"/>
  <c r="K535" i="433"/>
  <c r="K537" i="433"/>
  <c r="K539" i="433"/>
  <c r="K541" i="433"/>
  <c r="K543" i="433"/>
  <c r="K545" i="433"/>
  <c r="K547" i="433"/>
  <c r="K549" i="433"/>
  <c r="K551" i="433"/>
  <c r="K553" i="433"/>
  <c r="I555" i="433"/>
  <c r="N555" i="433"/>
  <c r="AA556" i="433"/>
  <c r="K558" i="433"/>
  <c r="K563" i="433"/>
  <c r="AB568" i="433"/>
  <c r="AC568" i="433" s="1"/>
  <c r="AB571" i="433"/>
  <c r="AC571" i="433" s="1"/>
  <c r="AB576" i="433"/>
  <c r="AC576" i="433" s="1"/>
  <c r="O577" i="433"/>
  <c r="O573" i="433" s="1"/>
  <c r="O572" i="433" s="1"/>
  <c r="R580" i="433"/>
  <c r="K582" i="433"/>
  <c r="Q577" i="433"/>
  <c r="Q573" i="433" s="1"/>
  <c r="Q572" i="433" s="1"/>
  <c r="AB595" i="433"/>
  <c r="AC595" i="433" s="1"/>
  <c r="AC598" i="433"/>
  <c r="AB648" i="433"/>
  <c r="AC648" i="433" s="1"/>
  <c r="AB649" i="433"/>
  <c r="K652" i="433"/>
  <c r="J655" i="433"/>
  <c r="J651" i="433" s="1"/>
  <c r="J650" i="433" s="1"/>
  <c r="O655" i="433"/>
  <c r="O651" i="433" s="1"/>
  <c r="O650" i="433" s="1"/>
  <c r="AB674" i="433"/>
  <c r="AC674" i="433" s="1"/>
  <c r="R677" i="433"/>
  <c r="AB677" i="433" s="1"/>
  <c r="AC677" i="433" s="1"/>
  <c r="R679" i="433"/>
  <c r="R681" i="433"/>
  <c r="AB681" i="433" s="1"/>
  <c r="AB682" i="433"/>
  <c r="AC682" i="433" s="1"/>
  <c r="AB684" i="433"/>
  <c r="AC684" i="433" s="1"/>
  <c r="AB686" i="433"/>
  <c r="AB688" i="433"/>
  <c r="AC688" i="433" s="1"/>
  <c r="N693" i="433"/>
  <c r="S693" i="433"/>
  <c r="AA693" i="433" s="1"/>
  <c r="W693" i="433"/>
  <c r="W671" i="433" s="1"/>
  <c r="W670" i="433" s="1"/>
  <c r="W669" i="433" s="1"/>
  <c r="W668" i="433" s="1"/>
  <c r="W667" i="433" s="1"/>
  <c r="K697" i="433"/>
  <c r="R699" i="433"/>
  <c r="AB700" i="433"/>
  <c r="AC700" i="433" s="1"/>
  <c r="R709" i="433"/>
  <c r="R711" i="433"/>
  <c r="R713" i="433"/>
  <c r="AB713" i="433" s="1"/>
  <c r="AC713" i="433" s="1"/>
  <c r="R715" i="433"/>
  <c r="R717" i="433"/>
  <c r="R719" i="433"/>
  <c r="AB726" i="433"/>
  <c r="AC726" i="433" s="1"/>
  <c r="AB734" i="433"/>
  <c r="AC734" i="433" s="1"/>
  <c r="AB742" i="433"/>
  <c r="AC742" i="433" s="1"/>
  <c r="AB750" i="433"/>
  <c r="AC750" i="433" s="1"/>
  <c r="AB758" i="433"/>
  <c r="AC758" i="433" s="1"/>
  <c r="K781" i="433"/>
  <c r="AA781" i="433"/>
  <c r="U796" i="433"/>
  <c r="K800" i="433"/>
  <c r="J796" i="433"/>
  <c r="J789" i="433" s="1"/>
  <c r="J777" i="433" s="1"/>
  <c r="J770" i="433" s="1"/>
  <c r="O796" i="433"/>
  <c r="O789" i="433" s="1"/>
  <c r="O777" i="433" s="1"/>
  <c r="O770" i="433" s="1"/>
  <c r="X796" i="433"/>
  <c r="X789" i="433" s="1"/>
  <c r="X777" i="433" s="1"/>
  <c r="X770" i="433" s="1"/>
  <c r="AC801" i="433"/>
  <c r="R813" i="433"/>
  <c r="R816" i="433"/>
  <c r="AC828" i="433"/>
  <c r="AC829" i="433"/>
  <c r="AB847" i="433"/>
  <c r="AC847" i="433" s="1"/>
  <c r="F843" i="433"/>
  <c r="I1004" i="433"/>
  <c r="I995" i="433" s="1"/>
  <c r="I1017" i="433" s="1"/>
  <c r="N1004" i="433"/>
  <c r="N995" i="433" s="1"/>
  <c r="N1017" i="433" s="1"/>
  <c r="W1004" i="433"/>
  <c r="W995" i="433" s="1"/>
  <c r="W1017" i="433" s="1"/>
  <c r="AC1013" i="433"/>
  <c r="J1004" i="433"/>
  <c r="J995" i="433" s="1"/>
  <c r="J1017" i="433" s="1"/>
  <c r="AC1015" i="433"/>
  <c r="R523" i="433"/>
  <c r="AB523" i="433" s="1"/>
  <c r="AB526" i="433"/>
  <c r="AC526" i="433" s="1"/>
  <c r="AB528" i="433"/>
  <c r="AC528" i="433" s="1"/>
  <c r="AA533" i="433"/>
  <c r="AB533" i="433" s="1"/>
  <c r="AA541" i="433"/>
  <c r="AB541" i="433" s="1"/>
  <c r="AC541" i="433" s="1"/>
  <c r="AA549" i="433"/>
  <c r="AB549" i="433" s="1"/>
  <c r="F555" i="433"/>
  <c r="F341" i="433" s="1"/>
  <c r="F340" i="433" s="1"/>
  <c r="J555" i="433"/>
  <c r="R558" i="433"/>
  <c r="AB558" i="433" s="1"/>
  <c r="AC558" i="433" s="1"/>
  <c r="AA558" i="433"/>
  <c r="AA563" i="433"/>
  <c r="AB563" i="433" s="1"/>
  <c r="K570" i="433"/>
  <c r="U566" i="433"/>
  <c r="Y566" i="433"/>
  <c r="AB574" i="433"/>
  <c r="AC574" i="433" s="1"/>
  <c r="G577" i="433"/>
  <c r="G573" i="433" s="1"/>
  <c r="G572" i="433" s="1"/>
  <c r="R578" i="433"/>
  <c r="F577" i="433"/>
  <c r="F573" i="433" s="1"/>
  <c r="F572" i="433" s="1"/>
  <c r="J577" i="433"/>
  <c r="J573" i="433" s="1"/>
  <c r="J572" i="433" s="1"/>
  <c r="R582" i="433"/>
  <c r="AA591" i="433"/>
  <c r="AB591" i="433" s="1"/>
  <c r="AB597" i="433"/>
  <c r="AC597" i="433" s="1"/>
  <c r="AC617" i="433"/>
  <c r="AC619" i="433"/>
  <c r="AC621" i="433"/>
  <c r="AC630" i="433"/>
  <c r="AC632" i="433"/>
  <c r="AC635" i="433"/>
  <c r="AB640" i="433"/>
  <c r="AB642" i="433"/>
  <c r="AB643" i="433"/>
  <c r="AB645" i="433"/>
  <c r="AB646" i="433"/>
  <c r="AC646" i="433" s="1"/>
  <c r="AB654" i="433"/>
  <c r="AC654" i="433" s="1"/>
  <c r="G655" i="433"/>
  <c r="G651" i="433" s="1"/>
  <c r="G650" i="433" s="1"/>
  <c r="AB658" i="433"/>
  <c r="AC658" i="433" s="1"/>
  <c r="AB660" i="433"/>
  <c r="AC660" i="433" s="1"/>
  <c r="U671" i="433"/>
  <c r="U670" i="433" s="1"/>
  <c r="U669" i="433" s="1"/>
  <c r="U668" i="433" s="1"/>
  <c r="U667" i="433" s="1"/>
  <c r="Y671" i="433"/>
  <c r="Y670" i="433" s="1"/>
  <c r="Y669" i="433" s="1"/>
  <c r="Y668" i="433" s="1"/>
  <c r="Y667" i="433" s="1"/>
  <c r="K677" i="433"/>
  <c r="K679" i="433"/>
  <c r="K681" i="433"/>
  <c r="R683" i="433"/>
  <c r="R685" i="433"/>
  <c r="R687" i="433"/>
  <c r="R689" i="433"/>
  <c r="AB690" i="433"/>
  <c r="AC690" i="433" s="1"/>
  <c r="J693" i="433"/>
  <c r="J671" i="433" s="1"/>
  <c r="J670" i="433" s="1"/>
  <c r="J669" i="433" s="1"/>
  <c r="J668" i="433" s="1"/>
  <c r="J667" i="433" s="1"/>
  <c r="O693" i="433"/>
  <c r="O671" i="433" s="1"/>
  <c r="O670" i="433" s="1"/>
  <c r="O669" i="433" s="1"/>
  <c r="O668" i="433" s="1"/>
  <c r="O667" i="433" s="1"/>
  <c r="AA697" i="433"/>
  <c r="K699" i="433"/>
  <c r="R701" i="433"/>
  <c r="AB701" i="433" s="1"/>
  <c r="AC701" i="433" s="1"/>
  <c r="AB702" i="433"/>
  <c r="AC702" i="433" s="1"/>
  <c r="AB704" i="433"/>
  <c r="AC704" i="433" s="1"/>
  <c r="K709" i="433"/>
  <c r="K711" i="433"/>
  <c r="K713" i="433"/>
  <c r="K715" i="433"/>
  <c r="K717" i="433"/>
  <c r="K719" i="433"/>
  <c r="AB724" i="433"/>
  <c r="AB732" i="433"/>
  <c r="AB740" i="433"/>
  <c r="AC740" i="433" s="1"/>
  <c r="AB748" i="433"/>
  <c r="AC748" i="433" s="1"/>
  <c r="AB756" i="433"/>
  <c r="AB764" i="433"/>
  <c r="AB773" i="433"/>
  <c r="AC773" i="433" s="1"/>
  <c r="AA783" i="433"/>
  <c r="AB783" i="433" s="1"/>
  <c r="K794" i="433"/>
  <c r="I789" i="433"/>
  <c r="AA794" i="433"/>
  <c r="K805" i="433"/>
  <c r="AC806" i="433"/>
  <c r="R811" i="433"/>
  <c r="N808" i="433"/>
  <c r="N807" i="433" s="1"/>
  <c r="R807" i="433" s="1"/>
  <c r="AB807" i="433" s="1"/>
  <c r="AA833" i="433"/>
  <c r="U835" i="433"/>
  <c r="Y835" i="433"/>
  <c r="AB846" i="433"/>
  <c r="AC846" i="433" s="1"/>
  <c r="Z843" i="433"/>
  <c r="Z842" i="433" s="1"/>
  <c r="Z835" i="433" s="1"/>
  <c r="R857" i="433"/>
  <c r="AA857" i="433"/>
  <c r="AC863" i="433"/>
  <c r="AC940" i="433"/>
  <c r="AB943" i="433"/>
  <c r="AC943" i="433" s="1"/>
  <c r="AB947" i="433"/>
  <c r="AC947" i="433" s="1"/>
  <c r="AB951" i="433"/>
  <c r="AC951" i="433" s="1"/>
  <c r="AB955" i="433"/>
  <c r="AC955" i="433" s="1"/>
  <c r="AB959" i="433"/>
  <c r="AC959" i="433" s="1"/>
  <c r="K963" i="433"/>
  <c r="AB982" i="433"/>
  <c r="F1004" i="433"/>
  <c r="F995" i="433" s="1"/>
  <c r="F1017" i="433" s="1"/>
  <c r="O1004" i="433"/>
  <c r="O995" i="433" s="1"/>
  <c r="O1017" i="433" s="1"/>
  <c r="X1004" i="433"/>
  <c r="X995" i="433" s="1"/>
  <c r="X1017" i="433" s="1"/>
  <c r="AC1008" i="433"/>
  <c r="AB795" i="433"/>
  <c r="AC795" i="433" s="1"/>
  <c r="AB803" i="433"/>
  <c r="AB804" i="433"/>
  <c r="AC804" i="433" s="1"/>
  <c r="AC809" i="433"/>
  <c r="AB815" i="433"/>
  <c r="AC815" i="433" s="1"/>
  <c r="AB817" i="433"/>
  <c r="AC817" i="433" s="1"/>
  <c r="T819" i="433"/>
  <c r="T818" i="433" s="1"/>
  <c r="X819" i="433"/>
  <c r="X818" i="433" s="1"/>
  <c r="AB821" i="433"/>
  <c r="AB823" i="433"/>
  <c r="AC823" i="433" s="1"/>
  <c r="K826" i="433"/>
  <c r="AB830" i="433"/>
  <c r="AC830" i="433" s="1"/>
  <c r="AB834" i="433"/>
  <c r="AC834" i="433" s="1"/>
  <c r="AB839" i="433"/>
  <c r="AC839" i="433" s="1"/>
  <c r="AB850" i="433"/>
  <c r="AC850" i="433" s="1"/>
  <c r="AB856" i="433"/>
  <c r="AC856" i="433" s="1"/>
  <c r="Y873" i="433"/>
  <c r="Y872" i="433" s="1"/>
  <c r="Y824" i="433" s="1"/>
  <c r="G873" i="433"/>
  <c r="G872" i="433" s="1"/>
  <c r="R877" i="433"/>
  <c r="L874" i="433"/>
  <c r="AB878" i="433"/>
  <c r="AC878" i="433" s="1"/>
  <c r="Y905" i="433"/>
  <c r="Y904" i="433" s="1"/>
  <c r="AA912" i="433"/>
  <c r="AC927" i="433"/>
  <c r="AC941" i="433"/>
  <c r="AC945" i="433"/>
  <c r="AC949" i="433"/>
  <c r="AC953" i="433"/>
  <c r="AC957" i="433"/>
  <c r="AA963" i="433"/>
  <c r="AB963" i="433" s="1"/>
  <c r="AC987" i="433"/>
  <c r="AA1000" i="433"/>
  <c r="K1002" i="433"/>
  <c r="R1011" i="433"/>
  <c r="AB1011" i="433" s="1"/>
  <c r="AC1012" i="433"/>
  <c r="G796" i="433"/>
  <c r="G789" i="433" s="1"/>
  <c r="G777" i="433" s="1"/>
  <c r="G770" i="433" s="1"/>
  <c r="AB798" i="433"/>
  <c r="AC798" i="433" s="1"/>
  <c r="AC799" i="433"/>
  <c r="O807" i="433"/>
  <c r="AB810" i="433"/>
  <c r="AC812" i="433"/>
  <c r="V819" i="433"/>
  <c r="V818" i="433" s="1"/>
  <c r="Z819" i="433"/>
  <c r="Z818" i="433" s="1"/>
  <c r="AB827" i="433"/>
  <c r="AC827" i="433" s="1"/>
  <c r="AB841" i="433"/>
  <c r="AC841" i="433" s="1"/>
  <c r="K848" i="433"/>
  <c r="R848" i="433"/>
  <c r="V843" i="433"/>
  <c r="V842" i="433" s="1"/>
  <c r="AB864" i="433"/>
  <c r="AC864" i="433" s="1"/>
  <c r="Q873" i="433"/>
  <c r="Q872" i="433" s="1"/>
  <c r="V873" i="433"/>
  <c r="V872" i="433" s="1"/>
  <c r="AB883" i="433"/>
  <c r="AC886" i="433"/>
  <c r="G891" i="433"/>
  <c r="G890" i="433" s="1"/>
  <c r="AC898" i="433"/>
  <c r="K909" i="433"/>
  <c r="AC919" i="433"/>
  <c r="AB936" i="433"/>
  <c r="AB972" i="433"/>
  <c r="AC972" i="433" s="1"/>
  <c r="AC979" i="433"/>
  <c r="K1009" i="433"/>
  <c r="K1011" i="433"/>
  <c r="AC876" i="433"/>
  <c r="W873" i="433"/>
  <c r="W872" i="433" s="1"/>
  <c r="AB880" i="433"/>
  <c r="AC880" i="433" s="1"/>
  <c r="AC883" i="433"/>
  <c r="R887" i="433"/>
  <c r="AB888" i="433"/>
  <c r="AC888" i="433" s="1"/>
  <c r="O891" i="433"/>
  <c r="O890" i="433" s="1"/>
  <c r="T891" i="433"/>
  <c r="T890" i="433" s="1"/>
  <c r="X891" i="433"/>
  <c r="X890" i="433" s="1"/>
  <c r="AC894" i="433"/>
  <c r="AA895" i="433"/>
  <c r="AB902" i="433"/>
  <c r="AC902" i="433" s="1"/>
  <c r="R907" i="433"/>
  <c r="AB908" i="433"/>
  <c r="AC908" i="433" s="1"/>
  <c r="AB915" i="433"/>
  <c r="AC915" i="433" s="1"/>
  <c r="AB917" i="433"/>
  <c r="AC917" i="433" s="1"/>
  <c r="AB918" i="433"/>
  <c r="AC918" i="433" s="1"/>
  <c r="AB923" i="433"/>
  <c r="AC923" i="433" s="1"/>
  <c r="AB925" i="433"/>
  <c r="AC925" i="433" s="1"/>
  <c r="AB926" i="433"/>
  <c r="AC926" i="433" s="1"/>
  <c r="AB933" i="433"/>
  <c r="AC933" i="433" s="1"/>
  <c r="AB934" i="433"/>
  <c r="AC934" i="433" s="1"/>
  <c r="AB944" i="433"/>
  <c r="AC944" i="433" s="1"/>
  <c r="AB948" i="433"/>
  <c r="AC948" i="433" s="1"/>
  <c r="AB952" i="433"/>
  <c r="AC952" i="433" s="1"/>
  <c r="AB956" i="433"/>
  <c r="AC956" i="433" s="1"/>
  <c r="AB962" i="433"/>
  <c r="AB969" i="433"/>
  <c r="AC969" i="433" s="1"/>
  <c r="AB977" i="433"/>
  <c r="AC977" i="433" s="1"/>
  <c r="AB985" i="433"/>
  <c r="AC985" i="433" s="1"/>
  <c r="K996" i="433"/>
  <c r="K1000" i="433"/>
  <c r="P1004" i="433"/>
  <c r="P995" i="433" s="1"/>
  <c r="P1017" i="433" s="1"/>
  <c r="U1004" i="433"/>
  <c r="U995" i="433" s="1"/>
  <c r="U1017" i="433" s="1"/>
  <c r="Y1004" i="433"/>
  <c r="AB1016" i="433"/>
  <c r="AC1016" i="433" s="1"/>
  <c r="AB15" i="433"/>
  <c r="AC23" i="433"/>
  <c r="AB41" i="433"/>
  <c r="AC41" i="433" s="1"/>
  <c r="AB49" i="433"/>
  <c r="AC49" i="433" s="1"/>
  <c r="AB61" i="433"/>
  <c r="AC61" i="433" s="1"/>
  <c r="AC64" i="433"/>
  <c r="AB71" i="433"/>
  <c r="AC71" i="433" s="1"/>
  <c r="AC83" i="433"/>
  <c r="AB85" i="433"/>
  <c r="AC85" i="433" s="1"/>
  <c r="AA117" i="433"/>
  <c r="AB117" i="433" s="1"/>
  <c r="AC117" i="433" s="1"/>
  <c r="K14" i="433"/>
  <c r="H13" i="433"/>
  <c r="AB17" i="433"/>
  <c r="AC17" i="433" s="1"/>
  <c r="AB24" i="433"/>
  <c r="AC24" i="433" s="1"/>
  <c r="AB28" i="433"/>
  <c r="AC28" i="433" s="1"/>
  <c r="W30" i="433"/>
  <c r="W13" i="433" s="1"/>
  <c r="AB36" i="433"/>
  <c r="AC37" i="433"/>
  <c r="AB56" i="433"/>
  <c r="AC56" i="433" s="1"/>
  <c r="AB57" i="433"/>
  <c r="AC57" i="433" s="1"/>
  <c r="AC67" i="433"/>
  <c r="AB99" i="433"/>
  <c r="F13" i="433"/>
  <c r="AB20" i="433"/>
  <c r="AC20" i="433" s="1"/>
  <c r="AB42" i="433"/>
  <c r="AC47" i="433"/>
  <c r="AB50" i="433"/>
  <c r="AC50" i="433" s="1"/>
  <c r="AC53" i="433"/>
  <c r="AB62" i="433"/>
  <c r="AC62" i="433" s="1"/>
  <c r="AC63" i="433"/>
  <c r="AB66" i="433"/>
  <c r="AC66" i="433" s="1"/>
  <c r="AC73" i="433"/>
  <c r="AB103" i="433"/>
  <c r="AC103" i="433" s="1"/>
  <c r="AB107" i="433"/>
  <c r="AC107" i="433" s="1"/>
  <c r="AC114" i="433"/>
  <c r="AB125" i="433"/>
  <c r="AC125" i="433" s="1"/>
  <c r="AC26" i="433"/>
  <c r="AC34" i="433"/>
  <c r="AC58" i="433"/>
  <c r="AC59" i="433"/>
  <c r="AC18" i="433"/>
  <c r="AC74" i="433"/>
  <c r="K15" i="433"/>
  <c r="K31" i="433"/>
  <c r="AC31" i="433" s="1"/>
  <c r="S14" i="433"/>
  <c r="G52" i="433"/>
  <c r="G30" i="433" s="1"/>
  <c r="S52" i="433"/>
  <c r="AA52" i="433" s="1"/>
  <c r="R77" i="433"/>
  <c r="AB77" i="433" s="1"/>
  <c r="S80" i="433"/>
  <c r="L80" i="433"/>
  <c r="P80" i="433"/>
  <c r="P79" i="433" s="1"/>
  <c r="P30" i="433" s="1"/>
  <c r="P13" i="433" s="1"/>
  <c r="AA89" i="433"/>
  <c r="AB89" i="433" s="1"/>
  <c r="K91" i="433"/>
  <c r="R96" i="433"/>
  <c r="AB96" i="433" s="1"/>
  <c r="R113" i="433"/>
  <c r="AB113" i="433" s="1"/>
  <c r="AC113" i="433" s="1"/>
  <c r="R122" i="433"/>
  <c r="AB122" i="433" s="1"/>
  <c r="K124" i="433"/>
  <c r="R128" i="433"/>
  <c r="AB128" i="433" s="1"/>
  <c r="AC128" i="433" s="1"/>
  <c r="AA135" i="433"/>
  <c r="AB135" i="433" s="1"/>
  <c r="AC135" i="433" s="1"/>
  <c r="AC137" i="433"/>
  <c r="AA138" i="433"/>
  <c r="AB138" i="433" s="1"/>
  <c r="AC138" i="433" s="1"/>
  <c r="K140" i="433"/>
  <c r="G142" i="433"/>
  <c r="L152" i="433"/>
  <c r="K153" i="433"/>
  <c r="D152" i="433"/>
  <c r="K156" i="433"/>
  <c r="AC156" i="433" s="1"/>
  <c r="AA160" i="433"/>
  <c r="AB160" i="433" s="1"/>
  <c r="AC160" i="433" s="1"/>
  <c r="R162" i="433"/>
  <c r="AB162" i="433" s="1"/>
  <c r="AA165" i="433"/>
  <c r="AB165" i="433" s="1"/>
  <c r="AC165" i="433" s="1"/>
  <c r="R182" i="433"/>
  <c r="K183" i="433"/>
  <c r="D182" i="433"/>
  <c r="F191" i="433"/>
  <c r="F142" i="433" s="1"/>
  <c r="R192" i="433"/>
  <c r="L14" i="433"/>
  <c r="L52" i="433"/>
  <c r="N80" i="433"/>
  <c r="N79" i="433" s="1"/>
  <c r="N30" i="433" s="1"/>
  <c r="N13" i="433" s="1"/>
  <c r="K90" i="433"/>
  <c r="F93" i="433"/>
  <c r="F30" i="433" s="1"/>
  <c r="K96" i="433"/>
  <c r="AA97" i="433"/>
  <c r="AB97" i="433" s="1"/>
  <c r="K99" i="433"/>
  <c r="K101" i="433"/>
  <c r="R105" i="433"/>
  <c r="AB105" i="433" s="1"/>
  <c r="AC105" i="433" s="1"/>
  <c r="AA119" i="433"/>
  <c r="K122" i="433"/>
  <c r="AA124" i="433"/>
  <c r="AB124" i="433" s="1"/>
  <c r="K128" i="433"/>
  <c r="AA140" i="433"/>
  <c r="K145" i="433"/>
  <c r="K147" i="433"/>
  <c r="AC147" i="433" s="1"/>
  <c r="D146" i="433"/>
  <c r="AA153" i="433"/>
  <c r="AB153" i="433" s="1"/>
  <c r="AC153" i="433" s="1"/>
  <c r="AC154" i="433"/>
  <c r="AA157" i="433"/>
  <c r="AB157" i="433" s="1"/>
  <c r="R75" i="433"/>
  <c r="AB75" i="433" s="1"/>
  <c r="AC75" i="433" s="1"/>
  <c r="K89" i="433"/>
  <c r="AB100" i="433"/>
  <c r="M142" i="433"/>
  <c r="W142" i="433"/>
  <c r="AB171" i="433"/>
  <c r="R92" i="433"/>
  <c r="AB92" i="433" s="1"/>
  <c r="AC92" i="433" s="1"/>
  <c r="AA93" i="433"/>
  <c r="AB93" i="433" s="1"/>
  <c r="AA94" i="433"/>
  <c r="AB94" i="433" s="1"/>
  <c r="AC94" i="433" s="1"/>
  <c r="AB98" i="433"/>
  <c r="AA101" i="433"/>
  <c r="AB101" i="433" s="1"/>
  <c r="AA112" i="433"/>
  <c r="AB112" i="433" s="1"/>
  <c r="AC112" i="433" s="1"/>
  <c r="AA130" i="433"/>
  <c r="AB130" i="433" s="1"/>
  <c r="AA139" i="433"/>
  <c r="AB139" i="433" s="1"/>
  <c r="AC144" i="433"/>
  <c r="AA145" i="433"/>
  <c r="AB145" i="433" s="1"/>
  <c r="O142" i="433"/>
  <c r="O12" i="433" s="1"/>
  <c r="AB193" i="433"/>
  <c r="AC193" i="433" s="1"/>
  <c r="AA206" i="433"/>
  <c r="K81" i="433"/>
  <c r="AA81" i="433"/>
  <c r="AB81" i="433" s="1"/>
  <c r="AC81" i="433" s="1"/>
  <c r="AA91" i="433"/>
  <c r="AB91" i="433" s="1"/>
  <c r="AC91" i="433" s="1"/>
  <c r="AA99" i="433"/>
  <c r="AB102" i="433"/>
  <c r="AC102" i="433" s="1"/>
  <c r="R111" i="433"/>
  <c r="AB111" i="433" s="1"/>
  <c r="AC111" i="433" s="1"/>
  <c r="R115" i="433"/>
  <c r="AB115" i="433" s="1"/>
  <c r="AC115" i="433" s="1"/>
  <c r="Y117" i="433"/>
  <c r="AA116" i="433"/>
  <c r="AB116" i="433" s="1"/>
  <c r="AC116" i="433" s="1"/>
  <c r="AA120" i="433"/>
  <c r="AB120" i="433" s="1"/>
  <c r="AC120" i="433" s="1"/>
  <c r="K130" i="433"/>
  <c r="K134" i="433"/>
  <c r="AA136" i="433"/>
  <c r="AB136" i="433" s="1"/>
  <c r="AC136" i="433" s="1"/>
  <c r="K139" i="433"/>
  <c r="AA141" i="433"/>
  <c r="AB141" i="433" s="1"/>
  <c r="AC141" i="433" s="1"/>
  <c r="AA155" i="433"/>
  <c r="AB155" i="433" s="1"/>
  <c r="K157" i="433"/>
  <c r="AA159" i="433"/>
  <c r="K162" i="433"/>
  <c r="AA164" i="433"/>
  <c r="AB164" i="433" s="1"/>
  <c r="K166" i="433"/>
  <c r="AA169" i="433"/>
  <c r="K171" i="433"/>
  <c r="AA173" i="433"/>
  <c r="AB173" i="433" s="1"/>
  <c r="K176" i="433"/>
  <c r="AA178" i="433"/>
  <c r="K180" i="433"/>
  <c r="L181" i="433"/>
  <c r="R181" i="433" s="1"/>
  <c r="K186" i="433"/>
  <c r="AA188" i="433"/>
  <c r="AB188" i="433" s="1"/>
  <c r="AC188" i="433" s="1"/>
  <c r="K190" i="433"/>
  <c r="M191" i="433"/>
  <c r="K193" i="433"/>
  <c r="L200" i="433"/>
  <c r="R200" i="433" s="1"/>
  <c r="AB200" i="433" s="1"/>
  <c r="AA201" i="433"/>
  <c r="AB201" i="433" s="1"/>
  <c r="AB204" i="433"/>
  <c r="AC204" i="433" s="1"/>
  <c r="K227" i="433"/>
  <c r="R236" i="433"/>
  <c r="AB236" i="433" s="1"/>
  <c r="AC236" i="433" s="1"/>
  <c r="AB247" i="433"/>
  <c r="K249" i="433"/>
  <c r="R258" i="433"/>
  <c r="AA253" i="433"/>
  <c r="AA258" i="433"/>
  <c r="R259" i="433"/>
  <c r="AB259" i="433" s="1"/>
  <c r="AC259" i="433" s="1"/>
  <c r="R268" i="433"/>
  <c r="AB268" i="433" s="1"/>
  <c r="AC268" i="433" s="1"/>
  <c r="AA270" i="433"/>
  <c r="AB270" i="433" s="1"/>
  <c r="AB272" i="433"/>
  <c r="AC272" i="433" s="1"/>
  <c r="R281" i="433"/>
  <c r="AB284" i="433"/>
  <c r="AA163" i="433"/>
  <c r="AB163" i="433" s="1"/>
  <c r="AC163" i="433" s="1"/>
  <c r="K165" i="433"/>
  <c r="AA167" i="433"/>
  <c r="AB167" i="433" s="1"/>
  <c r="AC167" i="433" s="1"/>
  <c r="K170" i="433"/>
  <c r="AA172" i="433"/>
  <c r="AB172" i="433" s="1"/>
  <c r="AC172" i="433" s="1"/>
  <c r="K174" i="433"/>
  <c r="AA177" i="433"/>
  <c r="AB177" i="433" s="1"/>
  <c r="AC177" i="433" s="1"/>
  <c r="K179" i="433"/>
  <c r="K184" i="433"/>
  <c r="AA187" i="433"/>
  <c r="K189" i="433"/>
  <c r="K192" i="433"/>
  <c r="I191" i="433"/>
  <c r="I142" i="433" s="1"/>
  <c r="I12" i="433" s="1"/>
  <c r="Y191" i="433"/>
  <c r="Y142" i="433" s="1"/>
  <c r="Y12" i="433" s="1"/>
  <c r="D201" i="433"/>
  <c r="AA202" i="433"/>
  <c r="AB202" i="433" s="1"/>
  <c r="AC202" i="433" s="1"/>
  <c r="R207" i="433"/>
  <c r="AB208" i="433"/>
  <c r="AC208" i="433" s="1"/>
  <c r="AA211" i="433"/>
  <c r="AB211" i="433" s="1"/>
  <c r="AC211" i="433" s="1"/>
  <c r="AB214" i="433"/>
  <c r="AC214" i="433" s="1"/>
  <c r="R216" i="433"/>
  <c r="AA233" i="433"/>
  <c r="AB233" i="433" s="1"/>
  <c r="AC233" i="433" s="1"/>
  <c r="K235" i="433"/>
  <c r="R238" i="433"/>
  <c r="AA242" i="433"/>
  <c r="AB242" i="433" s="1"/>
  <c r="AC242" i="433" s="1"/>
  <c r="AB254" i="433"/>
  <c r="AC254" i="433" s="1"/>
  <c r="AB269" i="433"/>
  <c r="AC269" i="433" s="1"/>
  <c r="AC273" i="433"/>
  <c r="AA274" i="433"/>
  <c r="AA279" i="433"/>
  <c r="R287" i="433"/>
  <c r="AB287" i="433" s="1"/>
  <c r="AA329" i="433"/>
  <c r="AA171" i="433"/>
  <c r="AA176" i="433"/>
  <c r="AB176" i="433" s="1"/>
  <c r="AC176" i="433" s="1"/>
  <c r="AA180" i="433"/>
  <c r="AB180" i="433" s="1"/>
  <c r="AC180" i="433" s="1"/>
  <c r="AA183" i="433"/>
  <c r="AB183" i="433" s="1"/>
  <c r="AC183" i="433" s="1"/>
  <c r="AA186" i="433"/>
  <c r="AB186" i="433" s="1"/>
  <c r="AC186" i="433" s="1"/>
  <c r="AA190" i="433"/>
  <c r="U191" i="433"/>
  <c r="U142" i="433" s="1"/>
  <c r="U12" i="433" s="1"/>
  <c r="AA193" i="433"/>
  <c r="W191" i="433"/>
  <c r="AC194" i="433"/>
  <c r="AC195" i="433"/>
  <c r="AC196" i="433"/>
  <c r="AC197" i="433"/>
  <c r="AC198" i="433"/>
  <c r="AC199" i="433"/>
  <c r="AB210" i="433"/>
  <c r="AC210" i="433" s="1"/>
  <c r="AA215" i="433"/>
  <c r="AA216" i="433"/>
  <c r="AC218" i="433"/>
  <c r="AB230" i="433"/>
  <c r="AC230" i="433" s="1"/>
  <c r="AA243" i="433"/>
  <c r="AB243" i="433" s="1"/>
  <c r="AA249" i="433"/>
  <c r="AB249" i="433" s="1"/>
  <c r="AC249" i="433" s="1"/>
  <c r="AA250" i="433"/>
  <c r="R253" i="433"/>
  <c r="AB256" i="433"/>
  <c r="AC256" i="433" s="1"/>
  <c r="AB262" i="433"/>
  <c r="AC262" i="433" s="1"/>
  <c r="AB302" i="433"/>
  <c r="Q191" i="433"/>
  <c r="Q142" i="433" s="1"/>
  <c r="AA207" i="433"/>
  <c r="AB215" i="433"/>
  <c r="K216" i="433"/>
  <c r="S222" i="433"/>
  <c r="AA223" i="433"/>
  <c r="AB232" i="433"/>
  <c r="AC232" i="433" s="1"/>
  <c r="AB240" i="433"/>
  <c r="AC240" i="433" s="1"/>
  <c r="K250" i="433"/>
  <c r="AC265" i="433"/>
  <c r="AB280" i="433"/>
  <c r="AC280" i="433" s="1"/>
  <c r="AB212" i="433"/>
  <c r="AC212" i="433" s="1"/>
  <c r="K215" i="433"/>
  <c r="K222" i="433"/>
  <c r="D221" i="433"/>
  <c r="R224" i="433"/>
  <c r="P223" i="433"/>
  <c r="P222" i="433" s="1"/>
  <c r="P221" i="433" s="1"/>
  <c r="P220" i="433" s="1"/>
  <c r="P219" i="433" s="1"/>
  <c r="P142" i="433" s="1"/>
  <c r="K225" i="433"/>
  <c r="R226" i="433"/>
  <c r="AB226" i="433" s="1"/>
  <c r="AC226" i="433" s="1"/>
  <c r="K228" i="433"/>
  <c r="AA229" i="433"/>
  <c r="AB229" i="433" s="1"/>
  <c r="AC229" i="433" s="1"/>
  <c r="AA231" i="433"/>
  <c r="AB231" i="433" s="1"/>
  <c r="AC231" i="433" s="1"/>
  <c r="AA232" i="433"/>
  <c r="AA235" i="433"/>
  <c r="AB235" i="433" s="1"/>
  <c r="AC235" i="433" s="1"/>
  <c r="AA237" i="433"/>
  <c r="AA238" i="433"/>
  <c r="K241" i="433"/>
  <c r="AB248" i="433"/>
  <c r="AC248" i="433" s="1"/>
  <c r="R250" i="433"/>
  <c r="K258" i="433"/>
  <c r="AB260" i="433"/>
  <c r="AC260" i="433" s="1"/>
  <c r="R266" i="433"/>
  <c r="AB266" i="433" s="1"/>
  <c r="R267" i="433"/>
  <c r="AB267" i="433" s="1"/>
  <c r="AC267" i="433" s="1"/>
  <c r="R275" i="433"/>
  <c r="AB275" i="433" s="1"/>
  <c r="R278" i="433"/>
  <c r="AB278" i="433" s="1"/>
  <c r="AC278" i="433" s="1"/>
  <c r="AA281" i="433"/>
  <c r="AB298" i="433"/>
  <c r="AB314" i="433"/>
  <c r="R331" i="433"/>
  <c r="AA330" i="433"/>
  <c r="AA331" i="433"/>
  <c r="AA336" i="433"/>
  <c r="AB352" i="433"/>
  <c r="AC352" i="433" s="1"/>
  <c r="AC372" i="433"/>
  <c r="AC388" i="433"/>
  <c r="AB493" i="433"/>
  <c r="AC493" i="433" s="1"/>
  <c r="AB324" i="433"/>
  <c r="AC324" i="433" s="1"/>
  <c r="K330" i="433"/>
  <c r="K331" i="433"/>
  <c r="AB333" i="433"/>
  <c r="AC333" i="433" s="1"/>
  <c r="AB354" i="433"/>
  <c r="AC354" i="433" s="1"/>
  <c r="AB553" i="433"/>
  <c r="AC553" i="433" s="1"/>
  <c r="AB327" i="433"/>
  <c r="AC327" i="433" s="1"/>
  <c r="AA346" i="433"/>
  <c r="AC364" i="433"/>
  <c r="AC380" i="433"/>
  <c r="AC396" i="433"/>
  <c r="AC402" i="433"/>
  <c r="AB507" i="433"/>
  <c r="AA337" i="433"/>
  <c r="K347" i="433"/>
  <c r="AA347" i="433"/>
  <c r="AB347" i="433" s="1"/>
  <c r="AC347" i="433" s="1"/>
  <c r="R464" i="433"/>
  <c r="K822" i="433"/>
  <c r="D819" i="433"/>
  <c r="R822" i="433"/>
  <c r="S146" i="433"/>
  <c r="S152" i="433"/>
  <c r="S182" i="433"/>
  <c r="S192" i="433"/>
  <c r="S200" i="433"/>
  <c r="AA200" i="433" s="1"/>
  <c r="L206" i="433"/>
  <c r="R206" i="433" s="1"/>
  <c r="AB206" i="433" s="1"/>
  <c r="AC206" i="433" s="1"/>
  <c r="L223" i="433"/>
  <c r="L246" i="433"/>
  <c r="R246" i="433" s="1"/>
  <c r="L252" i="433"/>
  <c r="L274" i="433"/>
  <c r="D329" i="433"/>
  <c r="K329" i="433" s="1"/>
  <c r="L329" i="433"/>
  <c r="N330" i="433"/>
  <c r="N329" i="433" s="1"/>
  <c r="D337" i="433"/>
  <c r="L337" i="433"/>
  <c r="N346" i="433"/>
  <c r="K406" i="433"/>
  <c r="AA414" i="433"/>
  <c r="AB414" i="433" s="1"/>
  <c r="AC414" i="433" s="1"/>
  <c r="AA455" i="433"/>
  <c r="AA464" i="433"/>
  <c r="K471" i="433"/>
  <c r="AA482" i="433"/>
  <c r="AB482" i="433" s="1"/>
  <c r="AC482" i="433" s="1"/>
  <c r="K490" i="433"/>
  <c r="AA495" i="433"/>
  <c r="AB495" i="433" s="1"/>
  <c r="AC495" i="433" s="1"/>
  <c r="K499" i="433"/>
  <c r="AA503" i="433"/>
  <c r="AB503" i="433" s="1"/>
  <c r="AC503" i="433" s="1"/>
  <c r="K507" i="433"/>
  <c r="AA511" i="433"/>
  <c r="AB511" i="433" s="1"/>
  <c r="AC511" i="433" s="1"/>
  <c r="K515" i="433"/>
  <c r="AA519" i="433"/>
  <c r="AB519" i="433" s="1"/>
  <c r="AC519" i="433" s="1"/>
  <c r="K523" i="433"/>
  <c r="AA527" i="433"/>
  <c r="AB527" i="433" s="1"/>
  <c r="K531" i="433"/>
  <c r="AC532" i="433"/>
  <c r="AA535" i="433"/>
  <c r="AB535" i="433" s="1"/>
  <c r="AC535" i="433" s="1"/>
  <c r="AC540" i="433"/>
  <c r="AA543" i="433"/>
  <c r="AB543" i="433" s="1"/>
  <c r="AC543" i="433" s="1"/>
  <c r="AC548" i="433"/>
  <c r="AA551" i="433"/>
  <c r="AB551" i="433" s="1"/>
  <c r="AC551" i="433" s="1"/>
  <c r="AA555" i="433"/>
  <c r="AC559" i="433"/>
  <c r="R561" i="433"/>
  <c r="L560" i="433"/>
  <c r="R560" i="433" s="1"/>
  <c r="AC562" i="433"/>
  <c r="O566" i="433"/>
  <c r="O245" i="433" s="1"/>
  <c r="R570" i="433"/>
  <c r="AB570" i="433" s="1"/>
  <c r="N577" i="433"/>
  <c r="N573" i="433" s="1"/>
  <c r="N572" i="433" s="1"/>
  <c r="I577" i="433"/>
  <c r="I573" i="433" s="1"/>
  <c r="I572" i="433" s="1"/>
  <c r="X671" i="433"/>
  <c r="X670" i="433" s="1"/>
  <c r="X669" i="433" s="1"/>
  <c r="X668" i="433" s="1"/>
  <c r="X667" i="433" s="1"/>
  <c r="R694" i="433"/>
  <c r="R697" i="433"/>
  <c r="AB697" i="433" s="1"/>
  <c r="AC697" i="433" s="1"/>
  <c r="L693" i="433"/>
  <c r="R693" i="433" s="1"/>
  <c r="R800" i="433"/>
  <c r="AA802" i="433"/>
  <c r="L843" i="433"/>
  <c r="AA400" i="433"/>
  <c r="AB400" i="433" s="1"/>
  <c r="AC400" i="433" s="1"/>
  <c r="D461" i="433"/>
  <c r="K461" i="433" s="1"/>
  <c r="AA462" i="433"/>
  <c r="AB462" i="433" s="1"/>
  <c r="AC462" i="433" s="1"/>
  <c r="K468" i="433"/>
  <c r="AA477" i="433"/>
  <c r="AB477" i="433" s="1"/>
  <c r="AC477" i="433" s="1"/>
  <c r="K487" i="433"/>
  <c r="AA493" i="433"/>
  <c r="K497" i="433"/>
  <c r="AC497" i="433" s="1"/>
  <c r="AA501" i="433"/>
  <c r="AB501" i="433" s="1"/>
  <c r="AC501" i="433" s="1"/>
  <c r="K505" i="433"/>
  <c r="AA509" i="433"/>
  <c r="AB509" i="433" s="1"/>
  <c r="AC509" i="433" s="1"/>
  <c r="K513" i="433"/>
  <c r="AA517" i="433"/>
  <c r="AB517" i="433" s="1"/>
  <c r="AC517" i="433" s="1"/>
  <c r="K521" i="433"/>
  <c r="AC521" i="433" s="1"/>
  <c r="AA525" i="433"/>
  <c r="AB525" i="433" s="1"/>
  <c r="AC525" i="433" s="1"/>
  <c r="K529" i="433"/>
  <c r="AA537" i="433"/>
  <c r="AB537" i="433" s="1"/>
  <c r="AC537" i="433" s="1"/>
  <c r="AA545" i="433"/>
  <c r="AA553" i="433"/>
  <c r="K555" i="433"/>
  <c r="R555" i="433"/>
  <c r="AB555" i="433" s="1"/>
  <c r="K556" i="433"/>
  <c r="K561" i="433"/>
  <c r="D560" i="433"/>
  <c r="K560" i="433" s="1"/>
  <c r="G566" i="433"/>
  <c r="R567" i="433"/>
  <c r="AB567" i="433" s="1"/>
  <c r="L566" i="433"/>
  <c r="AA655" i="433"/>
  <c r="S651" i="433"/>
  <c r="K661" i="433"/>
  <c r="D655" i="433"/>
  <c r="AB685" i="433"/>
  <c r="AC685" i="433" s="1"/>
  <c r="AA836" i="433"/>
  <c r="AC359" i="433"/>
  <c r="AC363" i="433"/>
  <c r="AC367" i="433"/>
  <c r="AC371" i="433"/>
  <c r="AC375" i="433"/>
  <c r="AC379" i="433"/>
  <c r="AC383" i="433"/>
  <c r="AC387" i="433"/>
  <c r="AC391" i="433"/>
  <c r="AC395" i="433"/>
  <c r="AC399" i="433"/>
  <c r="AC401" i="433"/>
  <c r="AA406" i="433"/>
  <c r="K414" i="433"/>
  <c r="AA471" i="433"/>
  <c r="AB471" i="433" s="1"/>
  <c r="AC472" i="433"/>
  <c r="AC473" i="433"/>
  <c r="AC474" i="433"/>
  <c r="AC475" i="433"/>
  <c r="AC476" i="433"/>
  <c r="AA490" i="433"/>
  <c r="AB490" i="433" s="1"/>
  <c r="AC490" i="433" s="1"/>
  <c r="AC491" i="433"/>
  <c r="AC492" i="433"/>
  <c r="AA499" i="433"/>
  <c r="AB499" i="433" s="1"/>
  <c r="AC499" i="433" s="1"/>
  <c r="AC500" i="433"/>
  <c r="AA507" i="433"/>
  <c r="AC508" i="433"/>
  <c r="AA515" i="433"/>
  <c r="AB515" i="433" s="1"/>
  <c r="AC515" i="433" s="1"/>
  <c r="AC516" i="433"/>
  <c r="AA523" i="433"/>
  <c r="AC524" i="433"/>
  <c r="AA531" i="433"/>
  <c r="AB531" i="433" s="1"/>
  <c r="AC531" i="433" s="1"/>
  <c r="AA539" i="433"/>
  <c r="AB539" i="433" s="1"/>
  <c r="AC539" i="433" s="1"/>
  <c r="AA547" i="433"/>
  <c r="AB547" i="433" s="1"/>
  <c r="AC547" i="433" s="1"/>
  <c r="R556" i="433"/>
  <c r="AB556" i="433" s="1"/>
  <c r="AC556" i="433" s="1"/>
  <c r="AC557" i="433"/>
  <c r="AA561" i="433"/>
  <c r="AC565" i="433"/>
  <c r="K567" i="433"/>
  <c r="D566" i="433"/>
  <c r="F655" i="433"/>
  <c r="F651" i="433" s="1"/>
  <c r="F650" i="433" s="1"/>
  <c r="K656" i="433"/>
  <c r="D859" i="433"/>
  <c r="K859" i="433" s="1"/>
  <c r="K860" i="433"/>
  <c r="S560" i="433"/>
  <c r="AA560" i="433" s="1"/>
  <c r="S566" i="433"/>
  <c r="K580" i="433"/>
  <c r="AA582" i="433"/>
  <c r="AB582" i="433" s="1"/>
  <c r="AC582" i="433" s="1"/>
  <c r="K584" i="433"/>
  <c r="AA586" i="433"/>
  <c r="K589" i="433"/>
  <c r="AB590" i="433"/>
  <c r="AC590" i="433" s="1"/>
  <c r="AC601" i="433"/>
  <c r="AC603" i="433"/>
  <c r="AC605" i="433"/>
  <c r="AC607" i="433"/>
  <c r="AC609" i="433"/>
  <c r="AC611" i="433"/>
  <c r="AC613" i="433"/>
  <c r="AC615" i="433"/>
  <c r="AB618" i="433"/>
  <c r="AC618" i="433" s="1"/>
  <c r="AC625" i="433"/>
  <c r="AB633" i="433"/>
  <c r="AB639" i="433"/>
  <c r="AC639" i="433" s="1"/>
  <c r="AA652" i="433"/>
  <c r="AB652" i="433" s="1"/>
  <c r="AC652" i="433" s="1"/>
  <c r="L655" i="433"/>
  <c r="AA661" i="433"/>
  <c r="AB661" i="433" s="1"/>
  <c r="AC661" i="433" s="1"/>
  <c r="AC663" i="433"/>
  <c r="AC665" i="433"/>
  <c r="AC676" i="433"/>
  <c r="AA679" i="433"/>
  <c r="AB679" i="433" s="1"/>
  <c r="AC679" i="433" s="1"/>
  <c r="AA685" i="433"/>
  <c r="AA691" i="433"/>
  <c r="AB691" i="433" s="1"/>
  <c r="F693" i="433"/>
  <c r="K693" i="433" s="1"/>
  <c r="K694" i="433"/>
  <c r="R707" i="433"/>
  <c r="L706" i="433"/>
  <c r="P706" i="433"/>
  <c r="P671" i="433" s="1"/>
  <c r="P670" i="433" s="1"/>
  <c r="P669" i="433" s="1"/>
  <c r="P668" i="433" s="1"/>
  <c r="P667" i="433" s="1"/>
  <c r="AC708" i="433"/>
  <c r="AA711" i="433"/>
  <c r="AB711" i="433" s="1"/>
  <c r="AC716" i="433"/>
  <c r="AA719" i="433"/>
  <c r="AB719" i="433" s="1"/>
  <c r="AC719" i="433" s="1"/>
  <c r="AC724" i="433"/>
  <c r="AC727" i="433"/>
  <c r="AC732" i="433"/>
  <c r="AC735" i="433"/>
  <c r="AC743" i="433"/>
  <c r="AC751" i="433"/>
  <c r="AC756" i="433"/>
  <c r="AC759" i="433"/>
  <c r="AC764" i="433"/>
  <c r="H770" i="433"/>
  <c r="K772" i="433"/>
  <c r="AA772" i="433"/>
  <c r="AC774" i="433"/>
  <c r="M777" i="433"/>
  <c r="M770" i="433" s="1"/>
  <c r="AC782" i="433"/>
  <c r="R786" i="433"/>
  <c r="Z789" i="433"/>
  <c r="Z777" i="433" s="1"/>
  <c r="Z770" i="433" s="1"/>
  <c r="Q789" i="433"/>
  <c r="Q777" i="433" s="1"/>
  <c r="Q770" i="433" s="1"/>
  <c r="S796" i="433"/>
  <c r="AA796" i="433" s="1"/>
  <c r="AA808" i="433"/>
  <c r="R825" i="433"/>
  <c r="R826" i="433"/>
  <c r="L860" i="433"/>
  <c r="R882" i="433"/>
  <c r="AB882" i="433" s="1"/>
  <c r="L879" i="433"/>
  <c r="R879" i="433" s="1"/>
  <c r="K577" i="433"/>
  <c r="D573" i="433"/>
  <c r="L573" i="433"/>
  <c r="AA589" i="433"/>
  <c r="AB589" i="433" s="1"/>
  <c r="AC647" i="433"/>
  <c r="Z671" i="433"/>
  <c r="Z670" i="433" s="1"/>
  <c r="Z669" i="433" s="1"/>
  <c r="Z668" i="433" s="1"/>
  <c r="Z667" i="433" s="1"/>
  <c r="R673" i="433"/>
  <c r="AB673" i="433" s="1"/>
  <c r="L672" i="433"/>
  <c r="AA706" i="433"/>
  <c r="K707" i="433"/>
  <c r="D706" i="433"/>
  <c r="H706" i="433"/>
  <c r="H671" i="433" s="1"/>
  <c r="H670" i="433" s="1"/>
  <c r="H669" i="433" s="1"/>
  <c r="H668" i="433" s="1"/>
  <c r="H667" i="433" s="1"/>
  <c r="R772" i="433"/>
  <c r="AB772" i="433" s="1"/>
  <c r="AC772" i="433" s="1"/>
  <c r="R775" i="433"/>
  <c r="I777" i="433"/>
  <c r="I770" i="433" s="1"/>
  <c r="AA790" i="433"/>
  <c r="R794" i="433"/>
  <c r="AB794" i="433" s="1"/>
  <c r="AC794" i="433" s="1"/>
  <c r="L791" i="433"/>
  <c r="Y789" i="433"/>
  <c r="Y777" i="433" s="1"/>
  <c r="Y770" i="433" s="1"/>
  <c r="R808" i="433"/>
  <c r="D808" i="433"/>
  <c r="K811" i="433"/>
  <c r="K825" i="433"/>
  <c r="K832" i="433"/>
  <c r="D831" i="433"/>
  <c r="R901" i="433"/>
  <c r="L900" i="433"/>
  <c r="AA906" i="433"/>
  <c r="S905" i="433"/>
  <c r="AA907" i="433"/>
  <c r="M566" i="433"/>
  <c r="K578" i="433"/>
  <c r="V577" i="433"/>
  <c r="V573" i="433" s="1"/>
  <c r="V572" i="433" s="1"/>
  <c r="Z577" i="433"/>
  <c r="Z573" i="433" s="1"/>
  <c r="Z572" i="433" s="1"/>
  <c r="AB579" i="433"/>
  <c r="AA580" i="433"/>
  <c r="AA584" i="433"/>
  <c r="AB584" i="433" s="1"/>
  <c r="AC584" i="433" s="1"/>
  <c r="AB588" i="433"/>
  <c r="AC588" i="433" s="1"/>
  <c r="K591" i="433"/>
  <c r="AB622" i="433"/>
  <c r="AB628" i="433"/>
  <c r="N651" i="433"/>
  <c r="N650" i="433" s="1"/>
  <c r="R656" i="433"/>
  <c r="V651" i="433"/>
  <c r="V650" i="433" s="1"/>
  <c r="Z651" i="433"/>
  <c r="Z650" i="433" s="1"/>
  <c r="AC657" i="433"/>
  <c r="AC659" i="433"/>
  <c r="K673" i="433"/>
  <c r="D672" i="433"/>
  <c r="AC675" i="433"/>
  <c r="AC680" i="433"/>
  <c r="AC686" i="433"/>
  <c r="AA689" i="433"/>
  <c r="AB689" i="433" s="1"/>
  <c r="AC689" i="433" s="1"/>
  <c r="AA707" i="433"/>
  <c r="AC712" i="433"/>
  <c r="AA715" i="433"/>
  <c r="AC720" i="433"/>
  <c r="AC723" i="433"/>
  <c r="AC728" i="433"/>
  <c r="AC731" i="433"/>
  <c r="AC736" i="433"/>
  <c r="AC739" i="433"/>
  <c r="AC744" i="433"/>
  <c r="AC747" i="433"/>
  <c r="AC752" i="433"/>
  <c r="AC755" i="433"/>
  <c r="AC760" i="433"/>
  <c r="AC763" i="433"/>
  <c r="K771" i="433"/>
  <c r="R771" i="433"/>
  <c r="AA771" i="433"/>
  <c r="AA775" i="433"/>
  <c r="AA778" i="433"/>
  <c r="P777" i="433"/>
  <c r="P770" i="433" s="1"/>
  <c r="P769" i="433" s="1"/>
  <c r="T789" i="433"/>
  <c r="T777" i="433" s="1"/>
  <c r="T770" i="433" s="1"/>
  <c r="N789" i="433"/>
  <c r="V789" i="433"/>
  <c r="V777" i="433" s="1"/>
  <c r="V770" i="433" s="1"/>
  <c r="AC803" i="433"/>
  <c r="AB813" i="433"/>
  <c r="D813" i="433"/>
  <c r="K813" i="433" s="1"/>
  <c r="K816" i="433"/>
  <c r="J835" i="433"/>
  <c r="J824" i="433" s="1"/>
  <c r="AA656" i="433"/>
  <c r="AA672" i="433"/>
  <c r="AA694" i="433"/>
  <c r="AA786" i="433"/>
  <c r="K796" i="433"/>
  <c r="R796" i="433"/>
  <c r="R797" i="433"/>
  <c r="AA800" i="433"/>
  <c r="R805" i="433"/>
  <c r="AA811" i="433"/>
  <c r="AB811" i="433" s="1"/>
  <c r="AA816" i="433"/>
  <c r="AB816" i="433" s="1"/>
  <c r="AC816" i="433" s="1"/>
  <c r="L819" i="433"/>
  <c r="R820" i="433"/>
  <c r="AA822" i="433"/>
  <c r="U824" i="433"/>
  <c r="AA825" i="433"/>
  <c r="AA826" i="433"/>
  <c r="K833" i="433"/>
  <c r="R836" i="433"/>
  <c r="T835" i="433"/>
  <c r="T824" i="433" s="1"/>
  <c r="M843" i="433"/>
  <c r="M842" i="433" s="1"/>
  <c r="M835" i="433" s="1"/>
  <c r="M824" i="433" s="1"/>
  <c r="R844" i="433"/>
  <c r="AA852" i="433"/>
  <c r="R853" i="433"/>
  <c r="L852" i="433"/>
  <c r="R852" i="433" s="1"/>
  <c r="D900" i="433"/>
  <c r="K901" i="433"/>
  <c r="X889" i="433"/>
  <c r="K914" i="433"/>
  <c r="S577" i="433"/>
  <c r="R781" i="433"/>
  <c r="AB781" i="433" s="1"/>
  <c r="R802" i="433"/>
  <c r="AB802" i="433" s="1"/>
  <c r="AC802" i="433" s="1"/>
  <c r="AA805" i="433"/>
  <c r="AC810" i="433"/>
  <c r="AC821" i="433"/>
  <c r="L868" i="433"/>
  <c r="R868" i="433" s="1"/>
  <c r="R869" i="433"/>
  <c r="K879" i="433"/>
  <c r="D873" i="433"/>
  <c r="N889" i="433"/>
  <c r="H889" i="433"/>
  <c r="D778" i="433"/>
  <c r="K786" i="433"/>
  <c r="D783" i="433"/>
  <c r="K783" i="433" s="1"/>
  <c r="D791" i="433"/>
  <c r="K820" i="433"/>
  <c r="AA820" i="433"/>
  <c r="AC838" i="433"/>
  <c r="T843" i="433"/>
  <c r="T842" i="433" s="1"/>
  <c r="X843" i="433"/>
  <c r="X842" i="433" s="1"/>
  <c r="X835" i="433" s="1"/>
  <c r="X824" i="433" s="1"/>
  <c r="S861" i="433"/>
  <c r="AA865" i="433"/>
  <c r="Q860" i="433"/>
  <c r="Q859" i="433" s="1"/>
  <c r="Q842" i="433" s="1"/>
  <c r="Q835" i="433" s="1"/>
  <c r="Q824" i="433" s="1"/>
  <c r="R867" i="433"/>
  <c r="AB867" i="433" s="1"/>
  <c r="AC867" i="433" s="1"/>
  <c r="I873" i="433"/>
  <c r="I872" i="433" s="1"/>
  <c r="T873" i="433"/>
  <c r="T872" i="433" s="1"/>
  <c r="I889" i="433"/>
  <c r="Q889" i="433"/>
  <c r="D905" i="433"/>
  <c r="AC935" i="433"/>
  <c r="G835" i="433"/>
  <c r="G824" i="433" s="1"/>
  <c r="K837" i="433"/>
  <c r="N843" i="433"/>
  <c r="K844" i="433"/>
  <c r="D843" i="433"/>
  <c r="I843" i="433"/>
  <c r="I842" i="433" s="1"/>
  <c r="I835" i="433" s="1"/>
  <c r="I824" i="433" s="1"/>
  <c r="K853" i="433"/>
  <c r="D852" i="433"/>
  <c r="K852" i="433" s="1"/>
  <c r="K857" i="433"/>
  <c r="K861" i="433"/>
  <c r="P860" i="433"/>
  <c r="P859" i="433" s="1"/>
  <c r="P842" i="433" s="1"/>
  <c r="P835" i="433" s="1"/>
  <c r="P824" i="433" s="1"/>
  <c r="K870" i="433"/>
  <c r="L873" i="433"/>
  <c r="R874" i="433"/>
  <c r="P873" i="433"/>
  <c r="P872" i="433" s="1"/>
  <c r="R884" i="433"/>
  <c r="K892" i="433"/>
  <c r="D891" i="433"/>
  <c r="AA892" i="433"/>
  <c r="W891" i="433"/>
  <c r="W890" i="433" s="1"/>
  <c r="W889" i="433" s="1"/>
  <c r="AB893" i="433"/>
  <c r="AC893" i="433" s="1"/>
  <c r="AC903" i="433"/>
  <c r="P905" i="433"/>
  <c r="P904" i="433" s="1"/>
  <c r="AB907" i="433"/>
  <c r="AC907" i="433" s="1"/>
  <c r="K910" i="433"/>
  <c r="K913" i="433"/>
  <c r="D912" i="433"/>
  <c r="K912" i="433" s="1"/>
  <c r="R914" i="433"/>
  <c r="L913" i="433"/>
  <c r="AC930" i="433"/>
  <c r="K968" i="433"/>
  <c r="D967" i="433"/>
  <c r="R1007" i="433"/>
  <c r="L1006" i="433"/>
  <c r="L832" i="433"/>
  <c r="R833" i="433"/>
  <c r="R837" i="433"/>
  <c r="AB837" i="433" s="1"/>
  <c r="V835" i="433"/>
  <c r="G842" i="433"/>
  <c r="O842" i="433"/>
  <c r="O835" i="433" s="1"/>
  <c r="O824" i="433" s="1"/>
  <c r="W842" i="433"/>
  <c r="W835" i="433" s="1"/>
  <c r="W824" i="433" s="1"/>
  <c r="AA844" i="433"/>
  <c r="AC845" i="433"/>
  <c r="AA848" i="433"/>
  <c r="AB848" i="433" s="1"/>
  <c r="AC848" i="433" s="1"/>
  <c r="AC849" i="433"/>
  <c r="AA853" i="433"/>
  <c r="AB854" i="433"/>
  <c r="AC854" i="433" s="1"/>
  <c r="AB862" i="433"/>
  <c r="AC862" i="433" s="1"/>
  <c r="N861" i="433"/>
  <c r="N860" i="433" s="1"/>
  <c r="N859" i="433" s="1"/>
  <c r="R865" i="433"/>
  <c r="K869" i="433"/>
  <c r="D868" i="433"/>
  <c r="K868" i="433" s="1"/>
  <c r="H873" i="433"/>
  <c r="H872" i="433" s="1"/>
  <c r="H824" i="433" s="1"/>
  <c r="Z873" i="433"/>
  <c r="Z872" i="433" s="1"/>
  <c r="J889" i="433"/>
  <c r="AB895" i="433"/>
  <c r="AC895" i="433" s="1"/>
  <c r="F889" i="433"/>
  <c r="AC938" i="433"/>
  <c r="S832" i="433"/>
  <c r="D836" i="433"/>
  <c r="AB871" i="433"/>
  <c r="AA874" i="433"/>
  <c r="S873" i="433"/>
  <c r="AA877" i="433"/>
  <c r="AB877" i="433" s="1"/>
  <c r="AC877" i="433" s="1"/>
  <c r="AA879" i="433"/>
  <c r="AA882" i="433"/>
  <c r="AA884" i="433"/>
  <c r="AA887" i="433"/>
  <c r="AB887" i="433" s="1"/>
  <c r="AC887" i="433" s="1"/>
  <c r="L891" i="433"/>
  <c r="R892" i="433"/>
  <c r="P891" i="433"/>
  <c r="P890" i="433" s="1"/>
  <c r="AA900" i="433"/>
  <c r="AA901" i="433"/>
  <c r="K906" i="433"/>
  <c r="L906" i="433"/>
  <c r="T905" i="433"/>
  <c r="T904" i="433" s="1"/>
  <c r="T889" i="433" s="1"/>
  <c r="G905" i="433"/>
  <c r="G904" i="433" s="1"/>
  <c r="G889" i="433" s="1"/>
  <c r="K907" i="433"/>
  <c r="O905" i="433"/>
  <c r="O904" i="433" s="1"/>
  <c r="O889" i="433" s="1"/>
  <c r="AC961" i="433"/>
  <c r="AB964" i="433"/>
  <c r="AC980" i="433"/>
  <c r="AA869" i="433"/>
  <c r="S868" i="433"/>
  <c r="AA868" i="433" s="1"/>
  <c r="AA870" i="433"/>
  <c r="AB870" i="433" s="1"/>
  <c r="K877" i="433"/>
  <c r="K882" i="433"/>
  <c r="K887" i="433"/>
  <c r="M889" i="433"/>
  <c r="U889" i="433"/>
  <c r="AC897" i="433"/>
  <c r="AA909" i="433"/>
  <c r="AB909" i="433" s="1"/>
  <c r="AC909" i="433" s="1"/>
  <c r="AA910" i="433"/>
  <c r="AB910" i="433" s="1"/>
  <c r="AA913" i="433"/>
  <c r="AA914" i="433"/>
  <c r="AC920" i="433"/>
  <c r="AC928" i="433"/>
  <c r="AC936" i="433"/>
  <c r="R968" i="433"/>
  <c r="L967" i="433"/>
  <c r="S891" i="433"/>
  <c r="AC962" i="433"/>
  <c r="AA968" i="433"/>
  <c r="AC973" i="433"/>
  <c r="AC976" i="433"/>
  <c r="AC981" i="433"/>
  <c r="AC984" i="433"/>
  <c r="G995" i="433"/>
  <c r="G1017" i="433" s="1"/>
  <c r="AC974" i="433"/>
  <c r="AC982" i="433"/>
  <c r="AA992" i="433"/>
  <c r="AB991" i="433"/>
  <c r="M999" i="433"/>
  <c r="M998" i="433" s="1"/>
  <c r="M997" i="433" s="1"/>
  <c r="M996" i="433" s="1"/>
  <c r="M995" i="433" s="1"/>
  <c r="M1017" i="433" s="1"/>
  <c r="R1000" i="433"/>
  <c r="S967" i="433"/>
  <c r="Y995" i="433"/>
  <c r="Y1017" i="433" s="1"/>
  <c r="K997" i="433"/>
  <c r="K999" i="433"/>
  <c r="AC1001" i="433"/>
  <c r="S1004" i="433"/>
  <c r="K1007" i="433"/>
  <c r="D1006" i="433"/>
  <c r="L1009" i="433"/>
  <c r="R1009" i="433" s="1"/>
  <c r="AB1009" i="433" s="1"/>
  <c r="AC1009" i="433" s="1"/>
  <c r="AC1010" i="433"/>
  <c r="AA996" i="433"/>
  <c r="AA997" i="433"/>
  <c r="AA998" i="433"/>
  <c r="AA999" i="433"/>
  <c r="R1002" i="433"/>
  <c r="V995" i="433"/>
  <c r="V1017" i="433" s="1"/>
  <c r="Z995" i="433"/>
  <c r="Z1017" i="433" s="1"/>
  <c r="K998" i="433"/>
  <c r="AA1002" i="433"/>
  <c r="AA1007" i="433"/>
  <c r="T1006" i="433"/>
  <c r="T1005" i="433" s="1"/>
  <c r="T1004" i="433" s="1"/>
  <c r="T995" i="433" s="1"/>
  <c r="T1017" i="433" s="1"/>
  <c r="AA1014" i="433"/>
  <c r="AB1014" i="433" s="1"/>
  <c r="AC1014" i="433" s="1"/>
  <c r="AA1006" i="433"/>
  <c r="AA6" i="435" l="1"/>
  <c r="J170" i="435"/>
  <c r="P122" i="435"/>
  <c r="I122" i="435"/>
  <c r="I170" i="435" s="1"/>
  <c r="I176" i="435" s="1"/>
  <c r="B170" i="435"/>
  <c r="B176" i="435" s="1"/>
  <c r="J176" i="435"/>
  <c r="Y176" i="435"/>
  <c r="Z123" i="435"/>
  <c r="AA123" i="435" s="1"/>
  <c r="P5" i="435"/>
  <c r="Q12" i="433"/>
  <c r="G245" i="433"/>
  <c r="Q245" i="433"/>
  <c r="J245" i="433"/>
  <c r="P245" i="433"/>
  <c r="Z245" i="433"/>
  <c r="X245" i="433"/>
  <c r="X11" i="433" s="1"/>
  <c r="X765" i="433" s="1"/>
  <c r="AC247" i="433"/>
  <c r="T12" i="433"/>
  <c r="T11" i="433" s="1"/>
  <c r="T765" i="433" s="1"/>
  <c r="T1018" i="433" s="1"/>
  <c r="Z12" i="433"/>
  <c r="J12" i="433"/>
  <c r="V12" i="433"/>
  <c r="D15" i="434"/>
  <c r="D14" i="434" s="1"/>
  <c r="D13" i="434" s="1"/>
  <c r="D12" i="434" s="1"/>
  <c r="D11" i="434" s="1"/>
  <c r="D45" i="434" s="1"/>
  <c r="J16" i="434"/>
  <c r="K33" i="434"/>
  <c r="Q34" i="434"/>
  <c r="AA34" i="434" s="1"/>
  <c r="Z32" i="434"/>
  <c r="R30" i="434"/>
  <c r="Z31" i="434"/>
  <c r="Z33" i="434"/>
  <c r="T11" i="434"/>
  <c r="T45" i="434" s="1"/>
  <c r="Q20" i="434"/>
  <c r="AA20" i="434" s="1"/>
  <c r="AB20" i="434" s="1"/>
  <c r="Z16" i="434"/>
  <c r="R15" i="434"/>
  <c r="J15" i="434"/>
  <c r="C14" i="434"/>
  <c r="C33" i="434"/>
  <c r="J34" i="434"/>
  <c r="AA21" i="434"/>
  <c r="AB21" i="434" s="1"/>
  <c r="Q17" i="434"/>
  <c r="AA17" i="434" s="1"/>
  <c r="AB17" i="434" s="1"/>
  <c r="K16" i="434"/>
  <c r="J769" i="433"/>
  <c r="J768" i="433" s="1"/>
  <c r="J988" i="433" s="1"/>
  <c r="AB461" i="433"/>
  <c r="AC461" i="433" s="1"/>
  <c r="Z11" i="433"/>
  <c r="Z765" i="433" s="1"/>
  <c r="AB140" i="433"/>
  <c r="AC140" i="433" s="1"/>
  <c r="AB119" i="433"/>
  <c r="AC119" i="433" s="1"/>
  <c r="N12" i="433"/>
  <c r="AC42" i="433"/>
  <c r="AC36" i="433"/>
  <c r="H12" i="433"/>
  <c r="H11" i="433" s="1"/>
  <c r="H765" i="433" s="1"/>
  <c r="H1018" i="433" s="1"/>
  <c r="AC1011" i="433"/>
  <c r="AC533" i="433"/>
  <c r="AC717" i="433"/>
  <c r="AB505" i="433"/>
  <c r="AB487" i="433"/>
  <c r="AC487" i="433" s="1"/>
  <c r="AB349" i="433"/>
  <c r="AC349" i="433" s="1"/>
  <c r="L143" i="433"/>
  <c r="R143" i="433" s="1"/>
  <c r="R146" i="433"/>
  <c r="AB88" i="433"/>
  <c r="AC88" i="433" s="1"/>
  <c r="AB68" i="433"/>
  <c r="AC68" i="433" s="1"/>
  <c r="AB55" i="433"/>
  <c r="AC55" i="433" s="1"/>
  <c r="AB76" i="433"/>
  <c r="AC76" i="433" s="1"/>
  <c r="AB131" i="433"/>
  <c r="AC131" i="433" s="1"/>
  <c r="AB90" i="433"/>
  <c r="O769" i="433"/>
  <c r="O768" i="433" s="1"/>
  <c r="O988" i="433" s="1"/>
  <c r="F245" i="433"/>
  <c r="AB1000" i="433"/>
  <c r="AC1000" i="433" s="1"/>
  <c r="R706" i="433"/>
  <c r="AB706" i="433" s="1"/>
  <c r="AC706" i="433" s="1"/>
  <c r="K566" i="433"/>
  <c r="AC468" i="433"/>
  <c r="AB250" i="433"/>
  <c r="AC250" i="433" s="1"/>
  <c r="AB237" i="433"/>
  <c r="AC237" i="433" s="1"/>
  <c r="AB190" i="433"/>
  <c r="AC190" i="433" s="1"/>
  <c r="AB279" i="433"/>
  <c r="AC279" i="433" s="1"/>
  <c r="AC179" i="433"/>
  <c r="AC284" i="433"/>
  <c r="AC130" i="433"/>
  <c r="AC811" i="433"/>
  <c r="AB797" i="433"/>
  <c r="AC797" i="433" s="1"/>
  <c r="AB778" i="433"/>
  <c r="AB656" i="433"/>
  <c r="AC656" i="433" s="1"/>
  <c r="AB808" i="433"/>
  <c r="AC711" i="433"/>
  <c r="AC691" i="433"/>
  <c r="F671" i="433"/>
  <c r="F670" i="433" s="1"/>
  <c r="F669" i="433" s="1"/>
  <c r="F668" i="433" s="1"/>
  <c r="F667" i="433" s="1"/>
  <c r="AB586" i="433"/>
  <c r="AC586" i="433" s="1"/>
  <c r="AA566" i="433"/>
  <c r="AC471" i="433"/>
  <c r="I245" i="433"/>
  <c r="I11" i="433" s="1"/>
  <c r="I765" i="433" s="1"/>
  <c r="AC527" i="433"/>
  <c r="R330" i="433"/>
  <c r="AB224" i="433"/>
  <c r="AC224" i="433" s="1"/>
  <c r="AC243" i="433"/>
  <c r="AC166" i="433"/>
  <c r="AC145" i="433"/>
  <c r="M12" i="433"/>
  <c r="R52" i="433"/>
  <c r="AB52" i="433" s="1"/>
  <c r="AC563" i="433"/>
  <c r="AC681" i="433"/>
  <c r="AB529" i="433"/>
  <c r="AB513" i="433"/>
  <c r="AC513" i="433" s="1"/>
  <c r="AB683" i="433"/>
  <c r="AC683" i="433" s="1"/>
  <c r="AB578" i="433"/>
  <c r="V341" i="433"/>
  <c r="V340" i="433" s="1"/>
  <c r="V245" i="433" s="1"/>
  <c r="V11" i="433" s="1"/>
  <c r="V765" i="433" s="1"/>
  <c r="AB184" i="433"/>
  <c r="AC184" i="433" s="1"/>
  <c r="AB170" i="433"/>
  <c r="AC709" i="433"/>
  <c r="AB468" i="433"/>
  <c r="AB403" i="433"/>
  <c r="AC403" i="433" s="1"/>
  <c r="AC239" i="433"/>
  <c r="M341" i="433"/>
  <c r="M340" i="433" s="1"/>
  <c r="M245" i="433" s="1"/>
  <c r="AB338" i="433"/>
  <c r="AC338" i="433" s="1"/>
  <c r="AC108" i="433"/>
  <c r="AB110" i="433"/>
  <c r="AC110" i="433" s="1"/>
  <c r="S671" i="433"/>
  <c r="U341" i="433"/>
  <c r="U340" i="433" s="1"/>
  <c r="U245" i="433" s="1"/>
  <c r="U11" i="433" s="1"/>
  <c r="U765" i="433" s="1"/>
  <c r="AC225" i="433"/>
  <c r="AC90" i="433"/>
  <c r="AB833" i="433"/>
  <c r="AC781" i="433"/>
  <c r="U769" i="433"/>
  <c r="U768" i="433" s="1"/>
  <c r="U988" i="433" s="1"/>
  <c r="AB580" i="433"/>
  <c r="AC580" i="433" s="1"/>
  <c r="AC529" i="433"/>
  <c r="AC275" i="433"/>
  <c r="AC215" i="433"/>
  <c r="AC170" i="433"/>
  <c r="AB159" i="433"/>
  <c r="AC159" i="433" s="1"/>
  <c r="AC910" i="433"/>
  <c r="AA1005" i="433"/>
  <c r="V824" i="433"/>
  <c r="V769" i="433" s="1"/>
  <c r="V768" i="433" s="1"/>
  <c r="V988" i="433" s="1"/>
  <c r="AB874" i="433"/>
  <c r="AC874" i="433" s="1"/>
  <c r="AC783" i="433"/>
  <c r="AB820" i="433"/>
  <c r="AC820" i="433" s="1"/>
  <c r="AB796" i="433"/>
  <c r="AC796" i="433" s="1"/>
  <c r="N777" i="433"/>
  <c r="N770" i="433" s="1"/>
  <c r="AB715" i="433"/>
  <c r="AC715" i="433" s="1"/>
  <c r="K706" i="433"/>
  <c r="AC673" i="433"/>
  <c r="AC589" i="433"/>
  <c r="AC505" i="433"/>
  <c r="AB560" i="433"/>
  <c r="N341" i="433"/>
  <c r="N340" i="433" s="1"/>
  <c r="N245" i="433" s="1"/>
  <c r="R329" i="433"/>
  <c r="AB329" i="433" s="1"/>
  <c r="AB246" i="433"/>
  <c r="AC246" i="433" s="1"/>
  <c r="S341" i="433"/>
  <c r="S340" i="433" s="1"/>
  <c r="AC266" i="433"/>
  <c r="AC241" i="433"/>
  <c r="AB253" i="433"/>
  <c r="AC253" i="433" s="1"/>
  <c r="Y11" i="433"/>
  <c r="Y765" i="433" s="1"/>
  <c r="AB187" i="433"/>
  <c r="AC187" i="433" s="1"/>
  <c r="AC173" i="433"/>
  <c r="AC164" i="433"/>
  <c r="AC155" i="433"/>
  <c r="AC157" i="433"/>
  <c r="AC124" i="433"/>
  <c r="AC89" i="433"/>
  <c r="AC77" i="433"/>
  <c r="AC15" i="433"/>
  <c r="AB857" i="433"/>
  <c r="AC857" i="433" s="1"/>
  <c r="AB687" i="433"/>
  <c r="AC687" i="433" s="1"/>
  <c r="AC549" i="433"/>
  <c r="AB189" i="433"/>
  <c r="AC189" i="433" s="1"/>
  <c r="AB174" i="433"/>
  <c r="AC174" i="433" s="1"/>
  <c r="AA819" i="433"/>
  <c r="S818" i="433"/>
  <c r="AA818" i="433" s="1"/>
  <c r="AB166" i="433"/>
  <c r="AB129" i="433"/>
  <c r="AC129" i="433" s="1"/>
  <c r="AB72" i="433"/>
  <c r="AC72" i="433" s="1"/>
  <c r="AB35" i="433"/>
  <c r="AC35" i="433" s="1"/>
  <c r="AC19" i="433"/>
  <c r="AB134" i="433"/>
  <c r="AC134" i="433" s="1"/>
  <c r="Q769" i="433"/>
  <c r="Q768" i="433" s="1"/>
  <c r="Q988" i="433" s="1"/>
  <c r="T769" i="433"/>
  <c r="T768" i="433" s="1"/>
  <c r="T988" i="433" s="1"/>
  <c r="P12" i="433"/>
  <c r="G13" i="433"/>
  <c r="G12" i="433" s="1"/>
  <c r="G11" i="433" s="1"/>
  <c r="G765" i="433" s="1"/>
  <c r="K30" i="433"/>
  <c r="AB1002" i="433"/>
  <c r="AC1002" i="433" s="1"/>
  <c r="AA873" i="433"/>
  <c r="S872" i="433"/>
  <c r="AA872" i="433" s="1"/>
  <c r="AA832" i="433"/>
  <c r="S831" i="433"/>
  <c r="L1005" i="433"/>
  <c r="R1006" i="433"/>
  <c r="AB1006" i="433" s="1"/>
  <c r="D890" i="433"/>
  <c r="K891" i="433"/>
  <c r="L872" i="433"/>
  <c r="R872" i="433" s="1"/>
  <c r="AB872" i="433" s="1"/>
  <c r="R873" i="433"/>
  <c r="D842" i="433"/>
  <c r="K842" i="433" s="1"/>
  <c r="K843" i="433"/>
  <c r="D904" i="433"/>
  <c r="K904" i="433" s="1"/>
  <c r="K905" i="433"/>
  <c r="AB868" i="433"/>
  <c r="AA577" i="433"/>
  <c r="S573" i="433"/>
  <c r="K672" i="433"/>
  <c r="D671" i="433"/>
  <c r="L859" i="433"/>
  <c r="R859" i="433" s="1"/>
  <c r="R860" i="433"/>
  <c r="R274" i="433"/>
  <c r="AB274" i="433" s="1"/>
  <c r="AC274" i="433" s="1"/>
  <c r="L276" i="433"/>
  <c r="R276" i="433" s="1"/>
  <c r="AB276" i="433" s="1"/>
  <c r="AC276" i="433" s="1"/>
  <c r="R997" i="433"/>
  <c r="AB997" i="433" s="1"/>
  <c r="AC997" i="433" s="1"/>
  <c r="R996" i="433"/>
  <c r="AB996" i="433" s="1"/>
  <c r="AC996" i="433" s="1"/>
  <c r="AB992" i="433"/>
  <c r="AC992" i="433" s="1"/>
  <c r="AC991" i="433"/>
  <c r="AA891" i="433"/>
  <c r="S890" i="433"/>
  <c r="AB892" i="433"/>
  <c r="AC892" i="433" s="1"/>
  <c r="AB1007" i="433"/>
  <c r="AC1007" i="433" s="1"/>
  <c r="R913" i="433"/>
  <c r="AB913" i="433" s="1"/>
  <c r="AC913" i="433" s="1"/>
  <c r="L912" i="433"/>
  <c r="R912" i="433" s="1"/>
  <c r="AB912" i="433" s="1"/>
  <c r="AC912" i="433" s="1"/>
  <c r="AA861" i="433"/>
  <c r="S860" i="433"/>
  <c r="D872" i="433"/>
  <c r="K872" i="433" s="1"/>
  <c r="K873" i="433"/>
  <c r="AB852" i="433"/>
  <c r="AC852" i="433" s="1"/>
  <c r="AB844" i="433"/>
  <c r="AC844" i="433" s="1"/>
  <c r="AB836" i="433"/>
  <c r="L818" i="433"/>
  <c r="R818" i="433" s="1"/>
  <c r="AB818" i="433" s="1"/>
  <c r="R819" i="433"/>
  <c r="AB805" i="433"/>
  <c r="AC805" i="433" s="1"/>
  <c r="AC813" i="433"/>
  <c r="R900" i="433"/>
  <c r="AB900" i="433" s="1"/>
  <c r="L899" i="433"/>
  <c r="R899" i="433" s="1"/>
  <c r="AB899" i="433" s="1"/>
  <c r="I769" i="433"/>
  <c r="I768" i="433" s="1"/>
  <c r="I988" i="433" s="1"/>
  <c r="AB775" i="433"/>
  <c r="AC775" i="433" s="1"/>
  <c r="G769" i="433"/>
  <c r="G768" i="433" s="1"/>
  <c r="G988" i="433" s="1"/>
  <c r="R573" i="433"/>
  <c r="L572" i="433"/>
  <c r="R572" i="433" s="1"/>
  <c r="AB879" i="433"/>
  <c r="AC879" i="433" s="1"/>
  <c r="AB826" i="433"/>
  <c r="AC826" i="433" s="1"/>
  <c r="AB825" i="433"/>
  <c r="AC825" i="433" s="1"/>
  <c r="R566" i="433"/>
  <c r="AB566" i="433" s="1"/>
  <c r="AC566" i="433" s="1"/>
  <c r="AB693" i="433"/>
  <c r="AC693" i="433" s="1"/>
  <c r="AB561" i="433"/>
  <c r="AC561" i="433" s="1"/>
  <c r="L341" i="433"/>
  <c r="R252" i="433"/>
  <c r="AB252" i="433" s="1"/>
  <c r="AC252" i="433" s="1"/>
  <c r="S143" i="433"/>
  <c r="AA146" i="433"/>
  <c r="D818" i="433"/>
  <c r="K818" i="433" s="1"/>
  <c r="K819" i="433"/>
  <c r="AB464" i="433"/>
  <c r="AC464" i="433" s="1"/>
  <c r="AB331" i="433"/>
  <c r="AC331" i="433" s="1"/>
  <c r="K221" i="433"/>
  <c r="D220" i="433"/>
  <c r="AB216" i="433"/>
  <c r="AC216" i="433" s="1"/>
  <c r="AB207" i="433"/>
  <c r="AC207" i="433" s="1"/>
  <c r="K93" i="433"/>
  <c r="AC93" i="433" s="1"/>
  <c r="AB968" i="433"/>
  <c r="AC968" i="433" s="1"/>
  <c r="L831" i="433"/>
  <c r="R832" i="433"/>
  <c r="AB832" i="433" s="1"/>
  <c r="AC832" i="433" s="1"/>
  <c r="P889" i="433"/>
  <c r="P768" i="433" s="1"/>
  <c r="P988" i="433" s="1"/>
  <c r="R999" i="433"/>
  <c r="AB999" i="433" s="1"/>
  <c r="AC999" i="433" s="1"/>
  <c r="AA1004" i="433"/>
  <c r="S995" i="433"/>
  <c r="R998" i="433"/>
  <c r="AB998" i="433" s="1"/>
  <c r="AC998" i="433" s="1"/>
  <c r="S966" i="433"/>
  <c r="AA967" i="433"/>
  <c r="R967" i="433"/>
  <c r="L966" i="433"/>
  <c r="L890" i="433"/>
  <c r="R891" i="433"/>
  <c r="AB865" i="433"/>
  <c r="AC865" i="433" s="1"/>
  <c r="Z824" i="433"/>
  <c r="AC833" i="433"/>
  <c r="K967" i="433"/>
  <c r="D966" i="433"/>
  <c r="AB914" i="433"/>
  <c r="AC914" i="433" s="1"/>
  <c r="N842" i="433"/>
  <c r="N835" i="433" s="1"/>
  <c r="N824" i="433" s="1"/>
  <c r="N769" i="433" s="1"/>
  <c r="N768" i="433" s="1"/>
  <c r="N988" i="433" s="1"/>
  <c r="K778" i="433"/>
  <c r="AC778" i="433" s="1"/>
  <c r="AB853" i="433"/>
  <c r="AC853" i="433" s="1"/>
  <c r="AB771" i="433"/>
  <c r="AC771" i="433" s="1"/>
  <c r="AB901" i="433"/>
  <c r="AC901" i="433" s="1"/>
  <c r="D807" i="433"/>
  <c r="K807" i="433" s="1"/>
  <c r="AC807" i="433" s="1"/>
  <c r="K808" i="433"/>
  <c r="L790" i="433"/>
  <c r="R791" i="433"/>
  <c r="AB791" i="433" s="1"/>
  <c r="AC791" i="433" s="1"/>
  <c r="R577" i="433"/>
  <c r="AC882" i="433"/>
  <c r="AB786" i="433"/>
  <c r="AC786" i="433" s="1"/>
  <c r="M769" i="433"/>
  <c r="M768" i="433" s="1"/>
  <c r="M988" i="433" s="1"/>
  <c r="H769" i="433"/>
  <c r="H768" i="433" s="1"/>
  <c r="H988" i="433" s="1"/>
  <c r="AA651" i="433"/>
  <c r="S650" i="433"/>
  <c r="AA650" i="433" s="1"/>
  <c r="AC567" i="433"/>
  <c r="AB800" i="433"/>
  <c r="AC800" i="433" s="1"/>
  <c r="D341" i="433"/>
  <c r="AC329" i="433"/>
  <c r="S191" i="433"/>
  <c r="AA191" i="433" s="1"/>
  <c r="AA192" i="433"/>
  <c r="AA843" i="433"/>
  <c r="R346" i="433"/>
  <c r="AB346" i="433" s="1"/>
  <c r="AC346" i="433" s="1"/>
  <c r="AB330" i="433"/>
  <c r="AC330" i="433" s="1"/>
  <c r="AA222" i="433"/>
  <c r="S221" i="433"/>
  <c r="AB238" i="433"/>
  <c r="AC238" i="433" s="1"/>
  <c r="AB192" i="433"/>
  <c r="AC192" i="433" s="1"/>
  <c r="K182" i="433"/>
  <c r="D181" i="433"/>
  <c r="K181" i="433" s="1"/>
  <c r="K152" i="433"/>
  <c r="D151" i="433"/>
  <c r="K151" i="433" s="1"/>
  <c r="R80" i="433"/>
  <c r="L79" i="433"/>
  <c r="K52" i="433"/>
  <c r="AC52" i="433" s="1"/>
  <c r="J11" i="433"/>
  <c r="J765" i="433" s="1"/>
  <c r="D835" i="433"/>
  <c r="K835" i="433" s="1"/>
  <c r="K836" i="433"/>
  <c r="D790" i="433"/>
  <c r="K791" i="433"/>
  <c r="AB869" i="433"/>
  <c r="AA905" i="433"/>
  <c r="S904" i="433"/>
  <c r="AA904" i="433" s="1"/>
  <c r="K831" i="433"/>
  <c r="AC808" i="433"/>
  <c r="Z769" i="433"/>
  <c r="Z768" i="433" s="1"/>
  <c r="Z988" i="433" s="1"/>
  <c r="W769" i="433"/>
  <c r="W768" i="433" s="1"/>
  <c r="W988" i="433" s="1"/>
  <c r="L671" i="433"/>
  <c r="R672" i="433"/>
  <c r="AB672" i="433" s="1"/>
  <c r="AC672" i="433" s="1"/>
  <c r="D572" i="433"/>
  <c r="K572" i="433" s="1"/>
  <c r="K573" i="433"/>
  <c r="R861" i="433"/>
  <c r="AB861" i="433" s="1"/>
  <c r="AC861" i="433" s="1"/>
  <c r="AC555" i="433"/>
  <c r="Y769" i="433"/>
  <c r="Y768" i="433" s="1"/>
  <c r="Y988" i="433" s="1"/>
  <c r="AB694" i="433"/>
  <c r="AC694" i="433" s="1"/>
  <c r="R337" i="433"/>
  <c r="AB337" i="433" s="1"/>
  <c r="L336" i="433"/>
  <c r="R223" i="433"/>
  <c r="AB223" i="433" s="1"/>
  <c r="AC223" i="433" s="1"/>
  <c r="L222" i="433"/>
  <c r="S181" i="433"/>
  <c r="AA181" i="433" s="1"/>
  <c r="AB181" i="433" s="1"/>
  <c r="AC181" i="433" s="1"/>
  <c r="AA182" i="433"/>
  <c r="AB182" i="433" s="1"/>
  <c r="AC182" i="433" s="1"/>
  <c r="AC523" i="433"/>
  <c r="AA341" i="433"/>
  <c r="K201" i="433"/>
  <c r="AC201" i="433" s="1"/>
  <c r="D200" i="433"/>
  <c r="AB281" i="433"/>
  <c r="AC281" i="433" s="1"/>
  <c r="AB258" i="433"/>
  <c r="AC258" i="433" s="1"/>
  <c r="L191" i="433"/>
  <c r="R191" i="433" s="1"/>
  <c r="AB191" i="433" s="1"/>
  <c r="AC171" i="433"/>
  <c r="K146" i="433"/>
  <c r="D143" i="433"/>
  <c r="R14" i="433"/>
  <c r="AC162" i="433"/>
  <c r="AA80" i="433"/>
  <c r="S79" i="433"/>
  <c r="K1006" i="433"/>
  <c r="D1005" i="433"/>
  <c r="L905" i="433"/>
  <c r="R906" i="433"/>
  <c r="AB906" i="433" s="1"/>
  <c r="AC906" i="433" s="1"/>
  <c r="AC837" i="433"/>
  <c r="AB884" i="433"/>
  <c r="AC884" i="433" s="1"/>
  <c r="K900" i="433"/>
  <c r="D899" i="433"/>
  <c r="K899" i="433" s="1"/>
  <c r="X769" i="433"/>
  <c r="X768" i="433" s="1"/>
  <c r="X988" i="433" s="1"/>
  <c r="AB707" i="433"/>
  <c r="AC707" i="433" s="1"/>
  <c r="R655" i="433"/>
  <c r="AB655" i="433" s="1"/>
  <c r="L651" i="433"/>
  <c r="K655" i="433"/>
  <c r="D651" i="433"/>
  <c r="R843" i="433"/>
  <c r="AB843" i="433" s="1"/>
  <c r="AC843" i="433" s="1"/>
  <c r="AC560" i="433"/>
  <c r="D336" i="433"/>
  <c r="K337" i="433"/>
  <c r="S151" i="433"/>
  <c r="AA151" i="433" s="1"/>
  <c r="AA152" i="433"/>
  <c r="AB822" i="433"/>
  <c r="AC822" i="433" s="1"/>
  <c r="S789" i="433"/>
  <c r="AC507" i="433"/>
  <c r="AC406" i="433"/>
  <c r="L151" i="433"/>
  <c r="R152" i="433"/>
  <c r="AC122" i="433"/>
  <c r="AA14" i="433"/>
  <c r="O11" i="433"/>
  <c r="O765" i="433" s="1"/>
  <c r="O1018" i="433" s="1"/>
  <c r="AC139" i="433"/>
  <c r="W12" i="433"/>
  <c r="W11" i="433" s="1"/>
  <c r="W765" i="433" s="1"/>
  <c r="F12" i="433"/>
  <c r="P170" i="435" l="1"/>
  <c r="Z122" i="435"/>
  <c r="P119" i="435"/>
  <c r="P176" i="435" s="1"/>
  <c r="Z5" i="435"/>
  <c r="Q11" i="433"/>
  <c r="Q765" i="433" s="1"/>
  <c r="W1018" i="433"/>
  <c r="U1018" i="433"/>
  <c r="V1018" i="433"/>
  <c r="P11" i="433"/>
  <c r="P765" i="433" s="1"/>
  <c r="X1018" i="433"/>
  <c r="Z1018" i="433"/>
  <c r="F11" i="433"/>
  <c r="F765" i="433" s="1"/>
  <c r="F1018" i="433" s="1"/>
  <c r="N11" i="433"/>
  <c r="N765" i="433" s="1"/>
  <c r="N1018" i="433" s="1"/>
  <c r="Q1018" i="433"/>
  <c r="AB146" i="433"/>
  <c r="AC146" i="433" s="1"/>
  <c r="Q16" i="434"/>
  <c r="AA16" i="434" s="1"/>
  <c r="AB16" i="434" s="1"/>
  <c r="K15" i="434"/>
  <c r="C32" i="434"/>
  <c r="J33" i="434"/>
  <c r="Q33" i="434"/>
  <c r="AA33" i="434" s="1"/>
  <c r="K32" i="434"/>
  <c r="J14" i="434"/>
  <c r="C13" i="434"/>
  <c r="Z30" i="434"/>
  <c r="R29" i="434"/>
  <c r="Z29" i="434" s="1"/>
  <c r="R14" i="434"/>
  <c r="Z15" i="434"/>
  <c r="AB34" i="434"/>
  <c r="AA671" i="433"/>
  <c r="S670" i="433"/>
  <c r="AC836" i="433"/>
  <c r="G1018" i="433"/>
  <c r="K13" i="433"/>
  <c r="L842" i="433"/>
  <c r="AC655" i="433"/>
  <c r="J1018" i="433"/>
  <c r="AB577" i="433"/>
  <c r="AB152" i="433"/>
  <c r="AC152" i="433" s="1"/>
  <c r="Y1018" i="433"/>
  <c r="AB967" i="433"/>
  <c r="AC967" i="433" s="1"/>
  <c r="AB819" i="433"/>
  <c r="AC819" i="433" s="1"/>
  <c r="M11" i="433"/>
  <c r="M765" i="433" s="1"/>
  <c r="M1018" i="433" s="1"/>
  <c r="AA789" i="433"/>
  <c r="S777" i="433"/>
  <c r="AB14" i="433"/>
  <c r="AC14" i="433" s="1"/>
  <c r="AA340" i="433"/>
  <c r="R222" i="433"/>
  <c r="AB222" i="433" s="1"/>
  <c r="AC222" i="433" s="1"/>
  <c r="L221" i="433"/>
  <c r="R671" i="433"/>
  <c r="AB671" i="433" s="1"/>
  <c r="L670" i="433"/>
  <c r="D824" i="433"/>
  <c r="K824" i="433" s="1"/>
  <c r="R79" i="433"/>
  <c r="L30" i="433"/>
  <c r="S220" i="433"/>
  <c r="AA221" i="433"/>
  <c r="D340" i="433"/>
  <c r="K341" i="433"/>
  <c r="AB891" i="433"/>
  <c r="AC891" i="433" s="1"/>
  <c r="R831" i="433"/>
  <c r="R341" i="433"/>
  <c r="AB341" i="433" s="1"/>
  <c r="L340" i="433"/>
  <c r="AC899" i="433"/>
  <c r="K890" i="433"/>
  <c r="D889" i="433"/>
  <c r="K889" i="433" s="1"/>
  <c r="R842" i="433"/>
  <c r="L835" i="433"/>
  <c r="R835" i="433" s="1"/>
  <c r="R336" i="433"/>
  <c r="AB336" i="433" s="1"/>
  <c r="L335" i="433"/>
  <c r="R335" i="433" s="1"/>
  <c r="AB335" i="433" s="1"/>
  <c r="K220" i="433"/>
  <c r="D219" i="433"/>
  <c r="K219" i="433" s="1"/>
  <c r="R151" i="433"/>
  <c r="AB151" i="433" s="1"/>
  <c r="AC151" i="433" s="1"/>
  <c r="R651" i="433"/>
  <c r="AB651" i="433" s="1"/>
  <c r="AC651" i="433" s="1"/>
  <c r="L650" i="433"/>
  <c r="R650" i="433" s="1"/>
  <c r="AB650" i="433" s="1"/>
  <c r="AA79" i="433"/>
  <c r="S30" i="433"/>
  <c r="K200" i="433"/>
  <c r="AC200" i="433" s="1"/>
  <c r="D191" i="433"/>
  <c r="K191" i="433" s="1"/>
  <c r="AC191" i="433" s="1"/>
  <c r="AB80" i="433"/>
  <c r="AC80" i="433" s="1"/>
  <c r="R890" i="433"/>
  <c r="AA966" i="433"/>
  <c r="S965" i="433"/>
  <c r="AA965" i="433" s="1"/>
  <c r="AA143" i="433"/>
  <c r="AB143" i="433" s="1"/>
  <c r="AC900" i="433"/>
  <c r="AC818" i="433"/>
  <c r="AA890" i="433"/>
  <c r="S889" i="433"/>
  <c r="AA889" i="433" s="1"/>
  <c r="AB873" i="433"/>
  <c r="AC873" i="433" s="1"/>
  <c r="AC1006" i="433"/>
  <c r="P1018" i="433"/>
  <c r="L904" i="433"/>
  <c r="R904" i="433" s="1"/>
  <c r="AB904" i="433" s="1"/>
  <c r="AC904" i="433" s="1"/>
  <c r="R905" i="433"/>
  <c r="AB905" i="433" s="1"/>
  <c r="AC905" i="433" s="1"/>
  <c r="S572" i="433"/>
  <c r="AA572" i="433" s="1"/>
  <c r="AB572" i="433" s="1"/>
  <c r="AA573" i="433"/>
  <c r="AB573" i="433" s="1"/>
  <c r="AC872" i="433"/>
  <c r="R1005" i="433"/>
  <c r="AB1005" i="433" s="1"/>
  <c r="L1004" i="433"/>
  <c r="K143" i="433"/>
  <c r="K790" i="433"/>
  <c r="D789" i="433"/>
  <c r="R966" i="433"/>
  <c r="L965" i="433"/>
  <c r="R965" i="433" s="1"/>
  <c r="K336" i="433"/>
  <c r="D335" i="433"/>
  <c r="K335" i="433" s="1"/>
  <c r="K651" i="433"/>
  <c r="D650" i="433"/>
  <c r="K650" i="433" s="1"/>
  <c r="K1005" i="433"/>
  <c r="D1004" i="433"/>
  <c r="AC337" i="433"/>
  <c r="L789" i="433"/>
  <c r="R790" i="433"/>
  <c r="AB790" i="433" s="1"/>
  <c r="AC790" i="433" s="1"/>
  <c r="K966" i="433"/>
  <c r="D965" i="433"/>
  <c r="K965" i="433" s="1"/>
  <c r="S1017" i="433"/>
  <c r="AA995" i="433"/>
  <c r="AA1017" i="433" s="1"/>
  <c r="AA860" i="433"/>
  <c r="AB860" i="433" s="1"/>
  <c r="AC860" i="433" s="1"/>
  <c r="S859" i="433"/>
  <c r="K671" i="433"/>
  <c r="D670" i="433"/>
  <c r="AA831" i="433"/>
  <c r="I1018" i="433"/>
  <c r="S673" i="432"/>
  <c r="S672" i="432" s="1"/>
  <c r="S233" i="432"/>
  <c r="S232" i="432"/>
  <c r="S231" i="432"/>
  <c r="S230" i="432"/>
  <c r="S229" i="432"/>
  <c r="S228" i="432"/>
  <c r="S226" i="432"/>
  <c r="S225" i="432"/>
  <c r="S224" i="432"/>
  <c r="S865" i="432"/>
  <c r="S867" i="432"/>
  <c r="S866" i="432"/>
  <c r="S86" i="432"/>
  <c r="S85" i="432"/>
  <c r="S84" i="432"/>
  <c r="S83" i="432"/>
  <c r="S81" i="432"/>
  <c r="K198" i="432"/>
  <c r="E198" i="432"/>
  <c r="E199" i="432"/>
  <c r="K199" i="432" s="1"/>
  <c r="R198" i="432"/>
  <c r="R199" i="432"/>
  <c r="AA198" i="432"/>
  <c r="AA199" i="432"/>
  <c r="S193" i="432"/>
  <c r="S192" i="432" s="1"/>
  <c r="O196" i="5"/>
  <c r="O197" i="5"/>
  <c r="O198" i="5"/>
  <c r="O199" i="5"/>
  <c r="O200" i="5"/>
  <c r="D192" i="5"/>
  <c r="E192" i="5"/>
  <c r="F192" i="5"/>
  <c r="G192" i="5"/>
  <c r="H192" i="5"/>
  <c r="I192" i="5"/>
  <c r="J192" i="5"/>
  <c r="K192" i="5"/>
  <c r="L192" i="5"/>
  <c r="M192" i="5"/>
  <c r="N192" i="5"/>
  <c r="C192" i="5"/>
  <c r="C193" i="5"/>
  <c r="E1002" i="432"/>
  <c r="E1003" i="432"/>
  <c r="E1004" i="432"/>
  <c r="E1005" i="432"/>
  <c r="E1006" i="432"/>
  <c r="E1007" i="432"/>
  <c r="E1008" i="432"/>
  <c r="E1009" i="432"/>
  <c r="E1010" i="432"/>
  <c r="K1010" i="432" s="1"/>
  <c r="E1011" i="432"/>
  <c r="E1012" i="432"/>
  <c r="E1013" i="432"/>
  <c r="K1013" i="432" s="1"/>
  <c r="E1014" i="432"/>
  <c r="E1015" i="432"/>
  <c r="E1016" i="432"/>
  <c r="K1016" i="432" s="1"/>
  <c r="E1001" i="432"/>
  <c r="K1001" i="432" s="1"/>
  <c r="E1000" i="432"/>
  <c r="E999" i="432"/>
  <c r="E996" i="432"/>
  <c r="E997" i="432"/>
  <c r="E998" i="432"/>
  <c r="E995" i="432"/>
  <c r="E991" i="432"/>
  <c r="E774" i="432"/>
  <c r="K774" i="432" s="1"/>
  <c r="E775" i="432"/>
  <c r="E776" i="432"/>
  <c r="E777" i="432"/>
  <c r="E778" i="432"/>
  <c r="E779" i="432"/>
  <c r="K779" i="432" s="1"/>
  <c r="E780" i="432"/>
  <c r="E781" i="432"/>
  <c r="E782" i="432"/>
  <c r="K782" i="432" s="1"/>
  <c r="E783" i="432"/>
  <c r="E784" i="432"/>
  <c r="E785" i="432"/>
  <c r="K785" i="432" s="1"/>
  <c r="E786" i="432"/>
  <c r="E787" i="432"/>
  <c r="K787" i="432" s="1"/>
  <c r="E788" i="432"/>
  <c r="E789" i="432"/>
  <c r="E790" i="432"/>
  <c r="E791" i="432"/>
  <c r="E792" i="432"/>
  <c r="E793" i="432"/>
  <c r="K793" i="432" s="1"/>
  <c r="E794" i="432"/>
  <c r="E795" i="432"/>
  <c r="K795" i="432" s="1"/>
  <c r="E796" i="432"/>
  <c r="E797" i="432"/>
  <c r="E798" i="432"/>
  <c r="K798" i="432" s="1"/>
  <c r="E799" i="432"/>
  <c r="K799" i="432" s="1"/>
  <c r="E800" i="432"/>
  <c r="E801" i="432"/>
  <c r="K801" i="432" s="1"/>
  <c r="E802" i="432"/>
  <c r="E803" i="432"/>
  <c r="K803" i="432" s="1"/>
  <c r="E804" i="432"/>
  <c r="E805" i="432"/>
  <c r="E806" i="432"/>
  <c r="K806" i="432" s="1"/>
  <c r="E807" i="432"/>
  <c r="E808" i="432"/>
  <c r="E809" i="432"/>
  <c r="E810" i="432"/>
  <c r="K810" i="432" s="1"/>
  <c r="E811" i="432"/>
  <c r="E812" i="432"/>
  <c r="E813" i="432"/>
  <c r="E814" i="432"/>
  <c r="K814" i="432" s="1"/>
  <c r="E815" i="432"/>
  <c r="K815" i="432" s="1"/>
  <c r="E816" i="432"/>
  <c r="E817" i="432"/>
  <c r="K817" i="432" s="1"/>
  <c r="E818" i="432"/>
  <c r="E819" i="432"/>
  <c r="E820" i="432"/>
  <c r="E821" i="432"/>
  <c r="K821" i="432" s="1"/>
  <c r="E822" i="432"/>
  <c r="E823" i="432"/>
  <c r="K823" i="432" s="1"/>
  <c r="E824" i="432"/>
  <c r="E825" i="432"/>
  <c r="E826" i="432"/>
  <c r="E827" i="432"/>
  <c r="K827" i="432" s="1"/>
  <c r="E828" i="432"/>
  <c r="E829" i="432"/>
  <c r="K829" i="432" s="1"/>
  <c r="E830" i="432"/>
  <c r="K830" i="432" s="1"/>
  <c r="E831" i="432"/>
  <c r="E832" i="432"/>
  <c r="E833" i="432"/>
  <c r="E834" i="432"/>
  <c r="K834" i="432" s="1"/>
  <c r="E835" i="432"/>
  <c r="E836" i="432"/>
  <c r="E837" i="432"/>
  <c r="E838" i="432"/>
  <c r="K838" i="432" s="1"/>
  <c r="E839" i="432"/>
  <c r="K839" i="432" s="1"/>
  <c r="E840" i="432"/>
  <c r="E841" i="432"/>
  <c r="E842" i="432"/>
  <c r="E843" i="432"/>
  <c r="E844" i="432"/>
  <c r="E845" i="432"/>
  <c r="E846" i="432"/>
  <c r="K846" i="432" s="1"/>
  <c r="E847" i="432"/>
  <c r="K847" i="432" s="1"/>
  <c r="E848" i="432"/>
  <c r="E849" i="432"/>
  <c r="K849" i="432" s="1"/>
  <c r="E850" i="432"/>
  <c r="K850" i="432" s="1"/>
  <c r="E851" i="432"/>
  <c r="E852" i="432"/>
  <c r="E853" i="432"/>
  <c r="E854" i="432"/>
  <c r="K854" i="432" s="1"/>
  <c r="E855" i="432"/>
  <c r="K855" i="432" s="1"/>
  <c r="E856" i="432"/>
  <c r="E857" i="432"/>
  <c r="E858" i="432"/>
  <c r="K858" i="432" s="1"/>
  <c r="E859" i="432"/>
  <c r="E860" i="432"/>
  <c r="E861" i="432"/>
  <c r="E862" i="432"/>
  <c r="K862" i="432" s="1"/>
  <c r="E863" i="432"/>
  <c r="K863" i="432" s="1"/>
  <c r="E864" i="432"/>
  <c r="E865" i="432"/>
  <c r="K865" i="432" s="1"/>
  <c r="E866" i="432"/>
  <c r="K866" i="432" s="1"/>
  <c r="E867" i="432"/>
  <c r="K867" i="432" s="1"/>
  <c r="E868" i="432"/>
  <c r="E869" i="432"/>
  <c r="E870" i="432"/>
  <c r="E871" i="432"/>
  <c r="K871" i="432" s="1"/>
  <c r="E872" i="432"/>
  <c r="E873" i="432"/>
  <c r="E874" i="432"/>
  <c r="E875" i="432"/>
  <c r="K875" i="432" s="1"/>
  <c r="E876" i="432"/>
  <c r="E877" i="432"/>
  <c r="E878" i="432"/>
  <c r="K878" i="432" s="1"/>
  <c r="E879" i="432"/>
  <c r="E880" i="432"/>
  <c r="E881" i="432"/>
  <c r="K881" i="432" s="1"/>
  <c r="E882" i="432"/>
  <c r="E883" i="432"/>
  <c r="K883" i="432" s="1"/>
  <c r="E884" i="432"/>
  <c r="E885" i="432"/>
  <c r="K885" i="432" s="1"/>
  <c r="E886" i="432"/>
  <c r="K886" i="432" s="1"/>
  <c r="E887" i="432"/>
  <c r="E888" i="432"/>
  <c r="E889" i="432"/>
  <c r="E890" i="432"/>
  <c r="E891" i="432"/>
  <c r="E892" i="432"/>
  <c r="E893" i="432"/>
  <c r="K893" i="432" s="1"/>
  <c r="E894" i="432"/>
  <c r="K894" i="432" s="1"/>
  <c r="E895" i="432"/>
  <c r="E896" i="432"/>
  <c r="E897" i="432"/>
  <c r="K897" i="432" s="1"/>
  <c r="E898" i="432"/>
  <c r="K898" i="432" s="1"/>
  <c r="E899" i="432"/>
  <c r="E900" i="432"/>
  <c r="E901" i="432"/>
  <c r="E902" i="432"/>
  <c r="K902" i="432" s="1"/>
  <c r="E903" i="432"/>
  <c r="K903" i="432" s="1"/>
  <c r="E904" i="432"/>
  <c r="E905" i="432"/>
  <c r="E906" i="432"/>
  <c r="E907" i="432"/>
  <c r="E908" i="432"/>
  <c r="E909" i="432"/>
  <c r="E910" i="432"/>
  <c r="E911" i="432"/>
  <c r="K911" i="432" s="1"/>
  <c r="E912" i="432"/>
  <c r="E913" i="432"/>
  <c r="E914" i="432"/>
  <c r="E915" i="432"/>
  <c r="K915" i="432" s="1"/>
  <c r="E916" i="432"/>
  <c r="E917" i="432"/>
  <c r="E918" i="432"/>
  <c r="K918" i="432" s="1"/>
  <c r="E919" i="432"/>
  <c r="K919" i="432" s="1"/>
  <c r="E920" i="432"/>
  <c r="E921" i="432"/>
  <c r="E922" i="432"/>
  <c r="K922" i="432" s="1"/>
  <c r="E923" i="432"/>
  <c r="K923" i="432" s="1"/>
  <c r="E924" i="432"/>
  <c r="E925" i="432"/>
  <c r="K925" i="432" s="1"/>
  <c r="E926" i="432"/>
  <c r="K926" i="432" s="1"/>
  <c r="E927" i="432"/>
  <c r="K927" i="432" s="1"/>
  <c r="E928" i="432"/>
  <c r="E929" i="432"/>
  <c r="K929" i="432" s="1"/>
  <c r="E930" i="432"/>
  <c r="E931" i="432"/>
  <c r="K931" i="432" s="1"/>
  <c r="E932" i="432"/>
  <c r="E933" i="432"/>
  <c r="K933" i="432" s="1"/>
  <c r="E934" i="432"/>
  <c r="K934" i="432" s="1"/>
  <c r="E935" i="432"/>
  <c r="K935" i="432" s="1"/>
  <c r="E936" i="432"/>
  <c r="E937" i="432"/>
  <c r="K937" i="432" s="1"/>
  <c r="E938" i="432"/>
  <c r="K938" i="432" s="1"/>
  <c r="E939" i="432"/>
  <c r="K939" i="432" s="1"/>
  <c r="E940" i="432"/>
  <c r="E941" i="432"/>
  <c r="K941" i="432" s="1"/>
  <c r="E942" i="432"/>
  <c r="K942" i="432" s="1"/>
  <c r="E943" i="432"/>
  <c r="K943" i="432" s="1"/>
  <c r="E944" i="432"/>
  <c r="E945" i="432"/>
  <c r="E946" i="432"/>
  <c r="K946" i="432" s="1"/>
  <c r="E947" i="432"/>
  <c r="K947" i="432" s="1"/>
  <c r="E948" i="432"/>
  <c r="E949" i="432"/>
  <c r="E950" i="432"/>
  <c r="E951" i="432"/>
  <c r="K951" i="432" s="1"/>
  <c r="E952" i="432"/>
  <c r="E953" i="432"/>
  <c r="E954" i="432"/>
  <c r="K954" i="432" s="1"/>
  <c r="E955" i="432"/>
  <c r="K955" i="432" s="1"/>
  <c r="E956" i="432"/>
  <c r="E957" i="432"/>
  <c r="K957" i="432" s="1"/>
  <c r="E958" i="432"/>
  <c r="K958" i="432" s="1"/>
  <c r="E959" i="432"/>
  <c r="K959" i="432" s="1"/>
  <c r="E960" i="432"/>
  <c r="E961" i="432"/>
  <c r="E962" i="432"/>
  <c r="K962" i="432" s="1"/>
  <c r="E963" i="432"/>
  <c r="E964" i="432"/>
  <c r="E965" i="432"/>
  <c r="E966" i="432"/>
  <c r="E967" i="432"/>
  <c r="E968" i="432"/>
  <c r="E969" i="432"/>
  <c r="E970" i="432"/>
  <c r="K970" i="432" s="1"/>
  <c r="E971" i="432"/>
  <c r="K971" i="432" s="1"/>
  <c r="E972" i="432"/>
  <c r="E973" i="432"/>
  <c r="E974" i="432"/>
  <c r="K974" i="432" s="1"/>
  <c r="E975" i="432"/>
  <c r="K975" i="432" s="1"/>
  <c r="E976" i="432"/>
  <c r="E977" i="432"/>
  <c r="E978" i="432"/>
  <c r="K978" i="432" s="1"/>
  <c r="E979" i="432"/>
  <c r="K979" i="432" s="1"/>
  <c r="E980" i="432"/>
  <c r="E981" i="432"/>
  <c r="K981" i="432" s="1"/>
  <c r="E982" i="432"/>
  <c r="K982" i="432" s="1"/>
  <c r="E983" i="432"/>
  <c r="K983" i="432" s="1"/>
  <c r="E984" i="432"/>
  <c r="E985" i="432"/>
  <c r="K985" i="432" s="1"/>
  <c r="E986" i="432"/>
  <c r="K986" i="432" s="1"/>
  <c r="E987" i="432"/>
  <c r="K987" i="432" s="1"/>
  <c r="E773" i="432"/>
  <c r="E772" i="432"/>
  <c r="E771" i="432"/>
  <c r="E770" i="432"/>
  <c r="E769" i="432"/>
  <c r="E768" i="432"/>
  <c r="E18" i="432"/>
  <c r="E19" i="432"/>
  <c r="E20" i="432"/>
  <c r="E21" i="432"/>
  <c r="E22" i="432"/>
  <c r="E23" i="432"/>
  <c r="E24" i="432"/>
  <c r="E25" i="432"/>
  <c r="E26" i="432"/>
  <c r="E27" i="432"/>
  <c r="E28" i="432"/>
  <c r="E29" i="432"/>
  <c r="E30" i="432"/>
  <c r="E31" i="432"/>
  <c r="E32" i="432"/>
  <c r="E33" i="432"/>
  <c r="E34" i="432"/>
  <c r="E35" i="432"/>
  <c r="E36" i="432"/>
  <c r="E37" i="432"/>
  <c r="E38" i="432"/>
  <c r="E39" i="432"/>
  <c r="E40" i="432"/>
  <c r="E41" i="432"/>
  <c r="E42" i="432"/>
  <c r="E43" i="432"/>
  <c r="E44" i="432"/>
  <c r="E45" i="432"/>
  <c r="E46" i="432"/>
  <c r="K46" i="432" s="1"/>
  <c r="E47" i="432"/>
  <c r="E48" i="432"/>
  <c r="E49" i="432"/>
  <c r="E50" i="432"/>
  <c r="E51" i="432"/>
  <c r="E52" i="432"/>
  <c r="E53" i="432"/>
  <c r="E54" i="432"/>
  <c r="K54" i="432" s="1"/>
  <c r="E55" i="432"/>
  <c r="E56" i="432"/>
  <c r="E57" i="432"/>
  <c r="E58" i="432"/>
  <c r="E59" i="432"/>
  <c r="E60" i="432"/>
  <c r="E61" i="432"/>
  <c r="E62" i="432"/>
  <c r="E63" i="432"/>
  <c r="E64" i="432"/>
  <c r="E65" i="432"/>
  <c r="E66" i="432"/>
  <c r="E67" i="432"/>
  <c r="E68" i="432"/>
  <c r="E69" i="432"/>
  <c r="E70" i="432"/>
  <c r="E71" i="432"/>
  <c r="E72" i="432"/>
  <c r="E73" i="432"/>
  <c r="E74" i="432"/>
  <c r="E75" i="432"/>
  <c r="E76" i="432"/>
  <c r="E77" i="432"/>
  <c r="E78" i="432"/>
  <c r="E79" i="432"/>
  <c r="E80" i="432"/>
  <c r="E81" i="432"/>
  <c r="E82" i="432"/>
  <c r="K82" i="432" s="1"/>
  <c r="E83" i="432"/>
  <c r="E84" i="432"/>
  <c r="E85" i="432"/>
  <c r="E86" i="432"/>
  <c r="E87" i="432"/>
  <c r="E88" i="432"/>
  <c r="E89" i="432"/>
  <c r="E90" i="432"/>
  <c r="E91" i="432"/>
  <c r="E92" i="432"/>
  <c r="E93" i="432"/>
  <c r="E94" i="432"/>
  <c r="E95" i="432"/>
  <c r="E96" i="432"/>
  <c r="E97" i="432"/>
  <c r="E98" i="432"/>
  <c r="E99" i="432"/>
  <c r="E100" i="432"/>
  <c r="E101" i="432"/>
  <c r="E102" i="432"/>
  <c r="K102" i="432" s="1"/>
  <c r="E103" i="432"/>
  <c r="E104" i="432"/>
  <c r="E105" i="432"/>
  <c r="E106" i="432"/>
  <c r="E107" i="432"/>
  <c r="E108" i="432"/>
  <c r="E109" i="432"/>
  <c r="K109" i="432" s="1"/>
  <c r="E110" i="432"/>
  <c r="E111" i="432"/>
  <c r="E112" i="432"/>
  <c r="E113" i="432"/>
  <c r="E114" i="432"/>
  <c r="E115" i="432"/>
  <c r="E116" i="432"/>
  <c r="E117" i="432"/>
  <c r="E118" i="432"/>
  <c r="K118" i="432" s="1"/>
  <c r="E119" i="432"/>
  <c r="E120" i="432"/>
  <c r="E121" i="432"/>
  <c r="E122" i="432"/>
  <c r="E123" i="432"/>
  <c r="E124" i="432"/>
  <c r="E125" i="432"/>
  <c r="E126" i="432"/>
  <c r="K126" i="432" s="1"/>
  <c r="E127" i="432"/>
  <c r="E128" i="432"/>
  <c r="E129" i="432"/>
  <c r="E130" i="432"/>
  <c r="E131" i="432"/>
  <c r="E132" i="432"/>
  <c r="E133" i="432"/>
  <c r="E134" i="432"/>
  <c r="E135" i="432"/>
  <c r="E136" i="432"/>
  <c r="E137" i="432"/>
  <c r="E138" i="432"/>
  <c r="E139" i="432"/>
  <c r="E140" i="432"/>
  <c r="E141" i="432"/>
  <c r="E143" i="432"/>
  <c r="E144" i="432"/>
  <c r="E145" i="432"/>
  <c r="E146" i="432"/>
  <c r="E147" i="432"/>
  <c r="E148" i="432"/>
  <c r="E149" i="432"/>
  <c r="K149" i="432" s="1"/>
  <c r="E150" i="432"/>
  <c r="K150" i="432" s="1"/>
  <c r="E151" i="432"/>
  <c r="E152" i="432"/>
  <c r="E153" i="432"/>
  <c r="E154" i="432"/>
  <c r="K154" i="432" s="1"/>
  <c r="E155" i="432"/>
  <c r="E156" i="432"/>
  <c r="E157" i="432"/>
  <c r="E158" i="432"/>
  <c r="E159" i="432"/>
  <c r="E160" i="432"/>
  <c r="E161" i="432"/>
  <c r="K161" i="432" s="1"/>
  <c r="E162" i="432"/>
  <c r="E163" i="432"/>
  <c r="E164" i="432"/>
  <c r="E165" i="432"/>
  <c r="E166" i="432"/>
  <c r="E167" i="432"/>
  <c r="E168" i="432"/>
  <c r="E169" i="432"/>
  <c r="E170" i="432"/>
  <c r="E171" i="432"/>
  <c r="E172" i="432"/>
  <c r="E173" i="432"/>
  <c r="E174" i="432"/>
  <c r="E175" i="432"/>
  <c r="E176" i="432"/>
  <c r="E177" i="432"/>
  <c r="E178" i="432"/>
  <c r="E179" i="432"/>
  <c r="E180" i="432"/>
  <c r="E185" i="432"/>
  <c r="K185" i="432" s="1"/>
  <c r="E186" i="432"/>
  <c r="E187" i="432"/>
  <c r="E188" i="432"/>
  <c r="E189" i="432"/>
  <c r="E190" i="432"/>
  <c r="E193" i="432"/>
  <c r="E194" i="432"/>
  <c r="K194" i="432" s="1"/>
  <c r="E195" i="432"/>
  <c r="E196" i="432"/>
  <c r="E197" i="432"/>
  <c r="K197" i="432" s="1"/>
  <c r="E200" i="432"/>
  <c r="E201" i="432"/>
  <c r="E202" i="432"/>
  <c r="E203" i="432"/>
  <c r="K203" i="432" s="1"/>
  <c r="E204" i="432"/>
  <c r="K204" i="432" s="1"/>
  <c r="E205" i="432"/>
  <c r="E206" i="432"/>
  <c r="E207" i="432"/>
  <c r="E208" i="432"/>
  <c r="K208" i="432" s="1"/>
  <c r="E209" i="432"/>
  <c r="E210" i="432"/>
  <c r="E211" i="432"/>
  <c r="E212" i="432"/>
  <c r="K212" i="432" s="1"/>
  <c r="E213" i="432"/>
  <c r="E214" i="432"/>
  <c r="E215" i="432"/>
  <c r="E216" i="432"/>
  <c r="E217" i="432"/>
  <c r="E218" i="432"/>
  <c r="E219" i="432"/>
  <c r="E220" i="432"/>
  <c r="E221" i="432"/>
  <c r="E222" i="432"/>
  <c r="E223" i="432"/>
  <c r="E224" i="432"/>
  <c r="E225" i="432"/>
  <c r="E226" i="432"/>
  <c r="E227" i="432"/>
  <c r="E228" i="432"/>
  <c r="E229" i="432"/>
  <c r="E230" i="432"/>
  <c r="E231" i="432"/>
  <c r="E232" i="432"/>
  <c r="E233" i="432"/>
  <c r="E234" i="432"/>
  <c r="E235" i="432"/>
  <c r="E236" i="432"/>
  <c r="E237" i="432"/>
  <c r="E238" i="432"/>
  <c r="E239" i="432"/>
  <c r="E240" i="432"/>
  <c r="E241" i="432"/>
  <c r="E242" i="432"/>
  <c r="E243" i="432"/>
  <c r="E244" i="432"/>
  <c r="E246" i="432"/>
  <c r="E247" i="432"/>
  <c r="E248" i="432"/>
  <c r="E249" i="432"/>
  <c r="E250" i="432"/>
  <c r="E251" i="432"/>
  <c r="K251" i="432" s="1"/>
  <c r="E252" i="432"/>
  <c r="E253" i="432"/>
  <c r="E254" i="432"/>
  <c r="E255" i="432"/>
  <c r="E256" i="432"/>
  <c r="E257" i="432"/>
  <c r="K257" i="432" s="1"/>
  <c r="E258" i="432"/>
  <c r="E259" i="432"/>
  <c r="E260" i="432"/>
  <c r="E261" i="432"/>
  <c r="E262" i="432"/>
  <c r="E263" i="432"/>
  <c r="E264" i="432"/>
  <c r="E265" i="432"/>
  <c r="E266" i="432"/>
  <c r="E267" i="432"/>
  <c r="E268" i="432"/>
  <c r="E269" i="432"/>
  <c r="K269" i="432" s="1"/>
  <c r="E270" i="432"/>
  <c r="E271" i="432"/>
  <c r="K271" i="432" s="1"/>
  <c r="E272" i="432"/>
  <c r="E273" i="432"/>
  <c r="K273" i="432" s="1"/>
  <c r="E274" i="432"/>
  <c r="E275" i="432"/>
  <c r="E276" i="432"/>
  <c r="E277" i="432"/>
  <c r="K277" i="432" s="1"/>
  <c r="E278" i="432"/>
  <c r="E279" i="432"/>
  <c r="E280" i="432"/>
  <c r="E281" i="432"/>
  <c r="E282" i="432"/>
  <c r="E283" i="432"/>
  <c r="K283" i="432" s="1"/>
  <c r="E284" i="432"/>
  <c r="E285" i="432"/>
  <c r="K285" i="432" s="1"/>
  <c r="E286" i="432"/>
  <c r="E287" i="432"/>
  <c r="E288" i="432"/>
  <c r="E289" i="432"/>
  <c r="K289" i="432" s="1"/>
  <c r="E290" i="432"/>
  <c r="E291" i="432"/>
  <c r="K291" i="432" s="1"/>
  <c r="E292" i="432"/>
  <c r="E293" i="432"/>
  <c r="K293" i="432" s="1"/>
  <c r="E294" i="432"/>
  <c r="E295" i="432"/>
  <c r="K295" i="432" s="1"/>
  <c r="E296" i="432"/>
  <c r="E297" i="432"/>
  <c r="E298" i="432"/>
  <c r="E299" i="432"/>
  <c r="K299" i="432" s="1"/>
  <c r="E300" i="432"/>
  <c r="E301" i="432"/>
  <c r="K301" i="432" s="1"/>
  <c r="E302" i="432"/>
  <c r="E303" i="432"/>
  <c r="K303" i="432" s="1"/>
  <c r="E304" i="432"/>
  <c r="E305" i="432"/>
  <c r="K305" i="432" s="1"/>
  <c r="E306" i="432"/>
  <c r="E307" i="432"/>
  <c r="K307" i="432" s="1"/>
  <c r="E308" i="432"/>
  <c r="E309" i="432"/>
  <c r="K309" i="432" s="1"/>
  <c r="E310" i="432"/>
  <c r="E311" i="432"/>
  <c r="K311" i="432" s="1"/>
  <c r="E312" i="432"/>
  <c r="E313" i="432"/>
  <c r="K313" i="432" s="1"/>
  <c r="E314" i="432"/>
  <c r="E315" i="432"/>
  <c r="K315" i="432" s="1"/>
  <c r="E316" i="432"/>
  <c r="E317" i="432"/>
  <c r="K317" i="432" s="1"/>
  <c r="E318" i="432"/>
  <c r="E319" i="432"/>
  <c r="K319" i="432" s="1"/>
  <c r="E320" i="432"/>
  <c r="E321" i="432"/>
  <c r="K321" i="432" s="1"/>
  <c r="E322" i="432"/>
  <c r="E323" i="432"/>
  <c r="E324" i="432"/>
  <c r="E325" i="432"/>
  <c r="K325" i="432" s="1"/>
  <c r="E326" i="432"/>
  <c r="E327" i="432"/>
  <c r="K327" i="432" s="1"/>
  <c r="E328" i="432"/>
  <c r="E329" i="432"/>
  <c r="E330" i="432"/>
  <c r="E331" i="432"/>
  <c r="E332" i="432"/>
  <c r="E333" i="432"/>
  <c r="K333" i="432" s="1"/>
  <c r="E334" i="432"/>
  <c r="E335" i="432"/>
  <c r="E336" i="432"/>
  <c r="E337" i="432"/>
  <c r="E338" i="432"/>
  <c r="E339" i="432"/>
  <c r="K339" i="432" s="1"/>
  <c r="E340" i="432"/>
  <c r="E341" i="432"/>
  <c r="E342" i="432"/>
  <c r="E343" i="432"/>
  <c r="E344" i="432"/>
  <c r="E345" i="432"/>
  <c r="K345" i="432" s="1"/>
  <c r="E346" i="432"/>
  <c r="E347" i="432"/>
  <c r="E348" i="432"/>
  <c r="E349" i="432"/>
  <c r="E350" i="432"/>
  <c r="E351" i="432"/>
  <c r="E352" i="432"/>
  <c r="E353" i="432"/>
  <c r="K353" i="432" s="1"/>
  <c r="E354" i="432"/>
  <c r="E355" i="432"/>
  <c r="K355" i="432" s="1"/>
  <c r="E356" i="432"/>
  <c r="E357" i="432"/>
  <c r="K357" i="432" s="1"/>
  <c r="E358" i="432"/>
  <c r="E359" i="432"/>
  <c r="K359" i="432" s="1"/>
  <c r="E360" i="432"/>
  <c r="E361" i="432"/>
  <c r="K361" i="432" s="1"/>
  <c r="E362" i="432"/>
  <c r="E363" i="432"/>
  <c r="K363" i="432" s="1"/>
  <c r="E364" i="432"/>
  <c r="E365" i="432"/>
  <c r="K365" i="432" s="1"/>
  <c r="E366" i="432"/>
  <c r="E367" i="432"/>
  <c r="K367" i="432" s="1"/>
  <c r="E368" i="432"/>
  <c r="E369" i="432"/>
  <c r="K369" i="432" s="1"/>
  <c r="E370" i="432"/>
  <c r="E371" i="432"/>
  <c r="K371" i="432" s="1"/>
  <c r="E372" i="432"/>
  <c r="E373" i="432"/>
  <c r="K373" i="432" s="1"/>
  <c r="E374" i="432"/>
  <c r="E375" i="432"/>
  <c r="K375" i="432" s="1"/>
  <c r="E376" i="432"/>
  <c r="E377" i="432"/>
  <c r="K377" i="432" s="1"/>
  <c r="E378" i="432"/>
  <c r="E379" i="432"/>
  <c r="K379" i="432" s="1"/>
  <c r="E380" i="432"/>
  <c r="E381" i="432"/>
  <c r="K381" i="432" s="1"/>
  <c r="E382" i="432"/>
  <c r="E383" i="432"/>
  <c r="K383" i="432" s="1"/>
  <c r="E384" i="432"/>
  <c r="E385" i="432"/>
  <c r="K385" i="432" s="1"/>
  <c r="E386" i="432"/>
  <c r="E387" i="432"/>
  <c r="K387" i="432" s="1"/>
  <c r="E388" i="432"/>
  <c r="E389" i="432"/>
  <c r="K389" i="432" s="1"/>
  <c r="E390" i="432"/>
  <c r="E391" i="432"/>
  <c r="K391" i="432" s="1"/>
  <c r="E392" i="432"/>
  <c r="E393" i="432"/>
  <c r="K393" i="432" s="1"/>
  <c r="E394" i="432"/>
  <c r="E395" i="432"/>
  <c r="K395" i="432" s="1"/>
  <c r="E396" i="432"/>
  <c r="E397" i="432"/>
  <c r="K397" i="432" s="1"/>
  <c r="E398" i="432"/>
  <c r="E399" i="432"/>
  <c r="K399" i="432" s="1"/>
  <c r="E400" i="432"/>
  <c r="E401" i="432"/>
  <c r="K401" i="432" s="1"/>
  <c r="E402" i="432"/>
  <c r="E403" i="432"/>
  <c r="E404" i="432"/>
  <c r="E405" i="432"/>
  <c r="K405" i="432" s="1"/>
  <c r="E406" i="432"/>
  <c r="E407" i="432"/>
  <c r="K407" i="432" s="1"/>
  <c r="E408" i="432"/>
  <c r="E409" i="432"/>
  <c r="K409" i="432" s="1"/>
  <c r="E410" i="432"/>
  <c r="E411" i="432"/>
  <c r="K411" i="432" s="1"/>
  <c r="E412" i="432"/>
  <c r="E413" i="432"/>
  <c r="K413" i="432" s="1"/>
  <c r="E414" i="432"/>
  <c r="E415" i="432"/>
  <c r="E416" i="432"/>
  <c r="E417" i="432"/>
  <c r="K417" i="432" s="1"/>
  <c r="E418" i="432"/>
  <c r="E419" i="432"/>
  <c r="E420" i="432"/>
  <c r="E421" i="432"/>
  <c r="K421" i="432" s="1"/>
  <c r="E422" i="432"/>
  <c r="E423" i="432"/>
  <c r="E424" i="432"/>
  <c r="E425" i="432"/>
  <c r="K425" i="432" s="1"/>
  <c r="E426" i="432"/>
  <c r="E427" i="432"/>
  <c r="E428" i="432"/>
  <c r="E429" i="432"/>
  <c r="K429" i="432" s="1"/>
  <c r="E430" i="432"/>
  <c r="E431" i="432"/>
  <c r="E432" i="432"/>
  <c r="E433" i="432"/>
  <c r="K433" i="432" s="1"/>
  <c r="E434" i="432"/>
  <c r="E435" i="432"/>
  <c r="E436" i="432"/>
  <c r="E437" i="432"/>
  <c r="K437" i="432" s="1"/>
  <c r="E438" i="432"/>
  <c r="E439" i="432"/>
  <c r="E440" i="432"/>
  <c r="E441" i="432"/>
  <c r="K441" i="432" s="1"/>
  <c r="E442" i="432"/>
  <c r="E443" i="432"/>
  <c r="E444" i="432"/>
  <c r="E445" i="432"/>
  <c r="K445" i="432" s="1"/>
  <c r="E446" i="432"/>
  <c r="E447" i="432"/>
  <c r="E448" i="432"/>
  <c r="E449" i="432"/>
  <c r="K449" i="432" s="1"/>
  <c r="E450" i="432"/>
  <c r="E451" i="432"/>
  <c r="E452" i="432"/>
  <c r="E453" i="432"/>
  <c r="K453" i="432" s="1"/>
  <c r="E454" i="432"/>
  <c r="E455" i="432"/>
  <c r="E456" i="432"/>
  <c r="E457" i="432"/>
  <c r="K457" i="432" s="1"/>
  <c r="E458" i="432"/>
  <c r="E459" i="432"/>
  <c r="K459" i="432" s="1"/>
  <c r="E460" i="432"/>
  <c r="E461" i="432"/>
  <c r="E462" i="432"/>
  <c r="E463" i="432"/>
  <c r="K463" i="432" s="1"/>
  <c r="E464" i="432"/>
  <c r="E465" i="432"/>
  <c r="K465" i="432" s="1"/>
  <c r="E466" i="432"/>
  <c r="E467" i="432"/>
  <c r="K467" i="432" s="1"/>
  <c r="E468" i="432"/>
  <c r="E469" i="432"/>
  <c r="K469" i="432" s="1"/>
  <c r="E470" i="432"/>
  <c r="E471" i="432"/>
  <c r="E472" i="432"/>
  <c r="E473" i="432"/>
  <c r="K473" i="432" s="1"/>
  <c r="E474" i="432"/>
  <c r="E475" i="432"/>
  <c r="E476" i="432"/>
  <c r="E477" i="432"/>
  <c r="E478" i="432"/>
  <c r="E479" i="432"/>
  <c r="K479" i="432" s="1"/>
  <c r="E480" i="432"/>
  <c r="E481" i="432"/>
  <c r="K481" i="432" s="1"/>
  <c r="E482" i="432"/>
  <c r="E483" i="432"/>
  <c r="K483" i="432" s="1"/>
  <c r="E484" i="432"/>
  <c r="E485" i="432"/>
  <c r="K485" i="432" s="1"/>
  <c r="E486" i="432"/>
  <c r="E487" i="432"/>
  <c r="E488" i="432"/>
  <c r="E489" i="432"/>
  <c r="K489" i="432" s="1"/>
  <c r="E490" i="432"/>
  <c r="E491" i="432"/>
  <c r="K491" i="432" s="1"/>
  <c r="E492" i="432"/>
  <c r="E493" i="432"/>
  <c r="E494" i="432"/>
  <c r="E495" i="432"/>
  <c r="E496" i="432"/>
  <c r="E497" i="432"/>
  <c r="E498" i="432"/>
  <c r="E499" i="432"/>
  <c r="E500" i="432"/>
  <c r="E501" i="432"/>
  <c r="E502" i="432"/>
  <c r="E503" i="432"/>
  <c r="E504" i="432"/>
  <c r="E505" i="432"/>
  <c r="E506" i="432"/>
  <c r="E507" i="432"/>
  <c r="E508" i="432"/>
  <c r="E509" i="432"/>
  <c r="E510" i="432"/>
  <c r="E511" i="432"/>
  <c r="E512" i="432"/>
  <c r="E513" i="432"/>
  <c r="E514" i="432"/>
  <c r="E515" i="432"/>
  <c r="E516" i="432"/>
  <c r="E517" i="432"/>
  <c r="E518" i="432"/>
  <c r="E519" i="432"/>
  <c r="E520" i="432"/>
  <c r="E521" i="432"/>
  <c r="E522" i="432"/>
  <c r="E523" i="432"/>
  <c r="E524" i="432"/>
  <c r="E525" i="432"/>
  <c r="E526" i="432"/>
  <c r="E527" i="432"/>
  <c r="E528" i="432"/>
  <c r="E529" i="432"/>
  <c r="E530" i="432"/>
  <c r="E531" i="432"/>
  <c r="E532" i="432"/>
  <c r="E533" i="432"/>
  <c r="E534" i="432"/>
  <c r="E535" i="432"/>
  <c r="E536" i="432"/>
  <c r="E537" i="432"/>
  <c r="E538" i="432"/>
  <c r="E539" i="432"/>
  <c r="E540" i="432"/>
  <c r="E541" i="432"/>
  <c r="E542" i="432"/>
  <c r="E543" i="432"/>
  <c r="E544" i="432"/>
  <c r="E545" i="432"/>
  <c r="E546" i="432"/>
  <c r="E547" i="432"/>
  <c r="E548" i="432"/>
  <c r="E549" i="432"/>
  <c r="E550" i="432"/>
  <c r="E551" i="432"/>
  <c r="E552" i="432"/>
  <c r="E553" i="432"/>
  <c r="E554" i="432"/>
  <c r="E555" i="432"/>
  <c r="E556" i="432"/>
  <c r="E557" i="432"/>
  <c r="K557" i="432" s="1"/>
  <c r="E558" i="432"/>
  <c r="E559" i="432"/>
  <c r="K559" i="432" s="1"/>
  <c r="E560" i="432"/>
  <c r="E561" i="432"/>
  <c r="E562" i="432"/>
  <c r="E563" i="432"/>
  <c r="E564" i="432"/>
  <c r="E565" i="432"/>
  <c r="K565" i="432" s="1"/>
  <c r="E566" i="432"/>
  <c r="E567" i="432"/>
  <c r="E568" i="432"/>
  <c r="E569" i="432"/>
  <c r="E570" i="432"/>
  <c r="E571" i="432"/>
  <c r="K571" i="432" s="1"/>
  <c r="E572" i="432"/>
  <c r="E573" i="432"/>
  <c r="E574" i="432"/>
  <c r="E575" i="432"/>
  <c r="E576" i="432"/>
  <c r="E577" i="432"/>
  <c r="E578" i="432"/>
  <c r="E579" i="432"/>
  <c r="K579" i="432" s="1"/>
  <c r="E580" i="432"/>
  <c r="E581" i="432"/>
  <c r="K581" i="432" s="1"/>
  <c r="E582" i="432"/>
  <c r="E583" i="432"/>
  <c r="K583" i="432" s="1"/>
  <c r="E584" i="432"/>
  <c r="E585" i="432"/>
  <c r="K585" i="432" s="1"/>
  <c r="E586" i="432"/>
  <c r="E587" i="432"/>
  <c r="K587" i="432" s="1"/>
  <c r="E588" i="432"/>
  <c r="E589" i="432"/>
  <c r="E590" i="432"/>
  <c r="E591" i="432"/>
  <c r="E592" i="432"/>
  <c r="E593" i="432"/>
  <c r="K593" i="432" s="1"/>
  <c r="E594" i="432"/>
  <c r="E595" i="432"/>
  <c r="K595" i="432" s="1"/>
  <c r="E596" i="432"/>
  <c r="E597" i="432"/>
  <c r="K597" i="432" s="1"/>
  <c r="E598" i="432"/>
  <c r="E599" i="432"/>
  <c r="K599" i="432" s="1"/>
  <c r="E600" i="432"/>
  <c r="E601" i="432"/>
  <c r="K601" i="432" s="1"/>
  <c r="E602" i="432"/>
  <c r="E603" i="432"/>
  <c r="K603" i="432" s="1"/>
  <c r="E604" i="432"/>
  <c r="E605" i="432"/>
  <c r="K605" i="432" s="1"/>
  <c r="E606" i="432"/>
  <c r="E607" i="432"/>
  <c r="K607" i="432" s="1"/>
  <c r="E608" i="432"/>
  <c r="E609" i="432"/>
  <c r="K609" i="432" s="1"/>
  <c r="E610" i="432"/>
  <c r="E611" i="432"/>
  <c r="K611" i="432" s="1"/>
  <c r="E612" i="432"/>
  <c r="E613" i="432"/>
  <c r="K613" i="432" s="1"/>
  <c r="E614" i="432"/>
  <c r="E615" i="432"/>
  <c r="K615" i="432" s="1"/>
  <c r="E616" i="432"/>
  <c r="E617" i="432"/>
  <c r="K617" i="432" s="1"/>
  <c r="E618" i="432"/>
  <c r="E619" i="432"/>
  <c r="K619" i="432" s="1"/>
  <c r="E620" i="432"/>
  <c r="E621" i="432"/>
  <c r="K621" i="432" s="1"/>
  <c r="E622" i="432"/>
  <c r="E623" i="432"/>
  <c r="K623" i="432" s="1"/>
  <c r="E624" i="432"/>
  <c r="E625" i="432"/>
  <c r="K625" i="432" s="1"/>
  <c r="E626" i="432"/>
  <c r="E627" i="432"/>
  <c r="K627" i="432" s="1"/>
  <c r="E628" i="432"/>
  <c r="E629" i="432"/>
  <c r="K629" i="432" s="1"/>
  <c r="E630" i="432"/>
  <c r="E631" i="432"/>
  <c r="K631" i="432" s="1"/>
  <c r="E632" i="432"/>
  <c r="E633" i="432"/>
  <c r="K633" i="432" s="1"/>
  <c r="E634" i="432"/>
  <c r="E635" i="432"/>
  <c r="K635" i="432" s="1"/>
  <c r="E636" i="432"/>
  <c r="E637" i="432"/>
  <c r="K637" i="432" s="1"/>
  <c r="E638" i="432"/>
  <c r="E639" i="432"/>
  <c r="K639" i="432" s="1"/>
  <c r="E640" i="432"/>
  <c r="E641" i="432"/>
  <c r="K641" i="432" s="1"/>
  <c r="E642" i="432"/>
  <c r="E643" i="432"/>
  <c r="K643" i="432" s="1"/>
  <c r="E644" i="432"/>
  <c r="E645" i="432"/>
  <c r="K645" i="432" s="1"/>
  <c r="E646" i="432"/>
  <c r="E647" i="432"/>
  <c r="K647" i="432" s="1"/>
  <c r="E648" i="432"/>
  <c r="E649" i="432"/>
  <c r="K649" i="432" s="1"/>
  <c r="E653" i="432"/>
  <c r="E654" i="432"/>
  <c r="E655" i="432"/>
  <c r="E656" i="432"/>
  <c r="E657" i="432"/>
  <c r="E658" i="432"/>
  <c r="E659" i="432"/>
  <c r="K659" i="432" s="1"/>
  <c r="E660" i="432"/>
  <c r="K660" i="432" s="1"/>
  <c r="E661" i="432"/>
  <c r="E662" i="432"/>
  <c r="E663" i="432"/>
  <c r="K663" i="432" s="1"/>
  <c r="E664" i="432"/>
  <c r="K664" i="432" s="1"/>
  <c r="E665" i="432"/>
  <c r="E666" i="432"/>
  <c r="E667" i="432"/>
  <c r="E668" i="432"/>
  <c r="E669" i="432"/>
  <c r="E670" i="432"/>
  <c r="E671" i="432"/>
  <c r="E672" i="432"/>
  <c r="E673" i="432"/>
  <c r="E674" i="432"/>
  <c r="E675" i="432"/>
  <c r="K675" i="432" s="1"/>
  <c r="E676" i="432"/>
  <c r="K676" i="432" s="1"/>
  <c r="E677" i="432"/>
  <c r="E678" i="432"/>
  <c r="E679" i="432"/>
  <c r="E680" i="432"/>
  <c r="K680" i="432" s="1"/>
  <c r="E681" i="432"/>
  <c r="E682" i="432"/>
  <c r="E683" i="432"/>
  <c r="E684" i="432"/>
  <c r="K684" i="432" s="1"/>
  <c r="E685" i="432"/>
  <c r="E686" i="432"/>
  <c r="E687" i="432"/>
  <c r="E688" i="432"/>
  <c r="K688" i="432" s="1"/>
  <c r="E689" i="432"/>
  <c r="E690" i="432"/>
  <c r="E691" i="432"/>
  <c r="E692" i="432"/>
  <c r="K692" i="432" s="1"/>
  <c r="E693" i="432"/>
  <c r="E694" i="432"/>
  <c r="E695" i="432"/>
  <c r="E696" i="432"/>
  <c r="K696" i="432" s="1"/>
  <c r="E697" i="432"/>
  <c r="E698" i="432"/>
  <c r="E699" i="432"/>
  <c r="E700" i="432"/>
  <c r="K700" i="432" s="1"/>
  <c r="E701" i="432"/>
  <c r="E702" i="432"/>
  <c r="E703" i="432"/>
  <c r="K703" i="432" s="1"/>
  <c r="E704" i="432"/>
  <c r="K704" i="432" s="1"/>
  <c r="E705" i="432"/>
  <c r="E706" i="432"/>
  <c r="E707" i="432"/>
  <c r="E708" i="432"/>
  <c r="K708" i="432" s="1"/>
  <c r="E709" i="432"/>
  <c r="E710" i="432"/>
  <c r="E711" i="432"/>
  <c r="E712" i="432"/>
  <c r="K712" i="432" s="1"/>
  <c r="E713" i="432"/>
  <c r="E714" i="432"/>
  <c r="E715" i="432"/>
  <c r="E716" i="432"/>
  <c r="K716" i="432" s="1"/>
  <c r="E717" i="432"/>
  <c r="E718" i="432"/>
  <c r="E719" i="432"/>
  <c r="E720" i="432"/>
  <c r="K720" i="432" s="1"/>
  <c r="E721" i="432"/>
  <c r="E722" i="432"/>
  <c r="E723" i="432"/>
  <c r="E724" i="432"/>
  <c r="K724" i="432" s="1"/>
  <c r="E725" i="432"/>
  <c r="E726" i="432"/>
  <c r="E727" i="432"/>
  <c r="K727" i="432" s="1"/>
  <c r="E728" i="432"/>
  <c r="K728" i="432" s="1"/>
  <c r="E729" i="432"/>
  <c r="E730" i="432"/>
  <c r="E731" i="432"/>
  <c r="K731" i="432" s="1"/>
  <c r="E732" i="432"/>
  <c r="K732" i="432" s="1"/>
  <c r="E733" i="432"/>
  <c r="E734" i="432"/>
  <c r="E735" i="432"/>
  <c r="K735" i="432" s="1"/>
  <c r="E736" i="432"/>
  <c r="K736" i="432" s="1"/>
  <c r="E737" i="432"/>
  <c r="E738" i="432"/>
  <c r="E739" i="432"/>
  <c r="K739" i="432" s="1"/>
  <c r="E740" i="432"/>
  <c r="K740" i="432" s="1"/>
  <c r="E741" i="432"/>
  <c r="E742" i="432"/>
  <c r="E743" i="432"/>
  <c r="K743" i="432" s="1"/>
  <c r="E744" i="432"/>
  <c r="K744" i="432" s="1"/>
  <c r="E745" i="432"/>
  <c r="E746" i="432"/>
  <c r="E747" i="432"/>
  <c r="K747" i="432" s="1"/>
  <c r="E748" i="432"/>
  <c r="K748" i="432" s="1"/>
  <c r="E749" i="432"/>
  <c r="E750" i="432"/>
  <c r="E751" i="432"/>
  <c r="E752" i="432"/>
  <c r="K752" i="432" s="1"/>
  <c r="E753" i="432"/>
  <c r="E754" i="432"/>
  <c r="E755" i="432"/>
  <c r="E756" i="432"/>
  <c r="K756" i="432" s="1"/>
  <c r="E757" i="432"/>
  <c r="E758" i="432"/>
  <c r="K758" i="432" s="1"/>
  <c r="E759" i="432"/>
  <c r="K759" i="432" s="1"/>
  <c r="E760" i="432"/>
  <c r="K760" i="432" s="1"/>
  <c r="E761" i="432"/>
  <c r="E762" i="432"/>
  <c r="E763" i="432"/>
  <c r="K763" i="432" s="1"/>
  <c r="E764" i="432"/>
  <c r="K764" i="432" s="1"/>
  <c r="E17" i="432"/>
  <c r="E16" i="432"/>
  <c r="E15" i="432"/>
  <c r="E14" i="432"/>
  <c r="E13" i="432"/>
  <c r="AA1016" i="432"/>
  <c r="R1016" i="432"/>
  <c r="AA1015" i="432"/>
  <c r="R1015" i="432"/>
  <c r="K1015" i="432"/>
  <c r="Z1014" i="432"/>
  <c r="Y1014" i="432"/>
  <c r="X1014" i="432"/>
  <c r="W1014" i="432"/>
  <c r="V1014" i="432"/>
  <c r="U1014" i="432"/>
  <c r="T1014" i="432"/>
  <c r="S1014" i="432"/>
  <c r="Q1014" i="432"/>
  <c r="P1014" i="432"/>
  <c r="O1014" i="432"/>
  <c r="N1014" i="432"/>
  <c r="M1014" i="432"/>
  <c r="L1014" i="432"/>
  <c r="J1014" i="432"/>
  <c r="I1014" i="432"/>
  <c r="H1014" i="432"/>
  <c r="G1014" i="432"/>
  <c r="F1014" i="432"/>
  <c r="D1014" i="432"/>
  <c r="AA1013" i="432"/>
  <c r="R1013" i="432"/>
  <c r="AA1012" i="432"/>
  <c r="R1012" i="432"/>
  <c r="K1012" i="432"/>
  <c r="Z1011" i="432"/>
  <c r="Z1009" i="432" s="1"/>
  <c r="Y1011" i="432"/>
  <c r="Y1009" i="432" s="1"/>
  <c r="X1011" i="432"/>
  <c r="X1009" i="432" s="1"/>
  <c r="W1011" i="432"/>
  <c r="V1011" i="432"/>
  <c r="V1009" i="432" s="1"/>
  <c r="U1011" i="432"/>
  <c r="U1009" i="432" s="1"/>
  <c r="T1011" i="432"/>
  <c r="T1009" i="432" s="1"/>
  <c r="S1011" i="432"/>
  <c r="S1009" i="432" s="1"/>
  <c r="Q1011" i="432"/>
  <c r="Q1009" i="432" s="1"/>
  <c r="P1011" i="432"/>
  <c r="P1009" i="432" s="1"/>
  <c r="O1011" i="432"/>
  <c r="O1009" i="432" s="1"/>
  <c r="N1011" i="432"/>
  <c r="N1009" i="432" s="1"/>
  <c r="M1011" i="432"/>
  <c r="M1009" i="432" s="1"/>
  <c r="L1011" i="432"/>
  <c r="L1009" i="432" s="1"/>
  <c r="J1011" i="432"/>
  <c r="J1009" i="432" s="1"/>
  <c r="I1011" i="432"/>
  <c r="I1009" i="432" s="1"/>
  <c r="H1011" i="432"/>
  <c r="H1009" i="432" s="1"/>
  <c r="G1011" i="432"/>
  <c r="G1009" i="432" s="1"/>
  <c r="F1011" i="432"/>
  <c r="F1009" i="432" s="1"/>
  <c r="D1011" i="432"/>
  <c r="D1009" i="432" s="1"/>
  <c r="AA1010" i="432"/>
  <c r="R1010" i="432"/>
  <c r="W1009" i="432"/>
  <c r="AA1008" i="432"/>
  <c r="R1008" i="432"/>
  <c r="K1008" i="432"/>
  <c r="Z1007" i="432"/>
  <c r="Y1007" i="432"/>
  <c r="X1007" i="432"/>
  <c r="X1006" i="432" s="1"/>
  <c r="X1005" i="432" s="1"/>
  <c r="W1007" i="432"/>
  <c r="W1006" i="432" s="1"/>
  <c r="W1005" i="432" s="1"/>
  <c r="V1007" i="432"/>
  <c r="V1006" i="432" s="1"/>
  <c r="V1005" i="432" s="1"/>
  <c r="U1007" i="432"/>
  <c r="U1006" i="432" s="1"/>
  <c r="U1005" i="432" s="1"/>
  <c r="T1007" i="432"/>
  <c r="T1006" i="432" s="1"/>
  <c r="T1005" i="432" s="1"/>
  <c r="S1007" i="432"/>
  <c r="S1006" i="432" s="1"/>
  <c r="S1005" i="432" s="1"/>
  <c r="Q1007" i="432"/>
  <c r="Q1006" i="432" s="1"/>
  <c r="Q1005" i="432" s="1"/>
  <c r="P1007" i="432"/>
  <c r="P1006" i="432" s="1"/>
  <c r="P1005" i="432" s="1"/>
  <c r="O1007" i="432"/>
  <c r="O1006" i="432" s="1"/>
  <c r="O1005" i="432" s="1"/>
  <c r="N1007" i="432"/>
  <c r="N1006" i="432" s="1"/>
  <c r="N1005" i="432" s="1"/>
  <c r="M1007" i="432"/>
  <c r="L1007" i="432"/>
  <c r="L1006" i="432" s="1"/>
  <c r="L1005" i="432" s="1"/>
  <c r="J1007" i="432"/>
  <c r="J1006" i="432" s="1"/>
  <c r="J1005" i="432" s="1"/>
  <c r="I1007" i="432"/>
  <c r="I1006" i="432" s="1"/>
  <c r="I1005" i="432" s="1"/>
  <c r="H1007" i="432"/>
  <c r="H1006" i="432" s="1"/>
  <c r="H1005" i="432" s="1"/>
  <c r="G1007" i="432"/>
  <c r="G1006" i="432" s="1"/>
  <c r="G1005" i="432" s="1"/>
  <c r="F1007" i="432"/>
  <c r="F1006" i="432" s="1"/>
  <c r="F1005" i="432" s="1"/>
  <c r="D1007" i="432"/>
  <c r="D1006" i="432" s="1"/>
  <c r="D1005" i="432" s="1"/>
  <c r="Z1006" i="432"/>
  <c r="Z1005" i="432" s="1"/>
  <c r="Y1006" i="432"/>
  <c r="Y1005" i="432" s="1"/>
  <c r="M1006" i="432"/>
  <c r="M1005" i="432" s="1"/>
  <c r="AA1003" i="432"/>
  <c r="R1003" i="432"/>
  <c r="K1003" i="432"/>
  <c r="Z1002" i="432"/>
  <c r="Z1000" i="432" s="1"/>
  <c r="Z999" i="432" s="1"/>
  <c r="Z998" i="432" s="1"/>
  <c r="Z997" i="432" s="1"/>
  <c r="Z996" i="432" s="1"/>
  <c r="Y1002" i="432"/>
  <c r="X1002" i="432"/>
  <c r="X1000" i="432" s="1"/>
  <c r="X999" i="432" s="1"/>
  <c r="X998" i="432" s="1"/>
  <c r="X997" i="432" s="1"/>
  <c r="X996" i="432" s="1"/>
  <c r="W1002" i="432"/>
  <c r="W1000" i="432" s="1"/>
  <c r="W999" i="432" s="1"/>
  <c r="W998" i="432" s="1"/>
  <c r="W997" i="432" s="1"/>
  <c r="W996" i="432" s="1"/>
  <c r="V1002" i="432"/>
  <c r="V1000" i="432" s="1"/>
  <c r="V999" i="432" s="1"/>
  <c r="V998" i="432" s="1"/>
  <c r="V997" i="432" s="1"/>
  <c r="V996" i="432" s="1"/>
  <c r="U1002" i="432"/>
  <c r="U1000" i="432" s="1"/>
  <c r="U999" i="432" s="1"/>
  <c r="U998" i="432" s="1"/>
  <c r="U997" i="432" s="1"/>
  <c r="U996" i="432" s="1"/>
  <c r="T1002" i="432"/>
  <c r="T1000" i="432" s="1"/>
  <c r="T999" i="432" s="1"/>
  <c r="T998" i="432" s="1"/>
  <c r="T997" i="432" s="1"/>
  <c r="T996" i="432" s="1"/>
  <c r="S1002" i="432"/>
  <c r="S1000" i="432" s="1"/>
  <c r="S999" i="432" s="1"/>
  <c r="S998" i="432" s="1"/>
  <c r="Q1002" i="432"/>
  <c r="Q1000" i="432" s="1"/>
  <c r="Q999" i="432" s="1"/>
  <c r="Q998" i="432" s="1"/>
  <c r="Q997" i="432" s="1"/>
  <c r="Q996" i="432" s="1"/>
  <c r="P1002" i="432"/>
  <c r="P1000" i="432" s="1"/>
  <c r="P999" i="432" s="1"/>
  <c r="P998" i="432" s="1"/>
  <c r="P997" i="432" s="1"/>
  <c r="P996" i="432" s="1"/>
  <c r="N1002" i="432"/>
  <c r="N1000" i="432" s="1"/>
  <c r="N999" i="432" s="1"/>
  <c r="N998" i="432" s="1"/>
  <c r="N997" i="432" s="1"/>
  <c r="N996" i="432" s="1"/>
  <c r="M1002" i="432"/>
  <c r="L1002" i="432"/>
  <c r="L1000" i="432" s="1"/>
  <c r="J1002" i="432"/>
  <c r="J1000" i="432" s="1"/>
  <c r="J999" i="432" s="1"/>
  <c r="J998" i="432" s="1"/>
  <c r="J997" i="432" s="1"/>
  <c r="J996" i="432" s="1"/>
  <c r="I1002" i="432"/>
  <c r="I1000" i="432" s="1"/>
  <c r="H1002" i="432"/>
  <c r="H1000" i="432" s="1"/>
  <c r="H999" i="432" s="1"/>
  <c r="H998" i="432" s="1"/>
  <c r="H997" i="432" s="1"/>
  <c r="H996" i="432" s="1"/>
  <c r="G1002" i="432"/>
  <c r="G1000" i="432" s="1"/>
  <c r="G999" i="432" s="1"/>
  <c r="G998" i="432" s="1"/>
  <c r="G997" i="432" s="1"/>
  <c r="G996" i="432" s="1"/>
  <c r="F1002" i="432"/>
  <c r="F1000" i="432" s="1"/>
  <c r="F999" i="432" s="1"/>
  <c r="F998" i="432" s="1"/>
  <c r="F997" i="432" s="1"/>
  <c r="F996" i="432" s="1"/>
  <c r="D1002" i="432"/>
  <c r="AA1001" i="432"/>
  <c r="R1001" i="432"/>
  <c r="Y1000" i="432"/>
  <c r="Y999" i="432" s="1"/>
  <c r="Y998" i="432" s="1"/>
  <c r="Y997" i="432" s="1"/>
  <c r="Y996" i="432" s="1"/>
  <c r="O1000" i="432"/>
  <c r="O999" i="432" s="1"/>
  <c r="O998" i="432" s="1"/>
  <c r="O997" i="432" s="1"/>
  <c r="O996" i="432" s="1"/>
  <c r="I999" i="432"/>
  <c r="I998" i="432" s="1"/>
  <c r="I997" i="432" s="1"/>
  <c r="I996" i="432" s="1"/>
  <c r="E1017" i="432"/>
  <c r="Z992" i="432"/>
  <c r="Y992" i="432"/>
  <c r="X992" i="432"/>
  <c r="W992" i="432"/>
  <c r="V992" i="432"/>
  <c r="U992" i="432"/>
  <c r="T992" i="432"/>
  <c r="S992" i="432"/>
  <c r="Q992" i="432"/>
  <c r="P992" i="432"/>
  <c r="O992" i="432"/>
  <c r="N992" i="432"/>
  <c r="M992" i="432"/>
  <c r="L992" i="432"/>
  <c r="J992" i="432"/>
  <c r="I992" i="432"/>
  <c r="H992" i="432"/>
  <c r="G992" i="432"/>
  <c r="F992" i="432"/>
  <c r="E992" i="432"/>
  <c r="D992" i="432"/>
  <c r="AA991" i="432"/>
  <c r="AA992" i="432" s="1"/>
  <c r="R991" i="432"/>
  <c r="K991" i="432"/>
  <c r="K992" i="432" s="1"/>
  <c r="AA987" i="432"/>
  <c r="R987" i="432"/>
  <c r="AA986" i="432"/>
  <c r="R986" i="432"/>
  <c r="AB986" i="432" s="1"/>
  <c r="AA985" i="432"/>
  <c r="R985" i="432"/>
  <c r="AA984" i="432"/>
  <c r="R984" i="432"/>
  <c r="AB984" i="432" s="1"/>
  <c r="K984" i="432"/>
  <c r="AA983" i="432"/>
  <c r="R983" i="432"/>
  <c r="AA982" i="432"/>
  <c r="R982" i="432"/>
  <c r="AA981" i="432"/>
  <c r="R981" i="432"/>
  <c r="AA980" i="432"/>
  <c r="R980" i="432"/>
  <c r="K980" i="432"/>
  <c r="AA979" i="432"/>
  <c r="R979" i="432"/>
  <c r="AA978" i="432"/>
  <c r="R978" i="432"/>
  <c r="AA977" i="432"/>
  <c r="R977" i="432"/>
  <c r="K977" i="432"/>
  <c r="AA976" i="432"/>
  <c r="R976" i="432"/>
  <c r="K976" i="432"/>
  <c r="AA975" i="432"/>
  <c r="R975" i="432"/>
  <c r="AA974" i="432"/>
  <c r="R974" i="432"/>
  <c r="AA973" i="432"/>
  <c r="R973" i="432"/>
  <c r="K973" i="432"/>
  <c r="AA972" i="432"/>
  <c r="R972" i="432"/>
  <c r="K972" i="432"/>
  <c r="AA971" i="432"/>
  <c r="R971" i="432"/>
  <c r="AA970" i="432"/>
  <c r="R970" i="432"/>
  <c r="AA969" i="432"/>
  <c r="R969" i="432"/>
  <c r="K969" i="432"/>
  <c r="Z968" i="432"/>
  <c r="Y968" i="432"/>
  <c r="Y967" i="432" s="1"/>
  <c r="Y966" i="432" s="1"/>
  <c r="Y965" i="432" s="1"/>
  <c r="X968" i="432"/>
  <c r="X967" i="432" s="1"/>
  <c r="X966" i="432" s="1"/>
  <c r="X965" i="432" s="1"/>
  <c r="W968" i="432"/>
  <c r="W967" i="432" s="1"/>
  <c r="W966" i="432" s="1"/>
  <c r="V968" i="432"/>
  <c r="V967" i="432" s="1"/>
  <c r="V966" i="432" s="1"/>
  <c r="V965" i="432" s="1"/>
  <c r="U968" i="432"/>
  <c r="U967" i="432" s="1"/>
  <c r="U966" i="432" s="1"/>
  <c r="U965" i="432" s="1"/>
  <c r="T968" i="432"/>
  <c r="T967" i="432" s="1"/>
  <c r="T966" i="432" s="1"/>
  <c r="T965" i="432" s="1"/>
  <c r="S968" i="432"/>
  <c r="Q968" i="432"/>
  <c r="Q967" i="432" s="1"/>
  <c r="P968" i="432"/>
  <c r="P967" i="432" s="1"/>
  <c r="P966" i="432" s="1"/>
  <c r="P965" i="432" s="1"/>
  <c r="O968" i="432"/>
  <c r="N968" i="432"/>
  <c r="N967" i="432" s="1"/>
  <c r="N966" i="432" s="1"/>
  <c r="N965" i="432" s="1"/>
  <c r="M968" i="432"/>
  <c r="M967" i="432" s="1"/>
  <c r="M966" i="432" s="1"/>
  <c r="M965" i="432" s="1"/>
  <c r="L968" i="432"/>
  <c r="J968" i="432"/>
  <c r="J967" i="432" s="1"/>
  <c r="J966" i="432" s="1"/>
  <c r="J965" i="432" s="1"/>
  <c r="I968" i="432"/>
  <c r="I967" i="432" s="1"/>
  <c r="I966" i="432" s="1"/>
  <c r="I965" i="432" s="1"/>
  <c r="H968" i="432"/>
  <c r="H967" i="432" s="1"/>
  <c r="H966" i="432" s="1"/>
  <c r="H965" i="432" s="1"/>
  <c r="G968" i="432"/>
  <c r="G967" i="432" s="1"/>
  <c r="G966" i="432" s="1"/>
  <c r="G965" i="432" s="1"/>
  <c r="F968" i="432"/>
  <c r="F967" i="432" s="1"/>
  <c r="F966" i="432" s="1"/>
  <c r="F965" i="432" s="1"/>
  <c r="F988" i="432" s="1"/>
  <c r="D968" i="432"/>
  <c r="Z967" i="432"/>
  <c r="Z966" i="432" s="1"/>
  <c r="Z965" i="432" s="1"/>
  <c r="S967" i="432"/>
  <c r="S966" i="432" s="1"/>
  <c r="O967" i="432"/>
  <c r="O966" i="432" s="1"/>
  <c r="O965" i="432" s="1"/>
  <c r="Q966" i="432"/>
  <c r="Q965" i="432" s="1"/>
  <c r="W965" i="432"/>
  <c r="AA964" i="432"/>
  <c r="R964" i="432"/>
  <c r="K964" i="432"/>
  <c r="Z963" i="432"/>
  <c r="Y963" i="432"/>
  <c r="X963" i="432"/>
  <c r="W963" i="432"/>
  <c r="V963" i="432"/>
  <c r="U963" i="432"/>
  <c r="T963" i="432"/>
  <c r="S963" i="432"/>
  <c r="Q963" i="432"/>
  <c r="P963" i="432"/>
  <c r="O963" i="432"/>
  <c r="N963" i="432"/>
  <c r="M963" i="432"/>
  <c r="L963" i="432"/>
  <c r="J963" i="432"/>
  <c r="I963" i="432"/>
  <c r="H963" i="432"/>
  <c r="G963" i="432"/>
  <c r="F963" i="432"/>
  <c r="D963" i="432"/>
  <c r="AA962" i="432"/>
  <c r="R962" i="432"/>
  <c r="AA961" i="432"/>
  <c r="AB961" i="432" s="1"/>
  <c r="R961" i="432"/>
  <c r="K961" i="432"/>
  <c r="AA960" i="432"/>
  <c r="R960" i="432"/>
  <c r="K960" i="432"/>
  <c r="AA959" i="432"/>
  <c r="R959" i="432"/>
  <c r="AA958" i="432"/>
  <c r="R958" i="432"/>
  <c r="AA957" i="432"/>
  <c r="AB957" i="432" s="1"/>
  <c r="R957" i="432"/>
  <c r="AA956" i="432"/>
  <c r="R956" i="432"/>
  <c r="K956" i="432"/>
  <c r="AA955" i="432"/>
  <c r="R955" i="432"/>
  <c r="AB955" i="432" s="1"/>
  <c r="AA954" i="432"/>
  <c r="R954" i="432"/>
  <c r="AA953" i="432"/>
  <c r="R953" i="432"/>
  <c r="AB953" i="432" s="1"/>
  <c r="K953" i="432"/>
  <c r="AA952" i="432"/>
  <c r="R952" i="432"/>
  <c r="K952" i="432"/>
  <c r="AA951" i="432"/>
  <c r="R951" i="432"/>
  <c r="AA950" i="432"/>
  <c r="R950" i="432"/>
  <c r="AB950" i="432" s="1"/>
  <c r="K950" i="432"/>
  <c r="AA949" i="432"/>
  <c r="R949" i="432"/>
  <c r="K949" i="432"/>
  <c r="AA948" i="432"/>
  <c r="R948" i="432"/>
  <c r="K948" i="432"/>
  <c r="AA947" i="432"/>
  <c r="R947" i="432"/>
  <c r="AA946" i="432"/>
  <c r="R946" i="432"/>
  <c r="AA945" i="432"/>
  <c r="R945" i="432"/>
  <c r="K945" i="432"/>
  <c r="AA944" i="432"/>
  <c r="R944" i="432"/>
  <c r="K944" i="432"/>
  <c r="AA943" i="432"/>
  <c r="R943" i="432"/>
  <c r="AA942" i="432"/>
  <c r="R942" i="432"/>
  <c r="AA941" i="432"/>
  <c r="R941" i="432"/>
  <c r="AA940" i="432"/>
  <c r="R940" i="432"/>
  <c r="K940" i="432"/>
  <c r="AA939" i="432"/>
  <c r="R939" i="432"/>
  <c r="AB939" i="432" s="1"/>
  <c r="AA938" i="432"/>
  <c r="R938" i="432"/>
  <c r="AA937" i="432"/>
  <c r="R937" i="432"/>
  <c r="AB937" i="432" s="1"/>
  <c r="AA936" i="432"/>
  <c r="R936" i="432"/>
  <c r="K936" i="432"/>
  <c r="AA935" i="432"/>
  <c r="R935" i="432"/>
  <c r="AA934" i="432"/>
  <c r="R934" i="432"/>
  <c r="AA933" i="432"/>
  <c r="AB933" i="432" s="1"/>
  <c r="R933" i="432"/>
  <c r="AA932" i="432"/>
  <c r="R932" i="432"/>
  <c r="K932" i="432"/>
  <c r="AA931" i="432"/>
  <c r="R931" i="432"/>
  <c r="AA930" i="432"/>
  <c r="R930" i="432"/>
  <c r="K930" i="432"/>
  <c r="AA929" i="432"/>
  <c r="R929" i="432"/>
  <c r="AA928" i="432"/>
  <c r="R928" i="432"/>
  <c r="K928" i="432"/>
  <c r="AA927" i="432"/>
  <c r="R927" i="432"/>
  <c r="AB927" i="432" s="1"/>
  <c r="AA926" i="432"/>
  <c r="R926" i="432"/>
  <c r="AA925" i="432"/>
  <c r="R925" i="432"/>
  <c r="AA924" i="432"/>
  <c r="R924" i="432"/>
  <c r="K924" i="432"/>
  <c r="AA923" i="432"/>
  <c r="R923" i="432"/>
  <c r="AA922" i="432"/>
  <c r="R922" i="432"/>
  <c r="AA921" i="432"/>
  <c r="R921" i="432"/>
  <c r="K921" i="432"/>
  <c r="AA920" i="432"/>
  <c r="R920" i="432"/>
  <c r="K920" i="432"/>
  <c r="AA919" i="432"/>
  <c r="R919" i="432"/>
  <c r="AA918" i="432"/>
  <c r="R918" i="432"/>
  <c r="AA917" i="432"/>
  <c r="R917" i="432"/>
  <c r="K917" i="432"/>
  <c r="AA916" i="432"/>
  <c r="R916" i="432"/>
  <c r="K916" i="432"/>
  <c r="AA915" i="432"/>
  <c r="R915" i="432"/>
  <c r="Z914" i="432"/>
  <c r="Z913" i="432" s="1"/>
  <c r="Z912" i="432" s="1"/>
  <c r="Y914" i="432"/>
  <c r="Y913" i="432" s="1"/>
  <c r="Y912" i="432" s="1"/>
  <c r="X914" i="432"/>
  <c r="X913" i="432" s="1"/>
  <c r="X912" i="432" s="1"/>
  <c r="W914" i="432"/>
  <c r="W913" i="432" s="1"/>
  <c r="W912" i="432" s="1"/>
  <c r="V914" i="432"/>
  <c r="V913" i="432" s="1"/>
  <c r="U914" i="432"/>
  <c r="U913" i="432" s="1"/>
  <c r="U912" i="432" s="1"/>
  <c r="T914" i="432"/>
  <c r="T913" i="432" s="1"/>
  <c r="T912" i="432" s="1"/>
  <c r="S914" i="432"/>
  <c r="S913" i="432" s="1"/>
  <c r="Q914" i="432"/>
  <c r="Q913" i="432" s="1"/>
  <c r="Q912" i="432" s="1"/>
  <c r="P914" i="432"/>
  <c r="P913" i="432" s="1"/>
  <c r="P912" i="432" s="1"/>
  <c r="O914" i="432"/>
  <c r="O913" i="432" s="1"/>
  <c r="O912" i="432" s="1"/>
  <c r="N914" i="432"/>
  <c r="N913" i="432" s="1"/>
  <c r="N912" i="432" s="1"/>
  <c r="M914" i="432"/>
  <c r="L914" i="432"/>
  <c r="L913" i="432" s="1"/>
  <c r="J914" i="432"/>
  <c r="J913" i="432" s="1"/>
  <c r="J912" i="432" s="1"/>
  <c r="I914" i="432"/>
  <c r="I913" i="432" s="1"/>
  <c r="I912" i="432" s="1"/>
  <c r="H914" i="432"/>
  <c r="G914" i="432"/>
  <c r="G913" i="432" s="1"/>
  <c r="G912" i="432" s="1"/>
  <c r="F914" i="432"/>
  <c r="F913" i="432" s="1"/>
  <c r="F912" i="432" s="1"/>
  <c r="F889" i="432" s="1"/>
  <c r="D914" i="432"/>
  <c r="M913" i="432"/>
  <c r="M912" i="432" s="1"/>
  <c r="H913" i="432"/>
  <c r="H912" i="432" s="1"/>
  <c r="D913" i="432"/>
  <c r="V912" i="432"/>
  <c r="AA911" i="432"/>
  <c r="R911" i="432"/>
  <c r="Z910" i="432"/>
  <c r="Z909" i="432" s="1"/>
  <c r="Y910" i="432"/>
  <c r="Y909" i="432" s="1"/>
  <c r="X910" i="432"/>
  <c r="X909" i="432" s="1"/>
  <c r="W910" i="432"/>
  <c r="W909" i="432" s="1"/>
  <c r="V910" i="432"/>
  <c r="V909" i="432" s="1"/>
  <c r="U910" i="432"/>
  <c r="U909" i="432" s="1"/>
  <c r="T910" i="432"/>
  <c r="T909" i="432" s="1"/>
  <c r="S910" i="432"/>
  <c r="S909" i="432" s="1"/>
  <c r="Q910" i="432"/>
  <c r="Q909" i="432" s="1"/>
  <c r="P910" i="432"/>
  <c r="P909" i="432" s="1"/>
  <c r="O910" i="432"/>
  <c r="O909" i="432" s="1"/>
  <c r="N910" i="432"/>
  <c r="N909" i="432" s="1"/>
  <c r="M910" i="432"/>
  <c r="M909" i="432" s="1"/>
  <c r="L910" i="432"/>
  <c r="J910" i="432"/>
  <c r="J909" i="432" s="1"/>
  <c r="I910" i="432"/>
  <c r="I909" i="432" s="1"/>
  <c r="H910" i="432"/>
  <c r="H909" i="432" s="1"/>
  <c r="G910" i="432"/>
  <c r="D910" i="432"/>
  <c r="D909" i="432" s="1"/>
  <c r="L909" i="432"/>
  <c r="AA908" i="432"/>
  <c r="R908" i="432"/>
  <c r="K908" i="432"/>
  <c r="Z907" i="432"/>
  <c r="Z906" i="432" s="1"/>
  <c r="Y907" i="432"/>
  <c r="Y906" i="432" s="1"/>
  <c r="X907" i="432"/>
  <c r="X906" i="432" s="1"/>
  <c r="W907" i="432"/>
  <c r="W906" i="432" s="1"/>
  <c r="V907" i="432"/>
  <c r="V906" i="432" s="1"/>
  <c r="U907" i="432"/>
  <c r="U906" i="432" s="1"/>
  <c r="T907" i="432"/>
  <c r="T906" i="432" s="1"/>
  <c r="S907" i="432"/>
  <c r="Q907" i="432"/>
  <c r="Q906" i="432" s="1"/>
  <c r="P907" i="432"/>
  <c r="O907" i="432"/>
  <c r="O906" i="432" s="1"/>
  <c r="N907" i="432"/>
  <c r="N906" i="432" s="1"/>
  <c r="N905" i="432" s="1"/>
  <c r="N904" i="432" s="1"/>
  <c r="M907" i="432"/>
  <c r="M906" i="432" s="1"/>
  <c r="L907" i="432"/>
  <c r="J907" i="432"/>
  <c r="J906" i="432" s="1"/>
  <c r="I907" i="432"/>
  <c r="I906" i="432" s="1"/>
  <c r="H907" i="432"/>
  <c r="H906" i="432" s="1"/>
  <c r="G907" i="432"/>
  <c r="G906" i="432" s="1"/>
  <c r="D907" i="432"/>
  <c r="D906" i="432" s="1"/>
  <c r="P906" i="432"/>
  <c r="L906" i="432"/>
  <c r="AA903" i="432"/>
  <c r="R903" i="432"/>
  <c r="AA902" i="432"/>
  <c r="R902" i="432"/>
  <c r="Z901" i="432"/>
  <c r="Z900" i="432" s="1"/>
  <c r="Z899" i="432" s="1"/>
  <c r="Y901" i="432"/>
  <c r="Y900" i="432" s="1"/>
  <c r="Y899" i="432" s="1"/>
  <c r="X901" i="432"/>
  <c r="X900" i="432" s="1"/>
  <c r="X899" i="432" s="1"/>
  <c r="W901" i="432"/>
  <c r="W900" i="432" s="1"/>
  <c r="W899" i="432" s="1"/>
  <c r="V901" i="432"/>
  <c r="V900" i="432" s="1"/>
  <c r="V899" i="432" s="1"/>
  <c r="U901" i="432"/>
  <c r="U900" i="432" s="1"/>
  <c r="U899" i="432" s="1"/>
  <c r="T901" i="432"/>
  <c r="T900" i="432" s="1"/>
  <c r="T899" i="432" s="1"/>
  <c r="S901" i="432"/>
  <c r="S900" i="432" s="1"/>
  <c r="S899" i="432" s="1"/>
  <c r="Q901" i="432"/>
  <c r="Q900" i="432" s="1"/>
  <c r="Q899" i="432" s="1"/>
  <c r="P901" i="432"/>
  <c r="P900" i="432" s="1"/>
  <c r="P899" i="432" s="1"/>
  <c r="O901" i="432"/>
  <c r="O900" i="432" s="1"/>
  <c r="O899" i="432" s="1"/>
  <c r="N901" i="432"/>
  <c r="N900" i="432" s="1"/>
  <c r="N899" i="432" s="1"/>
  <c r="M901" i="432"/>
  <c r="M900" i="432" s="1"/>
  <c r="M899" i="432" s="1"/>
  <c r="L901" i="432"/>
  <c r="J901" i="432"/>
  <c r="J900" i="432" s="1"/>
  <c r="J899" i="432" s="1"/>
  <c r="I901" i="432"/>
  <c r="I900" i="432" s="1"/>
  <c r="I899" i="432" s="1"/>
  <c r="H901" i="432"/>
  <c r="H900" i="432" s="1"/>
  <c r="H899" i="432" s="1"/>
  <c r="G901" i="432"/>
  <c r="G900" i="432" s="1"/>
  <c r="G899" i="432" s="1"/>
  <c r="F901" i="432"/>
  <c r="F900" i="432" s="1"/>
  <c r="F899" i="432" s="1"/>
  <c r="D901" i="432"/>
  <c r="D900" i="432" s="1"/>
  <c r="L900" i="432"/>
  <c r="AA898" i="432"/>
  <c r="R898" i="432"/>
  <c r="AA897" i="432"/>
  <c r="R897" i="432"/>
  <c r="AA896" i="432"/>
  <c r="R896" i="432"/>
  <c r="K896" i="432"/>
  <c r="Z895" i="432"/>
  <c r="Y895" i="432"/>
  <c r="X895" i="432"/>
  <c r="W895" i="432"/>
  <c r="V895" i="432"/>
  <c r="U895" i="432"/>
  <c r="T895" i="432"/>
  <c r="S895" i="432"/>
  <c r="Q895" i="432"/>
  <c r="P895" i="432"/>
  <c r="O895" i="432"/>
  <c r="N895" i="432"/>
  <c r="M895" i="432"/>
  <c r="L895" i="432"/>
  <c r="J895" i="432"/>
  <c r="I895" i="432"/>
  <c r="H895" i="432"/>
  <c r="G895" i="432"/>
  <c r="D895" i="432"/>
  <c r="AA894" i="432"/>
  <c r="R894" i="432"/>
  <c r="AB894" i="432" s="1"/>
  <c r="AA893" i="432"/>
  <c r="R893" i="432"/>
  <c r="Z892" i="432"/>
  <c r="Y892" i="432"/>
  <c r="X892" i="432"/>
  <c r="W892" i="432"/>
  <c r="W891" i="432" s="1"/>
  <c r="W890" i="432" s="1"/>
  <c r="V892" i="432"/>
  <c r="U892" i="432"/>
  <c r="T892" i="432"/>
  <c r="S892" i="432"/>
  <c r="Q892" i="432"/>
  <c r="P892" i="432"/>
  <c r="O892" i="432"/>
  <c r="N892" i="432"/>
  <c r="M892" i="432"/>
  <c r="L892" i="432"/>
  <c r="J892" i="432"/>
  <c r="I892" i="432"/>
  <c r="I891" i="432" s="1"/>
  <c r="I890" i="432" s="1"/>
  <c r="H892" i="432"/>
  <c r="G892" i="432"/>
  <c r="D892" i="432"/>
  <c r="V891" i="432"/>
  <c r="V890" i="432" s="1"/>
  <c r="AA888" i="432"/>
  <c r="R888" i="432"/>
  <c r="K888" i="432"/>
  <c r="Z887" i="432"/>
  <c r="Z884" i="432" s="1"/>
  <c r="Y887" i="432"/>
  <c r="X887" i="432"/>
  <c r="X884" i="432" s="1"/>
  <c r="W887" i="432"/>
  <c r="W884" i="432" s="1"/>
  <c r="V887" i="432"/>
  <c r="V884" i="432" s="1"/>
  <c r="U887" i="432"/>
  <c r="T887" i="432"/>
  <c r="T884" i="432" s="1"/>
  <c r="S887" i="432"/>
  <c r="Q887" i="432"/>
  <c r="Q884" i="432" s="1"/>
  <c r="P887" i="432"/>
  <c r="P884" i="432" s="1"/>
  <c r="O887" i="432"/>
  <c r="O884" i="432" s="1"/>
  <c r="N887" i="432"/>
  <c r="N884" i="432" s="1"/>
  <c r="M887" i="432"/>
  <c r="M884" i="432" s="1"/>
  <c r="L887" i="432"/>
  <c r="J887" i="432"/>
  <c r="I887" i="432"/>
  <c r="H887" i="432"/>
  <c r="H884" i="432" s="1"/>
  <c r="G887" i="432"/>
  <c r="G884" i="432" s="1"/>
  <c r="D887" i="432"/>
  <c r="AA886" i="432"/>
  <c r="R886" i="432"/>
  <c r="AA885" i="432"/>
  <c r="R885" i="432"/>
  <c r="Y884" i="432"/>
  <c r="U884" i="432"/>
  <c r="J884" i="432"/>
  <c r="I884" i="432"/>
  <c r="AA883" i="432"/>
  <c r="R883" i="432"/>
  <c r="Z882" i="432"/>
  <c r="Y882" i="432"/>
  <c r="Y879" i="432" s="1"/>
  <c r="X882" i="432"/>
  <c r="X879" i="432" s="1"/>
  <c r="W882" i="432"/>
  <c r="W879" i="432" s="1"/>
  <c r="V882" i="432"/>
  <c r="U882" i="432"/>
  <c r="U879" i="432" s="1"/>
  <c r="T882" i="432"/>
  <c r="S882" i="432"/>
  <c r="S879" i="432" s="1"/>
  <c r="Q882" i="432"/>
  <c r="Q879" i="432" s="1"/>
  <c r="P882" i="432"/>
  <c r="P879" i="432" s="1"/>
  <c r="O882" i="432"/>
  <c r="O879" i="432" s="1"/>
  <c r="N882" i="432"/>
  <c r="M882" i="432"/>
  <c r="M879" i="432" s="1"/>
  <c r="L882" i="432"/>
  <c r="J882" i="432"/>
  <c r="I882" i="432"/>
  <c r="I879" i="432" s="1"/>
  <c r="H882" i="432"/>
  <c r="H879" i="432" s="1"/>
  <c r="G882" i="432"/>
  <c r="G879" i="432" s="1"/>
  <c r="D882" i="432"/>
  <c r="AA881" i="432"/>
  <c r="R881" i="432"/>
  <c r="AA880" i="432"/>
  <c r="R880" i="432"/>
  <c r="K880" i="432"/>
  <c r="Z879" i="432"/>
  <c r="V879" i="432"/>
  <c r="T879" i="432"/>
  <c r="N879" i="432"/>
  <c r="J879" i="432"/>
  <c r="D879" i="432"/>
  <c r="AA878" i="432"/>
  <c r="R878" i="432"/>
  <c r="Z877" i="432"/>
  <c r="Y877" i="432"/>
  <c r="X877" i="432"/>
  <c r="W877" i="432"/>
  <c r="W874" i="432" s="1"/>
  <c r="V877" i="432"/>
  <c r="V874" i="432" s="1"/>
  <c r="U877" i="432"/>
  <c r="U874" i="432" s="1"/>
  <c r="T877" i="432"/>
  <c r="T874" i="432" s="1"/>
  <c r="S877" i="432"/>
  <c r="S874" i="432" s="1"/>
  <c r="Q877" i="432"/>
  <c r="P877" i="432"/>
  <c r="P874" i="432" s="1"/>
  <c r="O877" i="432"/>
  <c r="O874" i="432" s="1"/>
  <c r="N877" i="432"/>
  <c r="N874" i="432" s="1"/>
  <c r="M877" i="432"/>
  <c r="M874" i="432" s="1"/>
  <c r="L877" i="432"/>
  <c r="L874" i="432" s="1"/>
  <c r="J877" i="432"/>
  <c r="J874" i="432" s="1"/>
  <c r="I877" i="432"/>
  <c r="I874" i="432" s="1"/>
  <c r="H877" i="432"/>
  <c r="G877" i="432"/>
  <c r="G874" i="432" s="1"/>
  <c r="D877" i="432"/>
  <c r="D874" i="432" s="1"/>
  <c r="AA876" i="432"/>
  <c r="R876" i="432"/>
  <c r="K876" i="432"/>
  <c r="AA875" i="432"/>
  <c r="R875" i="432"/>
  <c r="Z874" i="432"/>
  <c r="Y874" i="432"/>
  <c r="X874" i="432"/>
  <c r="Q874" i="432"/>
  <c r="Q873" i="432" s="1"/>
  <c r="Q872" i="432" s="1"/>
  <c r="H874" i="432"/>
  <c r="AA871" i="432"/>
  <c r="R871" i="432"/>
  <c r="Z870" i="432"/>
  <c r="Y870" i="432"/>
  <c r="Y869" i="432" s="1"/>
  <c r="Y868" i="432" s="1"/>
  <c r="X870" i="432"/>
  <c r="X869" i="432" s="1"/>
  <c r="X868" i="432" s="1"/>
  <c r="W870" i="432"/>
  <c r="W869" i="432" s="1"/>
  <c r="W868" i="432" s="1"/>
  <c r="V870" i="432"/>
  <c r="V869" i="432" s="1"/>
  <c r="V868" i="432" s="1"/>
  <c r="U870" i="432"/>
  <c r="U869" i="432" s="1"/>
  <c r="U868" i="432" s="1"/>
  <c r="T870" i="432"/>
  <c r="T869" i="432" s="1"/>
  <c r="T868" i="432" s="1"/>
  <c r="S870" i="432"/>
  <c r="S869" i="432" s="1"/>
  <c r="S868" i="432" s="1"/>
  <c r="Q870" i="432"/>
  <c r="Q869" i="432" s="1"/>
  <c r="Q868" i="432" s="1"/>
  <c r="P870" i="432"/>
  <c r="P869" i="432" s="1"/>
  <c r="P868" i="432" s="1"/>
  <c r="O870" i="432"/>
  <c r="O869" i="432" s="1"/>
  <c r="O868" i="432" s="1"/>
  <c r="N870" i="432"/>
  <c r="M870" i="432"/>
  <c r="M869" i="432" s="1"/>
  <c r="M868" i="432" s="1"/>
  <c r="L870" i="432"/>
  <c r="L869" i="432" s="1"/>
  <c r="J870" i="432"/>
  <c r="J869" i="432" s="1"/>
  <c r="J868" i="432" s="1"/>
  <c r="I870" i="432"/>
  <c r="H870" i="432"/>
  <c r="H869" i="432" s="1"/>
  <c r="H868" i="432" s="1"/>
  <c r="G870" i="432"/>
  <c r="G869" i="432" s="1"/>
  <c r="G868" i="432" s="1"/>
  <c r="F870" i="432"/>
  <c r="D870" i="432"/>
  <c r="D869" i="432" s="1"/>
  <c r="Z869" i="432"/>
  <c r="Z868" i="432" s="1"/>
  <c r="N869" i="432"/>
  <c r="N868" i="432" s="1"/>
  <c r="I869" i="432"/>
  <c r="I868" i="432" s="1"/>
  <c r="F869" i="432"/>
  <c r="F868" i="432" s="1"/>
  <c r="F835" i="432" s="1"/>
  <c r="AA867" i="432"/>
  <c r="Q867" i="432"/>
  <c r="P867" i="432"/>
  <c r="O867" i="432"/>
  <c r="N867" i="432"/>
  <c r="M867" i="432"/>
  <c r="L867" i="432"/>
  <c r="AA866" i="432"/>
  <c r="Q866" i="432"/>
  <c r="Q861" i="432" s="1"/>
  <c r="P866" i="432"/>
  <c r="O866" i="432"/>
  <c r="N866" i="432"/>
  <c r="M866" i="432"/>
  <c r="L866" i="432"/>
  <c r="AA865" i="432"/>
  <c r="Q865" i="432"/>
  <c r="P865" i="432"/>
  <c r="O865" i="432"/>
  <c r="O861" i="432" s="1"/>
  <c r="O860" i="432" s="1"/>
  <c r="O859" i="432" s="1"/>
  <c r="N865" i="432"/>
  <c r="M865" i="432"/>
  <c r="L865" i="432"/>
  <c r="AA864" i="432"/>
  <c r="R864" i="432"/>
  <c r="K864" i="432"/>
  <c r="AA863" i="432"/>
  <c r="R863" i="432"/>
  <c r="AA862" i="432"/>
  <c r="R862" i="432"/>
  <c r="Z861" i="432"/>
  <c r="Z860" i="432" s="1"/>
  <c r="Z859" i="432" s="1"/>
  <c r="Y861" i="432"/>
  <c r="Y860" i="432" s="1"/>
  <c r="Y859" i="432" s="1"/>
  <c r="X861" i="432"/>
  <c r="X860" i="432" s="1"/>
  <c r="X859" i="432" s="1"/>
  <c r="W861" i="432"/>
  <c r="W860" i="432" s="1"/>
  <c r="W859" i="432" s="1"/>
  <c r="V861" i="432"/>
  <c r="V860" i="432" s="1"/>
  <c r="V859" i="432" s="1"/>
  <c r="U861" i="432"/>
  <c r="U860" i="432" s="1"/>
  <c r="U859" i="432" s="1"/>
  <c r="T861" i="432"/>
  <c r="T860" i="432" s="1"/>
  <c r="T859" i="432" s="1"/>
  <c r="N861" i="432"/>
  <c r="J861" i="432"/>
  <c r="J860" i="432" s="1"/>
  <c r="J859" i="432" s="1"/>
  <c r="I861" i="432"/>
  <c r="I860" i="432" s="1"/>
  <c r="I859" i="432" s="1"/>
  <c r="H861" i="432"/>
  <c r="H860" i="432" s="1"/>
  <c r="H859" i="432" s="1"/>
  <c r="G861" i="432"/>
  <c r="G860" i="432" s="1"/>
  <c r="G859" i="432" s="1"/>
  <c r="D861" i="432"/>
  <c r="AA858" i="432"/>
  <c r="R858" i="432"/>
  <c r="Z857" i="432"/>
  <c r="Y857" i="432"/>
  <c r="X857" i="432"/>
  <c r="W857" i="432"/>
  <c r="V857" i="432"/>
  <c r="U857" i="432"/>
  <c r="T857" i="432"/>
  <c r="S857" i="432"/>
  <c r="Q857" i="432"/>
  <c r="P857" i="432"/>
  <c r="O857" i="432"/>
  <c r="N857" i="432"/>
  <c r="M857" i="432"/>
  <c r="L857" i="432"/>
  <c r="J857" i="432"/>
  <c r="I857" i="432"/>
  <c r="H857" i="432"/>
  <c r="G857" i="432"/>
  <c r="F857" i="432"/>
  <c r="D857" i="432"/>
  <c r="AA856" i="432"/>
  <c r="R856" i="432"/>
  <c r="AB856" i="432" s="1"/>
  <c r="K856" i="432"/>
  <c r="AA855" i="432"/>
  <c r="R855" i="432"/>
  <c r="AA854" i="432"/>
  <c r="R854" i="432"/>
  <c r="Z853" i="432"/>
  <c r="Y853" i="432"/>
  <c r="X853" i="432"/>
  <c r="X852" i="432" s="1"/>
  <c r="W853" i="432"/>
  <c r="W852" i="432" s="1"/>
  <c r="V853" i="432"/>
  <c r="V852" i="432" s="1"/>
  <c r="U853" i="432"/>
  <c r="U852" i="432" s="1"/>
  <c r="T853" i="432"/>
  <c r="T852" i="432" s="1"/>
  <c r="S853" i="432"/>
  <c r="Q853" i="432"/>
  <c r="Q852" i="432" s="1"/>
  <c r="P853" i="432"/>
  <c r="P852" i="432" s="1"/>
  <c r="O853" i="432"/>
  <c r="O852" i="432" s="1"/>
  <c r="N853" i="432"/>
  <c r="N852" i="432" s="1"/>
  <c r="M853" i="432"/>
  <c r="M852" i="432" s="1"/>
  <c r="L853" i="432"/>
  <c r="J853" i="432"/>
  <c r="J852" i="432" s="1"/>
  <c r="I853" i="432"/>
  <c r="I852" i="432" s="1"/>
  <c r="H853" i="432"/>
  <c r="H852" i="432" s="1"/>
  <c r="G853" i="432"/>
  <c r="G852" i="432" s="1"/>
  <c r="F853" i="432"/>
  <c r="F852" i="432" s="1"/>
  <c r="D853" i="432"/>
  <c r="Z852" i="432"/>
  <c r="Y852" i="432"/>
  <c r="AA851" i="432"/>
  <c r="R851" i="432"/>
  <c r="K851" i="432"/>
  <c r="AA850" i="432"/>
  <c r="R850" i="432"/>
  <c r="AB850" i="432" s="1"/>
  <c r="AA849" i="432"/>
  <c r="R849" i="432"/>
  <c r="Z848" i="432"/>
  <c r="Y848" i="432"/>
  <c r="X848" i="432"/>
  <c r="W848" i="432"/>
  <c r="V848" i="432"/>
  <c r="U848" i="432"/>
  <c r="T848" i="432"/>
  <c r="S848" i="432"/>
  <c r="Q848" i="432"/>
  <c r="P848" i="432"/>
  <c r="O848" i="432"/>
  <c r="N848" i="432"/>
  <c r="M848" i="432"/>
  <c r="L848" i="432"/>
  <c r="J848" i="432"/>
  <c r="I848" i="432"/>
  <c r="H848" i="432"/>
  <c r="G848" i="432"/>
  <c r="F848" i="432"/>
  <c r="D848" i="432"/>
  <c r="AA847" i="432"/>
  <c r="R847" i="432"/>
  <c r="AA846" i="432"/>
  <c r="R846" i="432"/>
  <c r="AA845" i="432"/>
  <c r="R845" i="432"/>
  <c r="K845" i="432"/>
  <c r="Z844" i="432"/>
  <c r="Y844" i="432"/>
  <c r="X844" i="432"/>
  <c r="W844" i="432"/>
  <c r="V844" i="432"/>
  <c r="U844" i="432"/>
  <c r="T844" i="432"/>
  <c r="S844" i="432"/>
  <c r="Q844" i="432"/>
  <c r="P844" i="432"/>
  <c r="O844" i="432"/>
  <c r="N844" i="432"/>
  <c r="M844" i="432"/>
  <c r="L844" i="432"/>
  <c r="J844" i="432"/>
  <c r="I844" i="432"/>
  <c r="H844" i="432"/>
  <c r="G844" i="432"/>
  <c r="D844" i="432"/>
  <c r="AA841" i="432"/>
  <c r="R841" i="432"/>
  <c r="K841" i="432"/>
  <c r="AA840" i="432"/>
  <c r="R840" i="432"/>
  <c r="K840" i="432"/>
  <c r="AA839" i="432"/>
  <c r="R839" i="432"/>
  <c r="AB839" i="432" s="1"/>
  <c r="AA838" i="432"/>
  <c r="R838" i="432"/>
  <c r="Z837" i="432"/>
  <c r="Y837" i="432"/>
  <c r="Y836" i="432" s="1"/>
  <c r="X837" i="432"/>
  <c r="X836" i="432" s="1"/>
  <c r="W837" i="432"/>
  <c r="V837" i="432"/>
  <c r="V836" i="432" s="1"/>
  <c r="U837" i="432"/>
  <c r="U836" i="432" s="1"/>
  <c r="T837" i="432"/>
  <c r="T836" i="432" s="1"/>
  <c r="S837" i="432"/>
  <c r="Q837" i="432"/>
  <c r="Q836" i="432" s="1"/>
  <c r="P837" i="432"/>
  <c r="P836" i="432" s="1"/>
  <c r="O837" i="432"/>
  <c r="O836" i="432" s="1"/>
  <c r="N837" i="432"/>
  <c r="M837" i="432"/>
  <c r="M836" i="432" s="1"/>
  <c r="L837" i="432"/>
  <c r="J837" i="432"/>
  <c r="J836" i="432" s="1"/>
  <c r="I837" i="432"/>
  <c r="I836" i="432" s="1"/>
  <c r="H837" i="432"/>
  <c r="H836" i="432" s="1"/>
  <c r="G837" i="432"/>
  <c r="G836" i="432" s="1"/>
  <c r="F837" i="432"/>
  <c r="D837" i="432"/>
  <c r="Z836" i="432"/>
  <c r="W836" i="432"/>
  <c r="S836" i="432"/>
  <c r="N836" i="432"/>
  <c r="AA834" i="432"/>
  <c r="R834" i="432"/>
  <c r="Z833" i="432"/>
  <c r="Z832" i="432" s="1"/>
  <c r="Z831" i="432" s="1"/>
  <c r="Y833" i="432"/>
  <c r="Y832" i="432" s="1"/>
  <c r="Y831" i="432" s="1"/>
  <c r="X833" i="432"/>
  <c r="X832" i="432" s="1"/>
  <c r="X831" i="432" s="1"/>
  <c r="W833" i="432"/>
  <c r="W832" i="432" s="1"/>
  <c r="W831" i="432" s="1"/>
  <c r="V833" i="432"/>
  <c r="U833" i="432"/>
  <c r="T833" i="432"/>
  <c r="T832" i="432" s="1"/>
  <c r="T831" i="432" s="1"/>
  <c r="S833" i="432"/>
  <c r="Q833" i="432"/>
  <c r="Q832" i="432" s="1"/>
  <c r="Q831" i="432" s="1"/>
  <c r="P833" i="432"/>
  <c r="P832" i="432" s="1"/>
  <c r="P831" i="432" s="1"/>
  <c r="O833" i="432"/>
  <c r="O832" i="432" s="1"/>
  <c r="O831" i="432" s="1"/>
  <c r="N833" i="432"/>
  <c r="N832" i="432" s="1"/>
  <c r="N831" i="432" s="1"/>
  <c r="M833" i="432"/>
  <c r="M832" i="432" s="1"/>
  <c r="M831" i="432" s="1"/>
  <c r="L833" i="432"/>
  <c r="J833" i="432"/>
  <c r="J832" i="432" s="1"/>
  <c r="J831" i="432" s="1"/>
  <c r="I833" i="432"/>
  <c r="I832" i="432" s="1"/>
  <c r="I831" i="432" s="1"/>
  <c r="H833" i="432"/>
  <c r="H832" i="432" s="1"/>
  <c r="H831" i="432" s="1"/>
  <c r="G833" i="432"/>
  <c r="D833" i="432"/>
  <c r="D832" i="432" s="1"/>
  <c r="V832" i="432"/>
  <c r="V831" i="432" s="1"/>
  <c r="U832" i="432"/>
  <c r="U831" i="432" s="1"/>
  <c r="AA830" i="432"/>
  <c r="R830" i="432"/>
  <c r="AA829" i="432"/>
  <c r="R829" i="432"/>
  <c r="AA828" i="432"/>
  <c r="R828" i="432"/>
  <c r="K828" i="432"/>
  <c r="AA827" i="432"/>
  <c r="R827" i="432"/>
  <c r="Z826" i="432"/>
  <c r="Z825" i="432" s="1"/>
  <c r="Y826" i="432"/>
  <c r="Y825" i="432" s="1"/>
  <c r="X826" i="432"/>
  <c r="W826" i="432"/>
  <c r="V826" i="432"/>
  <c r="V825" i="432" s="1"/>
  <c r="U826" i="432"/>
  <c r="U825" i="432" s="1"/>
  <c r="T826" i="432"/>
  <c r="S826" i="432"/>
  <c r="S825" i="432" s="1"/>
  <c r="Q826" i="432"/>
  <c r="Q825" i="432" s="1"/>
  <c r="P826" i="432"/>
  <c r="P825" i="432" s="1"/>
  <c r="O826" i="432"/>
  <c r="O825" i="432" s="1"/>
  <c r="N826" i="432"/>
  <c r="N825" i="432" s="1"/>
  <c r="M826" i="432"/>
  <c r="M825" i="432" s="1"/>
  <c r="L826" i="432"/>
  <c r="L825" i="432" s="1"/>
  <c r="J826" i="432"/>
  <c r="J825" i="432" s="1"/>
  <c r="I826" i="432"/>
  <c r="I825" i="432" s="1"/>
  <c r="H826" i="432"/>
  <c r="H825" i="432" s="1"/>
  <c r="G826" i="432"/>
  <c r="D826" i="432"/>
  <c r="X825" i="432"/>
  <c r="W825" i="432"/>
  <c r="T825" i="432"/>
  <c r="D825" i="432"/>
  <c r="AA823" i="432"/>
  <c r="R823" i="432"/>
  <c r="Z822" i="432"/>
  <c r="Y822" i="432"/>
  <c r="X822" i="432"/>
  <c r="W822" i="432"/>
  <c r="W819" i="432" s="1"/>
  <c r="W818" i="432" s="1"/>
  <c r="V822" i="432"/>
  <c r="U822" i="432"/>
  <c r="T822" i="432"/>
  <c r="S822" i="432"/>
  <c r="Q822" i="432"/>
  <c r="P822" i="432"/>
  <c r="O822" i="432"/>
  <c r="N822" i="432"/>
  <c r="M822" i="432"/>
  <c r="L822" i="432"/>
  <c r="J822" i="432"/>
  <c r="I822" i="432"/>
  <c r="H822" i="432"/>
  <c r="G822" i="432"/>
  <c r="D822" i="432"/>
  <c r="AA821" i="432"/>
  <c r="R821" i="432"/>
  <c r="Z820" i="432"/>
  <c r="Z819" i="432" s="1"/>
  <c r="Z818" i="432" s="1"/>
  <c r="Y820" i="432"/>
  <c r="X820" i="432"/>
  <c r="W820" i="432"/>
  <c r="V820" i="432"/>
  <c r="V819" i="432" s="1"/>
  <c r="V818" i="432" s="1"/>
  <c r="U820" i="432"/>
  <c r="T820" i="432"/>
  <c r="S820" i="432"/>
  <c r="Q820" i="432"/>
  <c r="Q819" i="432" s="1"/>
  <c r="Q818" i="432" s="1"/>
  <c r="P820" i="432"/>
  <c r="O820" i="432"/>
  <c r="N820" i="432"/>
  <c r="M820" i="432"/>
  <c r="M819" i="432" s="1"/>
  <c r="M818" i="432" s="1"/>
  <c r="L820" i="432"/>
  <c r="J820" i="432"/>
  <c r="I820" i="432"/>
  <c r="H820" i="432"/>
  <c r="H819" i="432" s="1"/>
  <c r="H818" i="432" s="1"/>
  <c r="G820" i="432"/>
  <c r="G819" i="432" s="1"/>
  <c r="G818" i="432" s="1"/>
  <c r="D820" i="432"/>
  <c r="AA817" i="432"/>
  <c r="R817" i="432"/>
  <c r="Z816" i="432"/>
  <c r="Z813" i="432" s="1"/>
  <c r="Y816" i="432"/>
  <c r="Y813" i="432" s="1"/>
  <c r="X816" i="432"/>
  <c r="X813" i="432" s="1"/>
  <c r="W816" i="432"/>
  <c r="W813" i="432" s="1"/>
  <c r="V816" i="432"/>
  <c r="U816" i="432"/>
  <c r="T816" i="432"/>
  <c r="T813" i="432" s="1"/>
  <c r="S816" i="432"/>
  <c r="S813" i="432" s="1"/>
  <c r="Q816" i="432"/>
  <c r="Q813" i="432" s="1"/>
  <c r="P816" i="432"/>
  <c r="P813" i="432" s="1"/>
  <c r="O816" i="432"/>
  <c r="O813" i="432" s="1"/>
  <c r="N816" i="432"/>
  <c r="M816" i="432"/>
  <c r="L816" i="432"/>
  <c r="L813" i="432" s="1"/>
  <c r="J816" i="432"/>
  <c r="J813" i="432" s="1"/>
  <c r="I816" i="432"/>
  <c r="H816" i="432"/>
  <c r="H813" i="432" s="1"/>
  <c r="G816" i="432"/>
  <c r="G813" i="432" s="1"/>
  <c r="D816" i="432"/>
  <c r="D813" i="432" s="1"/>
  <c r="AA815" i="432"/>
  <c r="R815" i="432"/>
  <c r="AA814" i="432"/>
  <c r="R814" i="432"/>
  <c r="V813" i="432"/>
  <c r="U813" i="432"/>
  <c r="N813" i="432"/>
  <c r="M813" i="432"/>
  <c r="I813" i="432"/>
  <c r="AA812" i="432"/>
  <c r="R812" i="432"/>
  <c r="K812" i="432"/>
  <c r="Z811" i="432"/>
  <c r="Z808" i="432" s="1"/>
  <c r="Y811" i="432"/>
  <c r="Y808" i="432" s="1"/>
  <c r="X811" i="432"/>
  <c r="X808" i="432" s="1"/>
  <c r="W811" i="432"/>
  <c r="W808" i="432" s="1"/>
  <c r="V811" i="432"/>
  <c r="V808" i="432" s="1"/>
  <c r="U811" i="432"/>
  <c r="U808" i="432" s="1"/>
  <c r="T811" i="432"/>
  <c r="T808" i="432" s="1"/>
  <c r="S811" i="432"/>
  <c r="S808" i="432" s="1"/>
  <c r="Q811" i="432"/>
  <c r="Q808" i="432" s="1"/>
  <c r="P811" i="432"/>
  <c r="P808" i="432" s="1"/>
  <c r="O811" i="432"/>
  <c r="O808" i="432" s="1"/>
  <c r="N811" i="432"/>
  <c r="M811" i="432"/>
  <c r="M808" i="432" s="1"/>
  <c r="L811" i="432"/>
  <c r="J811" i="432"/>
  <c r="I811" i="432"/>
  <c r="I808" i="432" s="1"/>
  <c r="H811" i="432"/>
  <c r="H808" i="432" s="1"/>
  <c r="G811" i="432"/>
  <c r="G808" i="432" s="1"/>
  <c r="D811" i="432"/>
  <c r="D808" i="432" s="1"/>
  <c r="AA810" i="432"/>
  <c r="R810" i="432"/>
  <c r="AA809" i="432"/>
  <c r="R809" i="432"/>
  <c r="K809" i="432"/>
  <c r="N808" i="432"/>
  <c r="J808" i="432"/>
  <c r="J807" i="432" s="1"/>
  <c r="AA806" i="432"/>
  <c r="R806" i="432"/>
  <c r="Z805" i="432"/>
  <c r="Y805" i="432"/>
  <c r="Y802" i="432" s="1"/>
  <c r="X805" i="432"/>
  <c r="X802" i="432" s="1"/>
  <c r="W805" i="432"/>
  <c r="W802" i="432" s="1"/>
  <c r="V805" i="432"/>
  <c r="U805" i="432"/>
  <c r="U802" i="432" s="1"/>
  <c r="T805" i="432"/>
  <c r="T802" i="432" s="1"/>
  <c r="S805" i="432"/>
  <c r="S802" i="432" s="1"/>
  <c r="Q805" i="432"/>
  <c r="Q802" i="432" s="1"/>
  <c r="P805" i="432"/>
  <c r="P802" i="432" s="1"/>
  <c r="O805" i="432"/>
  <c r="O802" i="432" s="1"/>
  <c r="N805" i="432"/>
  <c r="N802" i="432" s="1"/>
  <c r="M805" i="432"/>
  <c r="M802" i="432" s="1"/>
  <c r="L805" i="432"/>
  <c r="J805" i="432"/>
  <c r="J802" i="432" s="1"/>
  <c r="I805" i="432"/>
  <c r="I802" i="432" s="1"/>
  <c r="H805" i="432"/>
  <c r="H802" i="432" s="1"/>
  <c r="G805" i="432"/>
  <c r="G802" i="432" s="1"/>
  <c r="D805" i="432"/>
  <c r="D802" i="432" s="1"/>
  <c r="AA804" i="432"/>
  <c r="R804" i="432"/>
  <c r="K804" i="432"/>
  <c r="AA803" i="432"/>
  <c r="R803" i="432"/>
  <c r="Z802" i="432"/>
  <c r="V802" i="432"/>
  <c r="AA801" i="432"/>
  <c r="R801" i="432"/>
  <c r="Z800" i="432"/>
  <c r="Z797" i="432" s="1"/>
  <c r="Y800" i="432"/>
  <c r="Y797" i="432" s="1"/>
  <c r="X800" i="432"/>
  <c r="X797" i="432" s="1"/>
  <c r="W800" i="432"/>
  <c r="W797" i="432" s="1"/>
  <c r="W796" i="432" s="1"/>
  <c r="V800" i="432"/>
  <c r="V797" i="432" s="1"/>
  <c r="U800" i="432"/>
  <c r="U797" i="432" s="1"/>
  <c r="T800" i="432"/>
  <c r="T797" i="432" s="1"/>
  <c r="S800" i="432"/>
  <c r="Q800" i="432"/>
  <c r="Q797" i="432" s="1"/>
  <c r="P800" i="432"/>
  <c r="P797" i="432" s="1"/>
  <c r="O800" i="432"/>
  <c r="O797" i="432" s="1"/>
  <c r="N800" i="432"/>
  <c r="N797" i="432" s="1"/>
  <c r="M800" i="432"/>
  <c r="M797" i="432" s="1"/>
  <c r="L800" i="432"/>
  <c r="J800" i="432"/>
  <c r="J797" i="432" s="1"/>
  <c r="I800" i="432"/>
  <c r="I797" i="432" s="1"/>
  <c r="I796" i="432" s="1"/>
  <c r="H800" i="432"/>
  <c r="H797" i="432" s="1"/>
  <c r="G800" i="432"/>
  <c r="G797" i="432" s="1"/>
  <c r="D800" i="432"/>
  <c r="AA799" i="432"/>
  <c r="R799" i="432"/>
  <c r="AA798" i="432"/>
  <c r="R798" i="432"/>
  <c r="S797" i="432"/>
  <c r="AA795" i="432"/>
  <c r="R795" i="432"/>
  <c r="Z794" i="432"/>
  <c r="Z791" i="432" s="1"/>
  <c r="Z790" i="432" s="1"/>
  <c r="Y794" i="432"/>
  <c r="Y791" i="432" s="1"/>
  <c r="Y790" i="432" s="1"/>
  <c r="X794" i="432"/>
  <c r="X791" i="432" s="1"/>
  <c r="X790" i="432" s="1"/>
  <c r="W794" i="432"/>
  <c r="W791" i="432" s="1"/>
  <c r="W790" i="432" s="1"/>
  <c r="V794" i="432"/>
  <c r="V791" i="432" s="1"/>
  <c r="V790" i="432" s="1"/>
  <c r="U794" i="432"/>
  <c r="T794" i="432"/>
  <c r="S794" i="432"/>
  <c r="S791" i="432" s="1"/>
  <c r="Q794" i="432"/>
  <c r="Q791" i="432" s="1"/>
  <c r="Q790" i="432" s="1"/>
  <c r="P794" i="432"/>
  <c r="P791" i="432" s="1"/>
  <c r="P790" i="432" s="1"/>
  <c r="O794" i="432"/>
  <c r="O791" i="432" s="1"/>
  <c r="O790" i="432" s="1"/>
  <c r="N794" i="432"/>
  <c r="N791" i="432" s="1"/>
  <c r="N790" i="432" s="1"/>
  <c r="M794" i="432"/>
  <c r="M791" i="432" s="1"/>
  <c r="M790" i="432" s="1"/>
  <c r="L794" i="432"/>
  <c r="J794" i="432"/>
  <c r="J791" i="432" s="1"/>
  <c r="J790" i="432" s="1"/>
  <c r="I794" i="432"/>
  <c r="I791" i="432" s="1"/>
  <c r="I790" i="432" s="1"/>
  <c r="I789" i="432" s="1"/>
  <c r="H794" i="432"/>
  <c r="H791" i="432" s="1"/>
  <c r="H790" i="432" s="1"/>
  <c r="G794" i="432"/>
  <c r="G791" i="432" s="1"/>
  <c r="G790" i="432" s="1"/>
  <c r="D794" i="432"/>
  <c r="AA793" i="432"/>
  <c r="R793" i="432"/>
  <c r="AA792" i="432"/>
  <c r="R792" i="432"/>
  <c r="D792" i="432"/>
  <c r="K792" i="432" s="1"/>
  <c r="U791" i="432"/>
  <c r="U790" i="432" s="1"/>
  <c r="T791" i="432"/>
  <c r="T790" i="432" s="1"/>
  <c r="L791" i="432"/>
  <c r="AA788" i="432"/>
  <c r="R788" i="432"/>
  <c r="K788" i="432"/>
  <c r="AA787" i="432"/>
  <c r="R787" i="432"/>
  <c r="Z786" i="432"/>
  <c r="Z783" i="432" s="1"/>
  <c r="Y786" i="432"/>
  <c r="Y783" i="432" s="1"/>
  <c r="X786" i="432"/>
  <c r="X783" i="432" s="1"/>
  <c r="W786" i="432"/>
  <c r="W783" i="432" s="1"/>
  <c r="V786" i="432"/>
  <c r="V783" i="432" s="1"/>
  <c r="U786" i="432"/>
  <c r="U783" i="432" s="1"/>
  <c r="T786" i="432"/>
  <c r="T783" i="432" s="1"/>
  <c r="S786" i="432"/>
  <c r="S783" i="432" s="1"/>
  <c r="Q786" i="432"/>
  <c r="Q783" i="432" s="1"/>
  <c r="P786" i="432"/>
  <c r="P783" i="432" s="1"/>
  <c r="O786" i="432"/>
  <c r="O783" i="432" s="1"/>
  <c r="N786" i="432"/>
  <c r="N783" i="432" s="1"/>
  <c r="M786" i="432"/>
  <c r="M783" i="432" s="1"/>
  <c r="L786" i="432"/>
  <c r="J786" i="432"/>
  <c r="J783" i="432" s="1"/>
  <c r="I786" i="432"/>
  <c r="I783" i="432" s="1"/>
  <c r="H786" i="432"/>
  <c r="H783" i="432" s="1"/>
  <c r="G786" i="432"/>
  <c r="G783" i="432" s="1"/>
  <c r="F786" i="432"/>
  <c r="D786" i="432"/>
  <c r="AA785" i="432"/>
  <c r="R785" i="432"/>
  <c r="AA784" i="432"/>
  <c r="R784" i="432"/>
  <c r="K784" i="432"/>
  <c r="AA782" i="432"/>
  <c r="R782" i="432"/>
  <c r="Z781" i="432"/>
  <c r="Z778" i="432" s="1"/>
  <c r="Y781" i="432"/>
  <c r="Y778" i="432" s="1"/>
  <c r="X781" i="432"/>
  <c r="X778" i="432" s="1"/>
  <c r="W781" i="432"/>
  <c r="W778" i="432" s="1"/>
  <c r="V781" i="432"/>
  <c r="V778" i="432" s="1"/>
  <c r="U781" i="432"/>
  <c r="U778" i="432" s="1"/>
  <c r="T781" i="432"/>
  <c r="T778" i="432" s="1"/>
  <c r="S781" i="432"/>
  <c r="Q781" i="432"/>
  <c r="P781" i="432"/>
  <c r="P778" i="432" s="1"/>
  <c r="O781" i="432"/>
  <c r="O778" i="432" s="1"/>
  <c r="N781" i="432"/>
  <c r="N778" i="432" s="1"/>
  <c r="M781" i="432"/>
  <c r="M778" i="432" s="1"/>
  <c r="L781" i="432"/>
  <c r="J781" i="432"/>
  <c r="J778" i="432" s="1"/>
  <c r="I781" i="432"/>
  <c r="I778" i="432" s="1"/>
  <c r="H781" i="432"/>
  <c r="H778" i="432" s="1"/>
  <c r="G781" i="432"/>
  <c r="G778" i="432" s="1"/>
  <c r="D781" i="432"/>
  <c r="AA780" i="432"/>
  <c r="R780" i="432"/>
  <c r="K780" i="432"/>
  <c r="AA779" i="432"/>
  <c r="R779" i="432"/>
  <c r="Q778" i="432"/>
  <c r="AA776" i="432"/>
  <c r="R776" i="432"/>
  <c r="K776" i="432"/>
  <c r="Z775" i="432"/>
  <c r="Y775" i="432"/>
  <c r="Y772" i="432" s="1"/>
  <c r="Y771" i="432" s="1"/>
  <c r="X775" i="432"/>
  <c r="X772" i="432" s="1"/>
  <c r="X771" i="432" s="1"/>
  <c r="W775" i="432"/>
  <c r="W772" i="432" s="1"/>
  <c r="W771" i="432" s="1"/>
  <c r="V775" i="432"/>
  <c r="V772" i="432" s="1"/>
  <c r="V771" i="432" s="1"/>
  <c r="U775" i="432"/>
  <c r="U772" i="432" s="1"/>
  <c r="U771" i="432" s="1"/>
  <c r="T775" i="432"/>
  <c r="T772" i="432" s="1"/>
  <c r="T771" i="432" s="1"/>
  <c r="S775" i="432"/>
  <c r="S772" i="432" s="1"/>
  <c r="S771" i="432" s="1"/>
  <c r="Q775" i="432"/>
  <c r="Q772" i="432" s="1"/>
  <c r="Q771" i="432" s="1"/>
  <c r="P775" i="432"/>
  <c r="P772" i="432" s="1"/>
  <c r="P771" i="432" s="1"/>
  <c r="O775" i="432"/>
  <c r="O772" i="432" s="1"/>
  <c r="O771" i="432" s="1"/>
  <c r="N775" i="432"/>
  <c r="N772" i="432" s="1"/>
  <c r="N771" i="432" s="1"/>
  <c r="M775" i="432"/>
  <c r="M772" i="432" s="1"/>
  <c r="M771" i="432" s="1"/>
  <c r="L775" i="432"/>
  <c r="L772" i="432" s="1"/>
  <c r="J775" i="432"/>
  <c r="I775" i="432"/>
  <c r="I772" i="432" s="1"/>
  <c r="I771" i="432" s="1"/>
  <c r="H775" i="432"/>
  <c r="H772" i="432" s="1"/>
  <c r="H771" i="432" s="1"/>
  <c r="G775" i="432"/>
  <c r="G772" i="432" s="1"/>
  <c r="G771" i="432" s="1"/>
  <c r="D775" i="432"/>
  <c r="AA774" i="432"/>
  <c r="R774" i="432"/>
  <c r="AA773" i="432"/>
  <c r="R773" i="432"/>
  <c r="K773" i="432"/>
  <c r="Z772" i="432"/>
  <c r="Z771" i="432" s="1"/>
  <c r="J772" i="432"/>
  <c r="J771" i="432" s="1"/>
  <c r="AA764" i="432"/>
  <c r="R764" i="432"/>
  <c r="AA763" i="432"/>
  <c r="R763" i="432"/>
  <c r="AA762" i="432"/>
  <c r="R762" i="432"/>
  <c r="K762" i="432"/>
  <c r="AA761" i="432"/>
  <c r="R761" i="432"/>
  <c r="K761" i="432"/>
  <c r="AA760" i="432"/>
  <c r="R760" i="432"/>
  <c r="AA759" i="432"/>
  <c r="R759" i="432"/>
  <c r="AA758" i="432"/>
  <c r="R758" i="432"/>
  <c r="AA757" i="432"/>
  <c r="R757" i="432"/>
  <c r="K757" i="432"/>
  <c r="AA756" i="432"/>
  <c r="R756" i="432"/>
  <c r="AA755" i="432"/>
  <c r="R755" i="432"/>
  <c r="K755" i="432"/>
  <c r="AA754" i="432"/>
  <c r="R754" i="432"/>
  <c r="K754" i="432"/>
  <c r="AA753" i="432"/>
  <c r="R753" i="432"/>
  <c r="K753" i="432"/>
  <c r="AA752" i="432"/>
  <c r="R752" i="432"/>
  <c r="AA751" i="432"/>
  <c r="R751" i="432"/>
  <c r="K751" i="432"/>
  <c r="AA750" i="432"/>
  <c r="R750" i="432"/>
  <c r="K750" i="432"/>
  <c r="AA749" i="432"/>
  <c r="R749" i="432"/>
  <c r="K749" i="432"/>
  <c r="AA748" i="432"/>
  <c r="R748" i="432"/>
  <c r="AA747" i="432"/>
  <c r="R747" i="432"/>
  <c r="AA746" i="432"/>
  <c r="R746" i="432"/>
  <c r="K746" i="432"/>
  <c r="AA745" i="432"/>
  <c r="R745" i="432"/>
  <c r="K745" i="432"/>
  <c r="AA744" i="432"/>
  <c r="R744" i="432"/>
  <c r="AA743" i="432"/>
  <c r="R743" i="432"/>
  <c r="AA742" i="432"/>
  <c r="R742" i="432"/>
  <c r="AB742" i="432" s="1"/>
  <c r="K742" i="432"/>
  <c r="AA741" i="432"/>
  <c r="R741" i="432"/>
  <c r="K741" i="432"/>
  <c r="AA740" i="432"/>
  <c r="R740" i="432"/>
  <c r="AA739" i="432"/>
  <c r="R739" i="432"/>
  <c r="AA738" i="432"/>
  <c r="R738" i="432"/>
  <c r="K738" i="432"/>
  <c r="AA737" i="432"/>
  <c r="AB737" i="432" s="1"/>
  <c r="R737" i="432"/>
  <c r="K737" i="432"/>
  <c r="AA736" i="432"/>
  <c r="R736" i="432"/>
  <c r="AA735" i="432"/>
  <c r="R735" i="432"/>
  <c r="AA734" i="432"/>
  <c r="R734" i="432"/>
  <c r="K734" i="432"/>
  <c r="AA733" i="432"/>
  <c r="R733" i="432"/>
  <c r="K733" i="432"/>
  <c r="AA732" i="432"/>
  <c r="R732" i="432"/>
  <c r="AA731" i="432"/>
  <c r="R731" i="432"/>
  <c r="AA730" i="432"/>
  <c r="R730" i="432"/>
  <c r="K730" i="432"/>
  <c r="AA729" i="432"/>
  <c r="R729" i="432"/>
  <c r="K729" i="432"/>
  <c r="AA728" i="432"/>
  <c r="R728" i="432"/>
  <c r="AA727" i="432"/>
  <c r="R727" i="432"/>
  <c r="AA726" i="432"/>
  <c r="R726" i="432"/>
  <c r="K726" i="432"/>
  <c r="AA725" i="432"/>
  <c r="R725" i="432"/>
  <c r="K725" i="432"/>
  <c r="AA724" i="432"/>
  <c r="R724" i="432"/>
  <c r="AA723" i="432"/>
  <c r="R723" i="432"/>
  <c r="K723" i="432"/>
  <c r="AA722" i="432"/>
  <c r="R722" i="432"/>
  <c r="K722" i="432"/>
  <c r="AA721" i="432"/>
  <c r="R721" i="432"/>
  <c r="K721" i="432"/>
  <c r="AA720" i="432"/>
  <c r="R720" i="432"/>
  <c r="Z719" i="432"/>
  <c r="Y719" i="432"/>
  <c r="X719" i="432"/>
  <c r="W719" i="432"/>
  <c r="V719" i="432"/>
  <c r="U719" i="432"/>
  <c r="T719" i="432"/>
  <c r="S719" i="432"/>
  <c r="Q719" i="432"/>
  <c r="P719" i="432"/>
  <c r="O719" i="432"/>
  <c r="N719" i="432"/>
  <c r="M719" i="432"/>
  <c r="L719" i="432"/>
  <c r="J719" i="432"/>
  <c r="I719" i="432"/>
  <c r="H719" i="432"/>
  <c r="G719" i="432"/>
  <c r="F719" i="432"/>
  <c r="D719" i="432"/>
  <c r="AA718" i="432"/>
  <c r="R718" i="432"/>
  <c r="K718" i="432"/>
  <c r="Z717" i="432"/>
  <c r="Y717" i="432"/>
  <c r="X717" i="432"/>
  <c r="W717" i="432"/>
  <c r="V717" i="432"/>
  <c r="U717" i="432"/>
  <c r="T717" i="432"/>
  <c r="S717" i="432"/>
  <c r="Q717" i="432"/>
  <c r="P717" i="432"/>
  <c r="O717" i="432"/>
  <c r="N717" i="432"/>
  <c r="M717" i="432"/>
  <c r="L717" i="432"/>
  <c r="J717" i="432"/>
  <c r="I717" i="432"/>
  <c r="H717" i="432"/>
  <c r="G717" i="432"/>
  <c r="F717" i="432"/>
  <c r="D717" i="432"/>
  <c r="AA716" i="432"/>
  <c r="R716" i="432"/>
  <c r="Z715" i="432"/>
  <c r="Y715" i="432"/>
  <c r="X715" i="432"/>
  <c r="W715" i="432"/>
  <c r="V715" i="432"/>
  <c r="U715" i="432"/>
  <c r="T715" i="432"/>
  <c r="S715" i="432"/>
  <c r="Q715" i="432"/>
  <c r="P715" i="432"/>
  <c r="O715" i="432"/>
  <c r="N715" i="432"/>
  <c r="M715" i="432"/>
  <c r="L715" i="432"/>
  <c r="J715" i="432"/>
  <c r="I715" i="432"/>
  <c r="H715" i="432"/>
  <c r="G715" i="432"/>
  <c r="F715" i="432"/>
  <c r="D715" i="432"/>
  <c r="AA714" i="432"/>
  <c r="R714" i="432"/>
  <c r="K714" i="432"/>
  <c r="Z713" i="432"/>
  <c r="Y713" i="432"/>
  <c r="X713" i="432"/>
  <c r="W713" i="432"/>
  <c r="V713" i="432"/>
  <c r="U713" i="432"/>
  <c r="T713" i="432"/>
  <c r="S713" i="432"/>
  <c r="Q713" i="432"/>
  <c r="P713" i="432"/>
  <c r="O713" i="432"/>
  <c r="N713" i="432"/>
  <c r="M713" i="432"/>
  <c r="L713" i="432"/>
  <c r="J713" i="432"/>
  <c r="I713" i="432"/>
  <c r="H713" i="432"/>
  <c r="G713" i="432"/>
  <c r="F713" i="432"/>
  <c r="D713" i="432"/>
  <c r="AA712" i="432"/>
  <c r="R712" i="432"/>
  <c r="Z711" i="432"/>
  <c r="Y711" i="432"/>
  <c r="X711" i="432"/>
  <c r="W711" i="432"/>
  <c r="V711" i="432"/>
  <c r="U711" i="432"/>
  <c r="T711" i="432"/>
  <c r="S711" i="432"/>
  <c r="Q711" i="432"/>
  <c r="P711" i="432"/>
  <c r="O711" i="432"/>
  <c r="N711" i="432"/>
  <c r="M711" i="432"/>
  <c r="L711" i="432"/>
  <c r="J711" i="432"/>
  <c r="I711" i="432"/>
  <c r="H711" i="432"/>
  <c r="G711" i="432"/>
  <c r="F711" i="432"/>
  <c r="D711" i="432"/>
  <c r="AA710" i="432"/>
  <c r="R710" i="432"/>
  <c r="K710" i="432"/>
  <c r="Z709" i="432"/>
  <c r="Y709" i="432"/>
  <c r="X709" i="432"/>
  <c r="W709" i="432"/>
  <c r="V709" i="432"/>
  <c r="U709" i="432"/>
  <c r="T709" i="432"/>
  <c r="S709" i="432"/>
  <c r="Q709" i="432"/>
  <c r="P709" i="432"/>
  <c r="O709" i="432"/>
  <c r="N709" i="432"/>
  <c r="M709" i="432"/>
  <c r="L709" i="432"/>
  <c r="J709" i="432"/>
  <c r="I709" i="432"/>
  <c r="H709" i="432"/>
  <c r="G709" i="432"/>
  <c r="F709" i="432"/>
  <c r="D709" i="432"/>
  <c r="AA708" i="432"/>
  <c r="R708" i="432"/>
  <c r="Z707" i="432"/>
  <c r="Y707" i="432"/>
  <c r="X707" i="432"/>
  <c r="W707" i="432"/>
  <c r="V707" i="432"/>
  <c r="U707" i="432"/>
  <c r="T707" i="432"/>
  <c r="S707" i="432"/>
  <c r="Q707" i="432"/>
  <c r="P707" i="432"/>
  <c r="O707" i="432"/>
  <c r="N707" i="432"/>
  <c r="M707" i="432"/>
  <c r="L707" i="432"/>
  <c r="J707" i="432"/>
  <c r="I707" i="432"/>
  <c r="H707" i="432"/>
  <c r="G707" i="432"/>
  <c r="F707" i="432"/>
  <c r="D707" i="432"/>
  <c r="AA705" i="432"/>
  <c r="R705" i="432"/>
  <c r="K705" i="432"/>
  <c r="AA704" i="432"/>
  <c r="AB704" i="432" s="1"/>
  <c r="R704" i="432"/>
  <c r="AA703" i="432"/>
  <c r="R703" i="432"/>
  <c r="AA702" i="432"/>
  <c r="AB702" i="432" s="1"/>
  <c r="R702" i="432"/>
  <c r="K702" i="432"/>
  <c r="Z701" i="432"/>
  <c r="Y701" i="432"/>
  <c r="X701" i="432"/>
  <c r="W701" i="432"/>
  <c r="V701" i="432"/>
  <c r="U701" i="432"/>
  <c r="T701" i="432"/>
  <c r="S701" i="432"/>
  <c r="Q701" i="432"/>
  <c r="P701" i="432"/>
  <c r="O701" i="432"/>
  <c r="N701" i="432"/>
  <c r="M701" i="432"/>
  <c r="L701" i="432"/>
  <c r="J701" i="432"/>
  <c r="I701" i="432"/>
  <c r="H701" i="432"/>
  <c r="G701" i="432"/>
  <c r="F701" i="432"/>
  <c r="D701" i="432"/>
  <c r="AA700" i="432"/>
  <c r="R700" i="432"/>
  <c r="Z699" i="432"/>
  <c r="Y699" i="432"/>
  <c r="X699" i="432"/>
  <c r="W699" i="432"/>
  <c r="V699" i="432"/>
  <c r="U699" i="432"/>
  <c r="T699" i="432"/>
  <c r="S699" i="432"/>
  <c r="Q699" i="432"/>
  <c r="P699" i="432"/>
  <c r="O699" i="432"/>
  <c r="N699" i="432"/>
  <c r="M699" i="432"/>
  <c r="L699" i="432"/>
  <c r="J699" i="432"/>
  <c r="I699" i="432"/>
  <c r="H699" i="432"/>
  <c r="G699" i="432"/>
  <c r="F699" i="432"/>
  <c r="D699" i="432"/>
  <c r="AA698" i="432"/>
  <c r="R698" i="432"/>
  <c r="K698" i="432"/>
  <c r="Z697" i="432"/>
  <c r="Z693" i="432" s="1"/>
  <c r="Y697" i="432"/>
  <c r="X697" i="432"/>
  <c r="W697" i="432"/>
  <c r="V697" i="432"/>
  <c r="V693" i="432" s="1"/>
  <c r="U697" i="432"/>
  <c r="T697" i="432"/>
  <c r="S697" i="432"/>
  <c r="Q697" i="432"/>
  <c r="P697" i="432"/>
  <c r="O697" i="432"/>
  <c r="N697" i="432"/>
  <c r="M697" i="432"/>
  <c r="L697" i="432"/>
  <c r="J697" i="432"/>
  <c r="I697" i="432"/>
  <c r="H697" i="432"/>
  <c r="G697" i="432"/>
  <c r="F697" i="432"/>
  <c r="D697" i="432"/>
  <c r="AA696" i="432"/>
  <c r="R696" i="432"/>
  <c r="AA695" i="432"/>
  <c r="R695" i="432"/>
  <c r="K695" i="432"/>
  <c r="Z694" i="432"/>
  <c r="Y694" i="432"/>
  <c r="X694" i="432"/>
  <c r="W694" i="432"/>
  <c r="V694" i="432"/>
  <c r="U694" i="432"/>
  <c r="T694" i="432"/>
  <c r="S694" i="432"/>
  <c r="Q694" i="432"/>
  <c r="P694" i="432"/>
  <c r="O694" i="432"/>
  <c r="N694" i="432"/>
  <c r="M694" i="432"/>
  <c r="L694" i="432"/>
  <c r="J694" i="432"/>
  <c r="I694" i="432"/>
  <c r="H694" i="432"/>
  <c r="G694" i="432"/>
  <c r="F694" i="432"/>
  <c r="D694" i="432"/>
  <c r="AA692" i="432"/>
  <c r="R692" i="432"/>
  <c r="Z691" i="432"/>
  <c r="Y691" i="432"/>
  <c r="X691" i="432"/>
  <c r="W691" i="432"/>
  <c r="V691" i="432"/>
  <c r="U691" i="432"/>
  <c r="T691" i="432"/>
  <c r="S691" i="432"/>
  <c r="Q691" i="432"/>
  <c r="P691" i="432"/>
  <c r="O691" i="432"/>
  <c r="N691" i="432"/>
  <c r="M691" i="432"/>
  <c r="L691" i="432"/>
  <c r="J691" i="432"/>
  <c r="I691" i="432"/>
  <c r="H691" i="432"/>
  <c r="G691" i="432"/>
  <c r="F691" i="432"/>
  <c r="D691" i="432"/>
  <c r="AA690" i="432"/>
  <c r="R690" i="432"/>
  <c r="K690" i="432"/>
  <c r="Z689" i="432"/>
  <c r="Y689" i="432"/>
  <c r="X689" i="432"/>
  <c r="W689" i="432"/>
  <c r="V689" i="432"/>
  <c r="U689" i="432"/>
  <c r="T689" i="432"/>
  <c r="S689" i="432"/>
  <c r="Q689" i="432"/>
  <c r="P689" i="432"/>
  <c r="O689" i="432"/>
  <c r="N689" i="432"/>
  <c r="M689" i="432"/>
  <c r="L689" i="432"/>
  <c r="J689" i="432"/>
  <c r="I689" i="432"/>
  <c r="H689" i="432"/>
  <c r="G689" i="432"/>
  <c r="F689" i="432"/>
  <c r="D689" i="432"/>
  <c r="AA688" i="432"/>
  <c r="R688" i="432"/>
  <c r="Z687" i="432"/>
  <c r="Y687" i="432"/>
  <c r="X687" i="432"/>
  <c r="W687" i="432"/>
  <c r="V687" i="432"/>
  <c r="U687" i="432"/>
  <c r="T687" i="432"/>
  <c r="S687" i="432"/>
  <c r="Q687" i="432"/>
  <c r="P687" i="432"/>
  <c r="O687" i="432"/>
  <c r="N687" i="432"/>
  <c r="M687" i="432"/>
  <c r="L687" i="432"/>
  <c r="J687" i="432"/>
  <c r="I687" i="432"/>
  <c r="H687" i="432"/>
  <c r="G687" i="432"/>
  <c r="F687" i="432"/>
  <c r="D687" i="432"/>
  <c r="AA686" i="432"/>
  <c r="R686" i="432"/>
  <c r="K686" i="432"/>
  <c r="Z685" i="432"/>
  <c r="Y685" i="432"/>
  <c r="X685" i="432"/>
  <c r="W685" i="432"/>
  <c r="V685" i="432"/>
  <c r="U685" i="432"/>
  <c r="T685" i="432"/>
  <c r="S685" i="432"/>
  <c r="Q685" i="432"/>
  <c r="P685" i="432"/>
  <c r="O685" i="432"/>
  <c r="N685" i="432"/>
  <c r="M685" i="432"/>
  <c r="L685" i="432"/>
  <c r="J685" i="432"/>
  <c r="I685" i="432"/>
  <c r="H685" i="432"/>
  <c r="G685" i="432"/>
  <c r="F685" i="432"/>
  <c r="D685" i="432"/>
  <c r="AA684" i="432"/>
  <c r="R684" i="432"/>
  <c r="Z683" i="432"/>
  <c r="Y683" i="432"/>
  <c r="X683" i="432"/>
  <c r="W683" i="432"/>
  <c r="V683" i="432"/>
  <c r="U683" i="432"/>
  <c r="T683" i="432"/>
  <c r="S683" i="432"/>
  <c r="Q683" i="432"/>
  <c r="P683" i="432"/>
  <c r="O683" i="432"/>
  <c r="N683" i="432"/>
  <c r="M683" i="432"/>
  <c r="L683" i="432"/>
  <c r="J683" i="432"/>
  <c r="I683" i="432"/>
  <c r="H683" i="432"/>
  <c r="G683" i="432"/>
  <c r="F683" i="432"/>
  <c r="D683" i="432"/>
  <c r="AA682" i="432"/>
  <c r="R682" i="432"/>
  <c r="K682" i="432"/>
  <c r="Z681" i="432"/>
  <c r="Y681" i="432"/>
  <c r="X681" i="432"/>
  <c r="W681" i="432"/>
  <c r="V681" i="432"/>
  <c r="U681" i="432"/>
  <c r="T681" i="432"/>
  <c r="S681" i="432"/>
  <c r="Q681" i="432"/>
  <c r="P681" i="432"/>
  <c r="O681" i="432"/>
  <c r="N681" i="432"/>
  <c r="M681" i="432"/>
  <c r="L681" i="432"/>
  <c r="J681" i="432"/>
  <c r="I681" i="432"/>
  <c r="H681" i="432"/>
  <c r="G681" i="432"/>
  <c r="F681" i="432"/>
  <c r="D681" i="432"/>
  <c r="AA680" i="432"/>
  <c r="R680" i="432"/>
  <c r="Z679" i="432"/>
  <c r="Y679" i="432"/>
  <c r="X679" i="432"/>
  <c r="W679" i="432"/>
  <c r="V679" i="432"/>
  <c r="U679" i="432"/>
  <c r="T679" i="432"/>
  <c r="S679" i="432"/>
  <c r="Q679" i="432"/>
  <c r="P679" i="432"/>
  <c r="O679" i="432"/>
  <c r="N679" i="432"/>
  <c r="M679" i="432"/>
  <c r="L679" i="432"/>
  <c r="J679" i="432"/>
  <c r="I679" i="432"/>
  <c r="H679" i="432"/>
  <c r="G679" i="432"/>
  <c r="F679" i="432"/>
  <c r="D679" i="432"/>
  <c r="AA678" i="432"/>
  <c r="R678" i="432"/>
  <c r="K678" i="432"/>
  <c r="Z677" i="432"/>
  <c r="Y677" i="432"/>
  <c r="X677" i="432"/>
  <c r="W677" i="432"/>
  <c r="V677" i="432"/>
  <c r="U677" i="432"/>
  <c r="T677" i="432"/>
  <c r="S677" i="432"/>
  <c r="Q677" i="432"/>
  <c r="P677" i="432"/>
  <c r="O677" i="432"/>
  <c r="N677" i="432"/>
  <c r="M677" i="432"/>
  <c r="L677" i="432"/>
  <c r="J677" i="432"/>
  <c r="I677" i="432"/>
  <c r="H677" i="432"/>
  <c r="G677" i="432"/>
  <c r="F677" i="432"/>
  <c r="D677" i="432"/>
  <c r="AA676" i="432"/>
  <c r="R676" i="432"/>
  <c r="AA675" i="432"/>
  <c r="R675" i="432"/>
  <c r="AA674" i="432"/>
  <c r="R674" i="432"/>
  <c r="K674" i="432"/>
  <c r="Z673" i="432"/>
  <c r="Y673" i="432"/>
  <c r="Y672" i="432" s="1"/>
  <c r="X673" i="432"/>
  <c r="X672" i="432" s="1"/>
  <c r="W673" i="432"/>
  <c r="W672" i="432" s="1"/>
  <c r="V673" i="432"/>
  <c r="U673" i="432"/>
  <c r="T673" i="432"/>
  <c r="T672" i="432" s="1"/>
  <c r="Q673" i="432"/>
  <c r="Q672" i="432" s="1"/>
  <c r="P673" i="432"/>
  <c r="P672" i="432" s="1"/>
  <c r="O673" i="432"/>
  <c r="O672" i="432" s="1"/>
  <c r="N673" i="432"/>
  <c r="N672" i="432" s="1"/>
  <c r="M673" i="432"/>
  <c r="M672" i="432" s="1"/>
  <c r="L673" i="432"/>
  <c r="J673" i="432"/>
  <c r="J672" i="432" s="1"/>
  <c r="I673" i="432"/>
  <c r="I672" i="432" s="1"/>
  <c r="H673" i="432"/>
  <c r="H672" i="432" s="1"/>
  <c r="G673" i="432"/>
  <c r="G672" i="432" s="1"/>
  <c r="F673" i="432"/>
  <c r="F672" i="432" s="1"/>
  <c r="D673" i="432"/>
  <c r="D672" i="432" s="1"/>
  <c r="Z672" i="432"/>
  <c r="V672" i="432"/>
  <c r="U672" i="432"/>
  <c r="AA666" i="432"/>
  <c r="R666" i="432"/>
  <c r="K666" i="432"/>
  <c r="AA665" i="432"/>
  <c r="R665" i="432"/>
  <c r="K665" i="432"/>
  <c r="AA664" i="432"/>
  <c r="R664" i="432"/>
  <c r="AA663" i="432"/>
  <c r="R663" i="432"/>
  <c r="AA662" i="432"/>
  <c r="R662" i="432"/>
  <c r="K662" i="432"/>
  <c r="Z661" i="432"/>
  <c r="Y661" i="432"/>
  <c r="X661" i="432"/>
  <c r="W661" i="432"/>
  <c r="V661" i="432"/>
  <c r="U661" i="432"/>
  <c r="T661" i="432"/>
  <c r="S661" i="432"/>
  <c r="Q661" i="432"/>
  <c r="P661" i="432"/>
  <c r="O661" i="432"/>
  <c r="N661" i="432"/>
  <c r="M661" i="432"/>
  <c r="L661" i="432"/>
  <c r="J661" i="432"/>
  <c r="I661" i="432"/>
  <c r="H661" i="432"/>
  <c r="G661" i="432"/>
  <c r="F661" i="432"/>
  <c r="D661" i="432"/>
  <c r="AA660" i="432"/>
  <c r="R660" i="432"/>
  <c r="AA659" i="432"/>
  <c r="R659" i="432"/>
  <c r="AA658" i="432"/>
  <c r="R658" i="432"/>
  <c r="K658" i="432"/>
  <c r="AA657" i="432"/>
  <c r="AB657" i="432" s="1"/>
  <c r="R657" i="432"/>
  <c r="K657" i="432"/>
  <c r="Z656" i="432"/>
  <c r="Y656" i="432"/>
  <c r="X656" i="432"/>
  <c r="X655" i="432" s="1"/>
  <c r="W656" i="432"/>
  <c r="V656" i="432"/>
  <c r="U656" i="432"/>
  <c r="T656" i="432"/>
  <c r="S656" i="432"/>
  <c r="Q656" i="432"/>
  <c r="P656" i="432"/>
  <c r="O656" i="432"/>
  <c r="N656" i="432"/>
  <c r="M656" i="432"/>
  <c r="L656" i="432"/>
  <c r="J656" i="432"/>
  <c r="I656" i="432"/>
  <c r="H656" i="432"/>
  <c r="G656" i="432"/>
  <c r="F656" i="432"/>
  <c r="D656" i="432"/>
  <c r="T655" i="432"/>
  <c r="T651" i="432" s="1"/>
  <c r="T650" i="432" s="1"/>
  <c r="AA654" i="432"/>
  <c r="R654" i="432"/>
  <c r="K654" i="432"/>
  <c r="AA653" i="432"/>
  <c r="R653" i="432"/>
  <c r="K653" i="432"/>
  <c r="Z652" i="432"/>
  <c r="Y652" i="432"/>
  <c r="X652" i="432"/>
  <c r="W652" i="432"/>
  <c r="V652" i="432"/>
  <c r="U652" i="432"/>
  <c r="T652" i="432"/>
  <c r="S652" i="432"/>
  <c r="Q652" i="432"/>
  <c r="P652" i="432"/>
  <c r="O652" i="432"/>
  <c r="N652" i="432"/>
  <c r="M652" i="432"/>
  <c r="L652" i="432"/>
  <c r="J652" i="432"/>
  <c r="I652" i="432"/>
  <c r="H652" i="432"/>
  <c r="G652" i="432"/>
  <c r="F652" i="432"/>
  <c r="D652" i="432"/>
  <c r="AA649" i="432"/>
  <c r="R649" i="432"/>
  <c r="AA648" i="432"/>
  <c r="R648" i="432"/>
  <c r="K648" i="432"/>
  <c r="AA647" i="432"/>
  <c r="R647" i="432"/>
  <c r="AA646" i="432"/>
  <c r="R646" i="432"/>
  <c r="K646" i="432"/>
  <c r="AA645" i="432"/>
  <c r="R645" i="432"/>
  <c r="AA644" i="432"/>
  <c r="R644" i="432"/>
  <c r="K644" i="432"/>
  <c r="AA643" i="432"/>
  <c r="R643" i="432"/>
  <c r="AA642" i="432"/>
  <c r="R642" i="432"/>
  <c r="K642" i="432"/>
  <c r="AA641" i="432"/>
  <c r="R641" i="432"/>
  <c r="AA640" i="432"/>
  <c r="R640" i="432"/>
  <c r="K640" i="432"/>
  <c r="AA639" i="432"/>
  <c r="R639" i="432"/>
  <c r="AA638" i="432"/>
  <c r="R638" i="432"/>
  <c r="K638" i="432"/>
  <c r="AA637" i="432"/>
  <c r="R637" i="432"/>
  <c r="AA636" i="432"/>
  <c r="R636" i="432"/>
  <c r="K636" i="432"/>
  <c r="AA635" i="432"/>
  <c r="R635" i="432"/>
  <c r="AA634" i="432"/>
  <c r="R634" i="432"/>
  <c r="K634" i="432"/>
  <c r="AA633" i="432"/>
  <c r="R633" i="432"/>
  <c r="AA632" i="432"/>
  <c r="R632" i="432"/>
  <c r="K632" i="432"/>
  <c r="AA631" i="432"/>
  <c r="R631" i="432"/>
  <c r="AA630" i="432"/>
  <c r="R630" i="432"/>
  <c r="K630" i="432"/>
  <c r="AA629" i="432"/>
  <c r="R629" i="432"/>
  <c r="AA628" i="432"/>
  <c r="R628" i="432"/>
  <c r="K628" i="432"/>
  <c r="AA627" i="432"/>
  <c r="R627" i="432"/>
  <c r="AA626" i="432"/>
  <c r="R626" i="432"/>
  <c r="K626" i="432"/>
  <c r="AA625" i="432"/>
  <c r="R625" i="432"/>
  <c r="AA624" i="432"/>
  <c r="R624" i="432"/>
  <c r="K624" i="432"/>
  <c r="AA623" i="432"/>
  <c r="R623" i="432"/>
  <c r="AA622" i="432"/>
  <c r="R622" i="432"/>
  <c r="K622" i="432"/>
  <c r="AA621" i="432"/>
  <c r="R621" i="432"/>
  <c r="AA620" i="432"/>
  <c r="R620" i="432"/>
  <c r="K620" i="432"/>
  <c r="AA619" i="432"/>
  <c r="R619" i="432"/>
  <c r="AA618" i="432"/>
  <c r="R618" i="432"/>
  <c r="K618" i="432"/>
  <c r="AA617" i="432"/>
  <c r="R617" i="432"/>
  <c r="AA616" i="432"/>
  <c r="R616" i="432"/>
  <c r="K616" i="432"/>
  <c r="AA615" i="432"/>
  <c r="R615" i="432"/>
  <c r="AA614" i="432"/>
  <c r="R614" i="432"/>
  <c r="K614" i="432"/>
  <c r="AA613" i="432"/>
  <c r="R613" i="432"/>
  <c r="AA612" i="432"/>
  <c r="R612" i="432"/>
  <c r="K612" i="432"/>
  <c r="AA611" i="432"/>
  <c r="R611" i="432"/>
  <c r="AA610" i="432"/>
  <c r="R610" i="432"/>
  <c r="K610" i="432"/>
  <c r="AA609" i="432"/>
  <c r="R609" i="432"/>
  <c r="AA608" i="432"/>
  <c r="R608" i="432"/>
  <c r="K608" i="432"/>
  <c r="AA607" i="432"/>
  <c r="R607" i="432"/>
  <c r="AA606" i="432"/>
  <c r="R606" i="432"/>
  <c r="K606" i="432"/>
  <c r="AA605" i="432"/>
  <c r="R605" i="432"/>
  <c r="AA604" i="432"/>
  <c r="R604" i="432"/>
  <c r="K604" i="432"/>
  <c r="AA603" i="432"/>
  <c r="R603" i="432"/>
  <c r="AA602" i="432"/>
  <c r="R602" i="432"/>
  <c r="K602" i="432"/>
  <c r="AA601" i="432"/>
  <c r="R601" i="432"/>
  <c r="AA600" i="432"/>
  <c r="R600" i="432"/>
  <c r="K600" i="432"/>
  <c r="AA599" i="432"/>
  <c r="R599" i="432"/>
  <c r="AA598" i="432"/>
  <c r="R598" i="432"/>
  <c r="K598" i="432"/>
  <c r="AA597" i="432"/>
  <c r="R597" i="432"/>
  <c r="AA596" i="432"/>
  <c r="R596" i="432"/>
  <c r="K596" i="432"/>
  <c r="AA595" i="432"/>
  <c r="R595" i="432"/>
  <c r="AA594" i="432"/>
  <c r="R594" i="432"/>
  <c r="K594" i="432"/>
  <c r="AA593" i="432"/>
  <c r="R593" i="432"/>
  <c r="AA592" i="432"/>
  <c r="R592" i="432"/>
  <c r="K592" i="432"/>
  <c r="Z591" i="432"/>
  <c r="Y591" i="432"/>
  <c r="X591" i="432"/>
  <c r="W591" i="432"/>
  <c r="V591" i="432"/>
  <c r="U591" i="432"/>
  <c r="T591" i="432"/>
  <c r="S591" i="432"/>
  <c r="Q591" i="432"/>
  <c r="P591" i="432"/>
  <c r="O591" i="432"/>
  <c r="N591" i="432"/>
  <c r="M591" i="432"/>
  <c r="L591" i="432"/>
  <c r="J591" i="432"/>
  <c r="I591" i="432"/>
  <c r="H591" i="432"/>
  <c r="G591" i="432"/>
  <c r="F591" i="432"/>
  <c r="D591" i="432"/>
  <c r="AA590" i="432"/>
  <c r="R590" i="432"/>
  <c r="K590" i="432"/>
  <c r="Z589" i="432"/>
  <c r="Y589" i="432"/>
  <c r="X589" i="432"/>
  <c r="W589" i="432"/>
  <c r="V589" i="432"/>
  <c r="U589" i="432"/>
  <c r="T589" i="432"/>
  <c r="S589" i="432"/>
  <c r="Q589" i="432"/>
  <c r="P589" i="432"/>
  <c r="O589" i="432"/>
  <c r="N589" i="432"/>
  <c r="M589" i="432"/>
  <c r="L589" i="432"/>
  <c r="J589" i="432"/>
  <c r="I589" i="432"/>
  <c r="H589" i="432"/>
  <c r="G589" i="432"/>
  <c r="F589" i="432"/>
  <c r="D589" i="432"/>
  <c r="AA588" i="432"/>
  <c r="R588" i="432"/>
  <c r="K588" i="432"/>
  <c r="AA587" i="432"/>
  <c r="R587" i="432"/>
  <c r="Z586" i="432"/>
  <c r="Y586" i="432"/>
  <c r="X586" i="432"/>
  <c r="W586" i="432"/>
  <c r="V586" i="432"/>
  <c r="U586" i="432"/>
  <c r="T586" i="432"/>
  <c r="S586" i="432"/>
  <c r="Q586" i="432"/>
  <c r="P586" i="432"/>
  <c r="O586" i="432"/>
  <c r="N586" i="432"/>
  <c r="M586" i="432"/>
  <c r="L586" i="432"/>
  <c r="J586" i="432"/>
  <c r="I586" i="432"/>
  <c r="H586" i="432"/>
  <c r="G586" i="432"/>
  <c r="F586" i="432"/>
  <c r="D586" i="432"/>
  <c r="AA585" i="432"/>
  <c r="R585" i="432"/>
  <c r="Z584" i="432"/>
  <c r="Y584" i="432"/>
  <c r="X584" i="432"/>
  <c r="W584" i="432"/>
  <c r="V584" i="432"/>
  <c r="U584" i="432"/>
  <c r="T584" i="432"/>
  <c r="S584" i="432"/>
  <c r="Q584" i="432"/>
  <c r="P584" i="432"/>
  <c r="O584" i="432"/>
  <c r="N584" i="432"/>
  <c r="M584" i="432"/>
  <c r="L584" i="432"/>
  <c r="J584" i="432"/>
  <c r="I584" i="432"/>
  <c r="H584" i="432"/>
  <c r="G584" i="432"/>
  <c r="F584" i="432"/>
  <c r="D584" i="432"/>
  <c r="AA583" i="432"/>
  <c r="R583" i="432"/>
  <c r="Z582" i="432"/>
  <c r="Y582" i="432"/>
  <c r="X582" i="432"/>
  <c r="W582" i="432"/>
  <c r="V582" i="432"/>
  <c r="U582" i="432"/>
  <c r="T582" i="432"/>
  <c r="S582" i="432"/>
  <c r="Q582" i="432"/>
  <c r="P582" i="432"/>
  <c r="O582" i="432"/>
  <c r="N582" i="432"/>
  <c r="M582" i="432"/>
  <c r="L582" i="432"/>
  <c r="J582" i="432"/>
  <c r="I582" i="432"/>
  <c r="H582" i="432"/>
  <c r="G582" i="432"/>
  <c r="F582" i="432"/>
  <c r="D582" i="432"/>
  <c r="AA581" i="432"/>
  <c r="R581" i="432"/>
  <c r="Z580" i="432"/>
  <c r="Y580" i="432"/>
  <c r="X580" i="432"/>
  <c r="W580" i="432"/>
  <c r="V580" i="432"/>
  <c r="U580" i="432"/>
  <c r="T580" i="432"/>
  <c r="S580" i="432"/>
  <c r="Q580" i="432"/>
  <c r="P580" i="432"/>
  <c r="O580" i="432"/>
  <c r="N580" i="432"/>
  <c r="M580" i="432"/>
  <c r="L580" i="432"/>
  <c r="J580" i="432"/>
  <c r="I580" i="432"/>
  <c r="H580" i="432"/>
  <c r="G580" i="432"/>
  <c r="F580" i="432"/>
  <c r="D580" i="432"/>
  <c r="AA579" i="432"/>
  <c r="R579" i="432"/>
  <c r="Z578" i="432"/>
  <c r="Y578" i="432"/>
  <c r="X578" i="432"/>
  <c r="W578" i="432"/>
  <c r="V578" i="432"/>
  <c r="U578" i="432"/>
  <c r="T578" i="432"/>
  <c r="S578" i="432"/>
  <c r="Q578" i="432"/>
  <c r="P578" i="432"/>
  <c r="O578" i="432"/>
  <c r="N578" i="432"/>
  <c r="M578" i="432"/>
  <c r="L578" i="432"/>
  <c r="J578" i="432"/>
  <c r="I578" i="432"/>
  <c r="H578" i="432"/>
  <c r="G578" i="432"/>
  <c r="F578" i="432"/>
  <c r="D578" i="432"/>
  <c r="AA576" i="432"/>
  <c r="R576" i="432"/>
  <c r="K576" i="432"/>
  <c r="AA575" i="432"/>
  <c r="R575" i="432"/>
  <c r="K575" i="432"/>
  <c r="AA574" i="432"/>
  <c r="R574" i="432"/>
  <c r="K574" i="432"/>
  <c r="AA571" i="432"/>
  <c r="R571" i="432"/>
  <c r="Z570" i="432"/>
  <c r="Y570" i="432"/>
  <c r="X570" i="432"/>
  <c r="W570" i="432"/>
  <c r="V570" i="432"/>
  <c r="U570" i="432"/>
  <c r="T570" i="432"/>
  <c r="S570" i="432"/>
  <c r="Q570" i="432"/>
  <c r="P570" i="432"/>
  <c r="P566" i="432" s="1"/>
  <c r="O570" i="432"/>
  <c r="N570" i="432"/>
  <c r="M570" i="432"/>
  <c r="L570" i="432"/>
  <c r="J570" i="432"/>
  <c r="I570" i="432"/>
  <c r="H570" i="432"/>
  <c r="G570" i="432"/>
  <c r="F570" i="432"/>
  <c r="D570" i="432"/>
  <c r="AA569" i="432"/>
  <c r="R569" i="432"/>
  <c r="K569" i="432"/>
  <c r="AA568" i="432"/>
  <c r="R568" i="432"/>
  <c r="K568" i="432"/>
  <c r="Z567" i="432"/>
  <c r="Y567" i="432"/>
  <c r="X567" i="432"/>
  <c r="W567" i="432"/>
  <c r="V567" i="432"/>
  <c r="U567" i="432"/>
  <c r="T567" i="432"/>
  <c r="S567" i="432"/>
  <c r="Q567" i="432"/>
  <c r="P567" i="432"/>
  <c r="O567" i="432"/>
  <c r="N567" i="432"/>
  <c r="M567" i="432"/>
  <c r="L567" i="432"/>
  <c r="J567" i="432"/>
  <c r="I567" i="432"/>
  <c r="H567" i="432"/>
  <c r="G567" i="432"/>
  <c r="F567" i="432"/>
  <c r="D567" i="432"/>
  <c r="AA565" i="432"/>
  <c r="R565" i="432"/>
  <c r="AA564" i="432"/>
  <c r="R564" i="432"/>
  <c r="AB564" i="432" s="1"/>
  <c r="K564" i="432"/>
  <c r="Z563" i="432"/>
  <c r="Y563" i="432"/>
  <c r="X563" i="432"/>
  <c r="W563" i="432"/>
  <c r="V563" i="432"/>
  <c r="U563" i="432"/>
  <c r="T563" i="432"/>
  <c r="S563" i="432"/>
  <c r="Q563" i="432"/>
  <c r="P563" i="432"/>
  <c r="O563" i="432"/>
  <c r="N563" i="432"/>
  <c r="M563" i="432"/>
  <c r="L563" i="432"/>
  <c r="J563" i="432"/>
  <c r="I563" i="432"/>
  <c r="H563" i="432"/>
  <c r="G563" i="432"/>
  <c r="F563" i="432"/>
  <c r="D563" i="432"/>
  <c r="AA562" i="432"/>
  <c r="R562" i="432"/>
  <c r="K562" i="432"/>
  <c r="Z561" i="432"/>
  <c r="Z560" i="432" s="1"/>
  <c r="Y561" i="432"/>
  <c r="Y560" i="432" s="1"/>
  <c r="X561" i="432"/>
  <c r="X560" i="432" s="1"/>
  <c r="W561" i="432"/>
  <c r="W560" i="432" s="1"/>
  <c r="V561" i="432"/>
  <c r="V560" i="432" s="1"/>
  <c r="U561" i="432"/>
  <c r="U560" i="432" s="1"/>
  <c r="T561" i="432"/>
  <c r="T560" i="432" s="1"/>
  <c r="S561" i="432"/>
  <c r="S560" i="432" s="1"/>
  <c r="Q561" i="432"/>
  <c r="Q560" i="432" s="1"/>
  <c r="P561" i="432"/>
  <c r="P560" i="432" s="1"/>
  <c r="O561" i="432"/>
  <c r="O560" i="432" s="1"/>
  <c r="N561" i="432"/>
  <c r="N560" i="432" s="1"/>
  <c r="M561" i="432"/>
  <c r="M560" i="432" s="1"/>
  <c r="L561" i="432"/>
  <c r="L560" i="432" s="1"/>
  <c r="J561" i="432"/>
  <c r="J560" i="432" s="1"/>
  <c r="I561" i="432"/>
  <c r="I560" i="432" s="1"/>
  <c r="H561" i="432"/>
  <c r="H560" i="432" s="1"/>
  <c r="G561" i="432"/>
  <c r="G560" i="432" s="1"/>
  <c r="F561" i="432"/>
  <c r="F560" i="432" s="1"/>
  <c r="D561" i="432"/>
  <c r="D560" i="432"/>
  <c r="AA559" i="432"/>
  <c r="R559" i="432"/>
  <c r="Z558" i="432"/>
  <c r="Y558" i="432"/>
  <c r="X558" i="432"/>
  <c r="W558" i="432"/>
  <c r="V558" i="432"/>
  <c r="U558" i="432"/>
  <c r="T558" i="432"/>
  <c r="S558" i="432"/>
  <c r="Q558" i="432"/>
  <c r="P558" i="432"/>
  <c r="O558" i="432"/>
  <c r="N558" i="432"/>
  <c r="M558" i="432"/>
  <c r="L558" i="432"/>
  <c r="J558" i="432"/>
  <c r="I558" i="432"/>
  <c r="H558" i="432"/>
  <c r="G558" i="432"/>
  <c r="F558" i="432"/>
  <c r="D558" i="432"/>
  <c r="AA557" i="432"/>
  <c r="R557" i="432"/>
  <c r="Z556" i="432"/>
  <c r="Y556" i="432"/>
  <c r="X556" i="432"/>
  <c r="W556" i="432"/>
  <c r="V556" i="432"/>
  <c r="U556" i="432"/>
  <c r="T556" i="432"/>
  <c r="S556" i="432"/>
  <c r="Q556" i="432"/>
  <c r="P556" i="432"/>
  <c r="O556" i="432"/>
  <c r="N556" i="432"/>
  <c r="M556" i="432"/>
  <c r="L556" i="432"/>
  <c r="J556" i="432"/>
  <c r="I556" i="432"/>
  <c r="H556" i="432"/>
  <c r="G556" i="432"/>
  <c r="F556" i="432"/>
  <c r="D556" i="432"/>
  <c r="O555" i="432"/>
  <c r="F555" i="432"/>
  <c r="AA554" i="432"/>
  <c r="R554" i="432"/>
  <c r="K554" i="432"/>
  <c r="Z553" i="432"/>
  <c r="Y553" i="432"/>
  <c r="X553" i="432"/>
  <c r="W553" i="432"/>
  <c r="V553" i="432"/>
  <c r="U553" i="432"/>
  <c r="T553" i="432"/>
  <c r="S553" i="432"/>
  <c r="Q553" i="432"/>
  <c r="P553" i="432"/>
  <c r="O553" i="432"/>
  <c r="N553" i="432"/>
  <c r="M553" i="432"/>
  <c r="L553" i="432"/>
  <c r="J553" i="432"/>
  <c r="I553" i="432"/>
  <c r="H553" i="432"/>
  <c r="G553" i="432"/>
  <c r="F553" i="432"/>
  <c r="D553" i="432"/>
  <c r="AA552" i="432"/>
  <c r="R552" i="432"/>
  <c r="K552" i="432"/>
  <c r="Z551" i="432"/>
  <c r="Y551" i="432"/>
  <c r="X551" i="432"/>
  <c r="W551" i="432"/>
  <c r="V551" i="432"/>
  <c r="U551" i="432"/>
  <c r="T551" i="432"/>
  <c r="S551" i="432"/>
  <c r="Q551" i="432"/>
  <c r="P551" i="432"/>
  <c r="O551" i="432"/>
  <c r="N551" i="432"/>
  <c r="M551" i="432"/>
  <c r="L551" i="432"/>
  <c r="J551" i="432"/>
  <c r="I551" i="432"/>
  <c r="H551" i="432"/>
  <c r="G551" i="432"/>
  <c r="F551" i="432"/>
  <c r="D551" i="432"/>
  <c r="AA550" i="432"/>
  <c r="R550" i="432"/>
  <c r="AB550" i="432" s="1"/>
  <c r="K550" i="432"/>
  <c r="Z549" i="432"/>
  <c r="Y549" i="432"/>
  <c r="X549" i="432"/>
  <c r="W549" i="432"/>
  <c r="V549" i="432"/>
  <c r="U549" i="432"/>
  <c r="T549" i="432"/>
  <c r="S549" i="432"/>
  <c r="Q549" i="432"/>
  <c r="P549" i="432"/>
  <c r="O549" i="432"/>
  <c r="N549" i="432"/>
  <c r="M549" i="432"/>
  <c r="L549" i="432"/>
  <c r="J549" i="432"/>
  <c r="I549" i="432"/>
  <c r="H549" i="432"/>
  <c r="G549" i="432"/>
  <c r="F549" i="432"/>
  <c r="D549" i="432"/>
  <c r="AA548" i="432"/>
  <c r="R548" i="432"/>
  <c r="K548" i="432"/>
  <c r="Z547" i="432"/>
  <c r="Y547" i="432"/>
  <c r="X547" i="432"/>
  <c r="W547" i="432"/>
  <c r="V547" i="432"/>
  <c r="U547" i="432"/>
  <c r="T547" i="432"/>
  <c r="S547" i="432"/>
  <c r="Q547" i="432"/>
  <c r="P547" i="432"/>
  <c r="O547" i="432"/>
  <c r="N547" i="432"/>
  <c r="M547" i="432"/>
  <c r="L547" i="432"/>
  <c r="J547" i="432"/>
  <c r="I547" i="432"/>
  <c r="H547" i="432"/>
  <c r="G547" i="432"/>
  <c r="F547" i="432"/>
  <c r="D547" i="432"/>
  <c r="AA546" i="432"/>
  <c r="R546" i="432"/>
  <c r="K546" i="432"/>
  <c r="Z545" i="432"/>
  <c r="Y545" i="432"/>
  <c r="X545" i="432"/>
  <c r="W545" i="432"/>
  <c r="V545" i="432"/>
  <c r="U545" i="432"/>
  <c r="T545" i="432"/>
  <c r="S545" i="432"/>
  <c r="Q545" i="432"/>
  <c r="P545" i="432"/>
  <c r="O545" i="432"/>
  <c r="N545" i="432"/>
  <c r="M545" i="432"/>
  <c r="L545" i="432"/>
  <c r="J545" i="432"/>
  <c r="I545" i="432"/>
  <c r="H545" i="432"/>
  <c r="G545" i="432"/>
  <c r="F545" i="432"/>
  <c r="D545" i="432"/>
  <c r="AA544" i="432"/>
  <c r="R544" i="432"/>
  <c r="AB544" i="432" s="1"/>
  <c r="K544" i="432"/>
  <c r="Z543" i="432"/>
  <c r="Y543" i="432"/>
  <c r="X543" i="432"/>
  <c r="W543" i="432"/>
  <c r="V543" i="432"/>
  <c r="U543" i="432"/>
  <c r="T543" i="432"/>
  <c r="S543" i="432"/>
  <c r="Q543" i="432"/>
  <c r="P543" i="432"/>
  <c r="O543" i="432"/>
  <c r="N543" i="432"/>
  <c r="M543" i="432"/>
  <c r="L543" i="432"/>
  <c r="J543" i="432"/>
  <c r="I543" i="432"/>
  <c r="H543" i="432"/>
  <c r="G543" i="432"/>
  <c r="F543" i="432"/>
  <c r="D543" i="432"/>
  <c r="AA542" i="432"/>
  <c r="AB542" i="432" s="1"/>
  <c r="R542" i="432"/>
  <c r="K542" i="432"/>
  <c r="Z541" i="432"/>
  <c r="Y541" i="432"/>
  <c r="X541" i="432"/>
  <c r="W541" i="432"/>
  <c r="V541" i="432"/>
  <c r="U541" i="432"/>
  <c r="T541" i="432"/>
  <c r="S541" i="432"/>
  <c r="Q541" i="432"/>
  <c r="P541" i="432"/>
  <c r="O541" i="432"/>
  <c r="N541" i="432"/>
  <c r="M541" i="432"/>
  <c r="L541" i="432"/>
  <c r="J541" i="432"/>
  <c r="I541" i="432"/>
  <c r="H541" i="432"/>
  <c r="G541" i="432"/>
  <c r="F541" i="432"/>
  <c r="D541" i="432"/>
  <c r="AA540" i="432"/>
  <c r="R540" i="432"/>
  <c r="K540" i="432"/>
  <c r="Z539" i="432"/>
  <c r="Y539" i="432"/>
  <c r="X539" i="432"/>
  <c r="W539" i="432"/>
  <c r="V539" i="432"/>
  <c r="U539" i="432"/>
  <c r="T539" i="432"/>
  <c r="S539" i="432"/>
  <c r="Q539" i="432"/>
  <c r="P539" i="432"/>
  <c r="O539" i="432"/>
  <c r="N539" i="432"/>
  <c r="M539" i="432"/>
  <c r="L539" i="432"/>
  <c r="J539" i="432"/>
  <c r="I539" i="432"/>
  <c r="H539" i="432"/>
  <c r="G539" i="432"/>
  <c r="F539" i="432"/>
  <c r="D539" i="432"/>
  <c r="AA538" i="432"/>
  <c r="R538" i="432"/>
  <c r="K538" i="432"/>
  <c r="Z537" i="432"/>
  <c r="Y537" i="432"/>
  <c r="X537" i="432"/>
  <c r="W537" i="432"/>
  <c r="V537" i="432"/>
  <c r="U537" i="432"/>
  <c r="T537" i="432"/>
  <c r="S537" i="432"/>
  <c r="Q537" i="432"/>
  <c r="P537" i="432"/>
  <c r="O537" i="432"/>
  <c r="N537" i="432"/>
  <c r="M537" i="432"/>
  <c r="L537" i="432"/>
  <c r="J537" i="432"/>
  <c r="I537" i="432"/>
  <c r="H537" i="432"/>
  <c r="G537" i="432"/>
  <c r="F537" i="432"/>
  <c r="D537" i="432"/>
  <c r="AA536" i="432"/>
  <c r="R536" i="432"/>
  <c r="K536" i="432"/>
  <c r="Z535" i="432"/>
  <c r="Y535" i="432"/>
  <c r="X535" i="432"/>
  <c r="W535" i="432"/>
  <c r="V535" i="432"/>
  <c r="U535" i="432"/>
  <c r="T535" i="432"/>
  <c r="S535" i="432"/>
  <c r="Q535" i="432"/>
  <c r="P535" i="432"/>
  <c r="O535" i="432"/>
  <c r="N535" i="432"/>
  <c r="M535" i="432"/>
  <c r="L535" i="432"/>
  <c r="J535" i="432"/>
  <c r="I535" i="432"/>
  <c r="H535" i="432"/>
  <c r="G535" i="432"/>
  <c r="F535" i="432"/>
  <c r="D535" i="432"/>
  <c r="AA534" i="432"/>
  <c r="AB534" i="432" s="1"/>
  <c r="R534" i="432"/>
  <c r="K534" i="432"/>
  <c r="Z533" i="432"/>
  <c r="Y533" i="432"/>
  <c r="X533" i="432"/>
  <c r="W533" i="432"/>
  <c r="V533" i="432"/>
  <c r="U533" i="432"/>
  <c r="T533" i="432"/>
  <c r="S533" i="432"/>
  <c r="Q533" i="432"/>
  <c r="P533" i="432"/>
  <c r="O533" i="432"/>
  <c r="N533" i="432"/>
  <c r="M533" i="432"/>
  <c r="L533" i="432"/>
  <c r="J533" i="432"/>
  <c r="I533" i="432"/>
  <c r="H533" i="432"/>
  <c r="G533" i="432"/>
  <c r="F533" i="432"/>
  <c r="D533" i="432"/>
  <c r="AA532" i="432"/>
  <c r="R532" i="432"/>
  <c r="K532" i="432"/>
  <c r="Z531" i="432"/>
  <c r="Y531" i="432"/>
  <c r="X531" i="432"/>
  <c r="W531" i="432"/>
  <c r="V531" i="432"/>
  <c r="U531" i="432"/>
  <c r="T531" i="432"/>
  <c r="S531" i="432"/>
  <c r="Q531" i="432"/>
  <c r="P531" i="432"/>
  <c r="O531" i="432"/>
  <c r="N531" i="432"/>
  <c r="M531" i="432"/>
  <c r="L531" i="432"/>
  <c r="J531" i="432"/>
  <c r="I531" i="432"/>
  <c r="H531" i="432"/>
  <c r="G531" i="432"/>
  <c r="F531" i="432"/>
  <c r="D531" i="432"/>
  <c r="AA530" i="432"/>
  <c r="R530" i="432"/>
  <c r="K530" i="432"/>
  <c r="Z529" i="432"/>
  <c r="Y529" i="432"/>
  <c r="X529" i="432"/>
  <c r="W529" i="432"/>
  <c r="V529" i="432"/>
  <c r="U529" i="432"/>
  <c r="T529" i="432"/>
  <c r="S529" i="432"/>
  <c r="Q529" i="432"/>
  <c r="P529" i="432"/>
  <c r="O529" i="432"/>
  <c r="N529" i="432"/>
  <c r="M529" i="432"/>
  <c r="L529" i="432"/>
  <c r="J529" i="432"/>
  <c r="I529" i="432"/>
  <c r="H529" i="432"/>
  <c r="G529" i="432"/>
  <c r="F529" i="432"/>
  <c r="D529" i="432"/>
  <c r="AA528" i="432"/>
  <c r="R528" i="432"/>
  <c r="K528" i="432"/>
  <c r="Z527" i="432"/>
  <c r="Y527" i="432"/>
  <c r="X527" i="432"/>
  <c r="W527" i="432"/>
  <c r="V527" i="432"/>
  <c r="U527" i="432"/>
  <c r="T527" i="432"/>
  <c r="S527" i="432"/>
  <c r="Q527" i="432"/>
  <c r="P527" i="432"/>
  <c r="O527" i="432"/>
  <c r="N527" i="432"/>
  <c r="M527" i="432"/>
  <c r="L527" i="432"/>
  <c r="J527" i="432"/>
  <c r="I527" i="432"/>
  <c r="H527" i="432"/>
  <c r="G527" i="432"/>
  <c r="F527" i="432"/>
  <c r="D527" i="432"/>
  <c r="AA526" i="432"/>
  <c r="R526" i="432"/>
  <c r="K526" i="432"/>
  <c r="Z525" i="432"/>
  <c r="Y525" i="432"/>
  <c r="X525" i="432"/>
  <c r="W525" i="432"/>
  <c r="V525" i="432"/>
  <c r="U525" i="432"/>
  <c r="T525" i="432"/>
  <c r="S525" i="432"/>
  <c r="Q525" i="432"/>
  <c r="P525" i="432"/>
  <c r="O525" i="432"/>
  <c r="N525" i="432"/>
  <c r="M525" i="432"/>
  <c r="L525" i="432"/>
  <c r="J525" i="432"/>
  <c r="I525" i="432"/>
  <c r="H525" i="432"/>
  <c r="G525" i="432"/>
  <c r="F525" i="432"/>
  <c r="D525" i="432"/>
  <c r="AA524" i="432"/>
  <c r="R524" i="432"/>
  <c r="K524" i="432"/>
  <c r="Z523" i="432"/>
  <c r="Y523" i="432"/>
  <c r="X523" i="432"/>
  <c r="W523" i="432"/>
  <c r="V523" i="432"/>
  <c r="U523" i="432"/>
  <c r="T523" i="432"/>
  <c r="S523" i="432"/>
  <c r="Q523" i="432"/>
  <c r="P523" i="432"/>
  <c r="O523" i="432"/>
  <c r="N523" i="432"/>
  <c r="M523" i="432"/>
  <c r="L523" i="432"/>
  <c r="J523" i="432"/>
  <c r="I523" i="432"/>
  <c r="H523" i="432"/>
  <c r="G523" i="432"/>
  <c r="F523" i="432"/>
  <c r="D523" i="432"/>
  <c r="AA522" i="432"/>
  <c r="R522" i="432"/>
  <c r="K522" i="432"/>
  <c r="Z521" i="432"/>
  <c r="Y521" i="432"/>
  <c r="X521" i="432"/>
  <c r="W521" i="432"/>
  <c r="V521" i="432"/>
  <c r="U521" i="432"/>
  <c r="T521" i="432"/>
  <c r="S521" i="432"/>
  <c r="Q521" i="432"/>
  <c r="P521" i="432"/>
  <c r="O521" i="432"/>
  <c r="N521" i="432"/>
  <c r="M521" i="432"/>
  <c r="L521" i="432"/>
  <c r="J521" i="432"/>
  <c r="I521" i="432"/>
  <c r="H521" i="432"/>
  <c r="G521" i="432"/>
  <c r="F521" i="432"/>
  <c r="D521" i="432"/>
  <c r="AA520" i="432"/>
  <c r="R520" i="432"/>
  <c r="K520" i="432"/>
  <c r="Z519" i="432"/>
  <c r="Y519" i="432"/>
  <c r="X519" i="432"/>
  <c r="W519" i="432"/>
  <c r="V519" i="432"/>
  <c r="U519" i="432"/>
  <c r="T519" i="432"/>
  <c r="S519" i="432"/>
  <c r="Q519" i="432"/>
  <c r="P519" i="432"/>
  <c r="O519" i="432"/>
  <c r="N519" i="432"/>
  <c r="M519" i="432"/>
  <c r="L519" i="432"/>
  <c r="J519" i="432"/>
  <c r="I519" i="432"/>
  <c r="H519" i="432"/>
  <c r="G519" i="432"/>
  <c r="F519" i="432"/>
  <c r="D519" i="432"/>
  <c r="AA518" i="432"/>
  <c r="R518" i="432"/>
  <c r="K518" i="432"/>
  <c r="Z517" i="432"/>
  <c r="Y517" i="432"/>
  <c r="X517" i="432"/>
  <c r="W517" i="432"/>
  <c r="V517" i="432"/>
  <c r="U517" i="432"/>
  <c r="T517" i="432"/>
  <c r="S517" i="432"/>
  <c r="Q517" i="432"/>
  <c r="P517" i="432"/>
  <c r="O517" i="432"/>
  <c r="N517" i="432"/>
  <c r="M517" i="432"/>
  <c r="L517" i="432"/>
  <c r="J517" i="432"/>
  <c r="I517" i="432"/>
  <c r="H517" i="432"/>
  <c r="G517" i="432"/>
  <c r="F517" i="432"/>
  <c r="D517" i="432"/>
  <c r="AA516" i="432"/>
  <c r="R516" i="432"/>
  <c r="K516" i="432"/>
  <c r="Z515" i="432"/>
  <c r="Y515" i="432"/>
  <c r="X515" i="432"/>
  <c r="W515" i="432"/>
  <c r="V515" i="432"/>
  <c r="U515" i="432"/>
  <c r="T515" i="432"/>
  <c r="S515" i="432"/>
  <c r="Q515" i="432"/>
  <c r="P515" i="432"/>
  <c r="O515" i="432"/>
  <c r="N515" i="432"/>
  <c r="M515" i="432"/>
  <c r="L515" i="432"/>
  <c r="J515" i="432"/>
  <c r="I515" i="432"/>
  <c r="H515" i="432"/>
  <c r="G515" i="432"/>
  <c r="F515" i="432"/>
  <c r="D515" i="432"/>
  <c r="AA514" i="432"/>
  <c r="R514" i="432"/>
  <c r="K514" i="432"/>
  <c r="Z513" i="432"/>
  <c r="Y513" i="432"/>
  <c r="X513" i="432"/>
  <c r="W513" i="432"/>
  <c r="V513" i="432"/>
  <c r="U513" i="432"/>
  <c r="T513" i="432"/>
  <c r="S513" i="432"/>
  <c r="Q513" i="432"/>
  <c r="P513" i="432"/>
  <c r="O513" i="432"/>
  <c r="N513" i="432"/>
  <c r="M513" i="432"/>
  <c r="L513" i="432"/>
  <c r="J513" i="432"/>
  <c r="I513" i="432"/>
  <c r="H513" i="432"/>
  <c r="G513" i="432"/>
  <c r="F513" i="432"/>
  <c r="D513" i="432"/>
  <c r="AA512" i="432"/>
  <c r="R512" i="432"/>
  <c r="K512" i="432"/>
  <c r="Z511" i="432"/>
  <c r="Y511" i="432"/>
  <c r="X511" i="432"/>
  <c r="W511" i="432"/>
  <c r="V511" i="432"/>
  <c r="U511" i="432"/>
  <c r="T511" i="432"/>
  <c r="S511" i="432"/>
  <c r="Q511" i="432"/>
  <c r="P511" i="432"/>
  <c r="O511" i="432"/>
  <c r="N511" i="432"/>
  <c r="M511" i="432"/>
  <c r="L511" i="432"/>
  <c r="J511" i="432"/>
  <c r="I511" i="432"/>
  <c r="H511" i="432"/>
  <c r="G511" i="432"/>
  <c r="F511" i="432"/>
  <c r="D511" i="432"/>
  <c r="AA510" i="432"/>
  <c r="AB510" i="432" s="1"/>
  <c r="R510" i="432"/>
  <c r="K510" i="432"/>
  <c r="Z509" i="432"/>
  <c r="Y509" i="432"/>
  <c r="X509" i="432"/>
  <c r="W509" i="432"/>
  <c r="V509" i="432"/>
  <c r="U509" i="432"/>
  <c r="T509" i="432"/>
  <c r="S509" i="432"/>
  <c r="Q509" i="432"/>
  <c r="P509" i="432"/>
  <c r="O509" i="432"/>
  <c r="N509" i="432"/>
  <c r="M509" i="432"/>
  <c r="L509" i="432"/>
  <c r="J509" i="432"/>
  <c r="I509" i="432"/>
  <c r="H509" i="432"/>
  <c r="G509" i="432"/>
  <c r="F509" i="432"/>
  <c r="D509" i="432"/>
  <c r="AA508" i="432"/>
  <c r="R508" i="432"/>
  <c r="K508" i="432"/>
  <c r="Z507" i="432"/>
  <c r="Y507" i="432"/>
  <c r="X507" i="432"/>
  <c r="W507" i="432"/>
  <c r="V507" i="432"/>
  <c r="U507" i="432"/>
  <c r="T507" i="432"/>
  <c r="S507" i="432"/>
  <c r="Q507" i="432"/>
  <c r="P507" i="432"/>
  <c r="O507" i="432"/>
  <c r="N507" i="432"/>
  <c r="M507" i="432"/>
  <c r="L507" i="432"/>
  <c r="J507" i="432"/>
  <c r="I507" i="432"/>
  <c r="H507" i="432"/>
  <c r="G507" i="432"/>
  <c r="F507" i="432"/>
  <c r="D507" i="432"/>
  <c r="AA506" i="432"/>
  <c r="R506" i="432"/>
  <c r="K506" i="432"/>
  <c r="Z505" i="432"/>
  <c r="Y505" i="432"/>
  <c r="X505" i="432"/>
  <c r="W505" i="432"/>
  <c r="V505" i="432"/>
  <c r="U505" i="432"/>
  <c r="T505" i="432"/>
  <c r="S505" i="432"/>
  <c r="Q505" i="432"/>
  <c r="P505" i="432"/>
  <c r="O505" i="432"/>
  <c r="N505" i="432"/>
  <c r="M505" i="432"/>
  <c r="L505" i="432"/>
  <c r="J505" i="432"/>
  <c r="I505" i="432"/>
  <c r="H505" i="432"/>
  <c r="G505" i="432"/>
  <c r="F505" i="432"/>
  <c r="D505" i="432"/>
  <c r="AA504" i="432"/>
  <c r="R504" i="432"/>
  <c r="K504" i="432"/>
  <c r="Z503" i="432"/>
  <c r="Y503" i="432"/>
  <c r="X503" i="432"/>
  <c r="W503" i="432"/>
  <c r="V503" i="432"/>
  <c r="U503" i="432"/>
  <c r="T503" i="432"/>
  <c r="S503" i="432"/>
  <c r="Q503" i="432"/>
  <c r="P503" i="432"/>
  <c r="O503" i="432"/>
  <c r="N503" i="432"/>
  <c r="M503" i="432"/>
  <c r="L503" i="432"/>
  <c r="J503" i="432"/>
  <c r="I503" i="432"/>
  <c r="H503" i="432"/>
  <c r="G503" i="432"/>
  <c r="F503" i="432"/>
  <c r="D503" i="432"/>
  <c r="AA502" i="432"/>
  <c r="AB502" i="432" s="1"/>
  <c r="R502" i="432"/>
  <c r="K502" i="432"/>
  <c r="Z501" i="432"/>
  <c r="Y501" i="432"/>
  <c r="X501" i="432"/>
  <c r="W501" i="432"/>
  <c r="V501" i="432"/>
  <c r="U501" i="432"/>
  <c r="T501" i="432"/>
  <c r="S501" i="432"/>
  <c r="Q501" i="432"/>
  <c r="P501" i="432"/>
  <c r="O501" i="432"/>
  <c r="N501" i="432"/>
  <c r="M501" i="432"/>
  <c r="L501" i="432"/>
  <c r="J501" i="432"/>
  <c r="I501" i="432"/>
  <c r="H501" i="432"/>
  <c r="G501" i="432"/>
  <c r="F501" i="432"/>
  <c r="D501" i="432"/>
  <c r="AA500" i="432"/>
  <c r="R500" i="432"/>
  <c r="K500" i="432"/>
  <c r="Z499" i="432"/>
  <c r="Y499" i="432"/>
  <c r="X499" i="432"/>
  <c r="W499" i="432"/>
  <c r="V499" i="432"/>
  <c r="U499" i="432"/>
  <c r="T499" i="432"/>
  <c r="S499" i="432"/>
  <c r="Q499" i="432"/>
  <c r="P499" i="432"/>
  <c r="O499" i="432"/>
  <c r="N499" i="432"/>
  <c r="M499" i="432"/>
  <c r="L499" i="432"/>
  <c r="J499" i="432"/>
  <c r="I499" i="432"/>
  <c r="H499" i="432"/>
  <c r="G499" i="432"/>
  <c r="F499" i="432"/>
  <c r="D499" i="432"/>
  <c r="AA498" i="432"/>
  <c r="R498" i="432"/>
  <c r="K498" i="432"/>
  <c r="Z497" i="432"/>
  <c r="Y497" i="432"/>
  <c r="X497" i="432"/>
  <c r="W497" i="432"/>
  <c r="V497" i="432"/>
  <c r="U497" i="432"/>
  <c r="T497" i="432"/>
  <c r="S497" i="432"/>
  <c r="Q497" i="432"/>
  <c r="P497" i="432"/>
  <c r="O497" i="432"/>
  <c r="N497" i="432"/>
  <c r="M497" i="432"/>
  <c r="L497" i="432"/>
  <c r="J497" i="432"/>
  <c r="I497" i="432"/>
  <c r="H497" i="432"/>
  <c r="G497" i="432"/>
  <c r="F497" i="432"/>
  <c r="D497" i="432"/>
  <c r="AA496" i="432"/>
  <c r="R496" i="432"/>
  <c r="K496" i="432"/>
  <c r="Z495" i="432"/>
  <c r="Y495" i="432"/>
  <c r="X495" i="432"/>
  <c r="W495" i="432"/>
  <c r="V495" i="432"/>
  <c r="U495" i="432"/>
  <c r="T495" i="432"/>
  <c r="S495" i="432"/>
  <c r="Q495" i="432"/>
  <c r="P495" i="432"/>
  <c r="O495" i="432"/>
  <c r="N495" i="432"/>
  <c r="M495" i="432"/>
  <c r="L495" i="432"/>
  <c r="J495" i="432"/>
  <c r="I495" i="432"/>
  <c r="H495" i="432"/>
  <c r="G495" i="432"/>
  <c r="F495" i="432"/>
  <c r="D495" i="432"/>
  <c r="AA494" i="432"/>
  <c r="AB494" i="432" s="1"/>
  <c r="R494" i="432"/>
  <c r="K494" i="432"/>
  <c r="Z493" i="432"/>
  <c r="Y493" i="432"/>
  <c r="X493" i="432"/>
  <c r="W493" i="432"/>
  <c r="V493" i="432"/>
  <c r="U493" i="432"/>
  <c r="T493" i="432"/>
  <c r="S493" i="432"/>
  <c r="Q493" i="432"/>
  <c r="P493" i="432"/>
  <c r="O493" i="432"/>
  <c r="N493" i="432"/>
  <c r="M493" i="432"/>
  <c r="L493" i="432"/>
  <c r="J493" i="432"/>
  <c r="I493" i="432"/>
  <c r="H493" i="432"/>
  <c r="G493" i="432"/>
  <c r="F493" i="432"/>
  <c r="D493" i="432"/>
  <c r="AA492" i="432"/>
  <c r="R492" i="432"/>
  <c r="K492" i="432"/>
  <c r="AA491" i="432"/>
  <c r="R491" i="432"/>
  <c r="Z490" i="432"/>
  <c r="Y490" i="432"/>
  <c r="X490" i="432"/>
  <c r="W490" i="432"/>
  <c r="V490" i="432"/>
  <c r="U490" i="432"/>
  <c r="T490" i="432"/>
  <c r="S490" i="432"/>
  <c r="Q490" i="432"/>
  <c r="P490" i="432"/>
  <c r="O490" i="432"/>
  <c r="N490" i="432"/>
  <c r="M490" i="432"/>
  <c r="L490" i="432"/>
  <c r="J490" i="432"/>
  <c r="I490" i="432"/>
  <c r="H490" i="432"/>
  <c r="G490" i="432"/>
  <c r="F490" i="432"/>
  <c r="D490" i="432"/>
  <c r="AA489" i="432"/>
  <c r="R489" i="432"/>
  <c r="AA488" i="432"/>
  <c r="R488" i="432"/>
  <c r="K488" i="432"/>
  <c r="Z487" i="432"/>
  <c r="Y487" i="432"/>
  <c r="X487" i="432"/>
  <c r="W487" i="432"/>
  <c r="V487" i="432"/>
  <c r="U487" i="432"/>
  <c r="T487" i="432"/>
  <c r="S487" i="432"/>
  <c r="Q487" i="432"/>
  <c r="P487" i="432"/>
  <c r="O487" i="432"/>
  <c r="N487" i="432"/>
  <c r="M487" i="432"/>
  <c r="L487" i="432"/>
  <c r="J487" i="432"/>
  <c r="I487" i="432"/>
  <c r="H487" i="432"/>
  <c r="G487" i="432"/>
  <c r="F487" i="432"/>
  <c r="D487" i="432"/>
  <c r="AA486" i="432"/>
  <c r="R486" i="432"/>
  <c r="K486" i="432"/>
  <c r="AA485" i="432"/>
  <c r="R485" i="432"/>
  <c r="AA484" i="432"/>
  <c r="R484" i="432"/>
  <c r="K484" i="432"/>
  <c r="AA483" i="432"/>
  <c r="R483" i="432"/>
  <c r="Z482" i="432"/>
  <c r="Y482" i="432"/>
  <c r="X482" i="432"/>
  <c r="W482" i="432"/>
  <c r="V482" i="432"/>
  <c r="U482" i="432"/>
  <c r="T482" i="432"/>
  <c r="S482" i="432"/>
  <c r="Q482" i="432"/>
  <c r="P482" i="432"/>
  <c r="O482" i="432"/>
  <c r="N482" i="432"/>
  <c r="M482" i="432"/>
  <c r="L482" i="432"/>
  <c r="J482" i="432"/>
  <c r="I482" i="432"/>
  <c r="H482" i="432"/>
  <c r="G482" i="432"/>
  <c r="F482" i="432"/>
  <c r="D482" i="432"/>
  <c r="AA481" i="432"/>
  <c r="R481" i="432"/>
  <c r="AA480" i="432"/>
  <c r="R480" i="432"/>
  <c r="K480" i="432"/>
  <c r="AA479" i="432"/>
  <c r="R479" i="432"/>
  <c r="AA478" i="432"/>
  <c r="R478" i="432"/>
  <c r="K478" i="432"/>
  <c r="Z477" i="432"/>
  <c r="Y477" i="432"/>
  <c r="X477" i="432"/>
  <c r="W477" i="432"/>
  <c r="V477" i="432"/>
  <c r="U477" i="432"/>
  <c r="T477" i="432"/>
  <c r="S477" i="432"/>
  <c r="Q477" i="432"/>
  <c r="P477" i="432"/>
  <c r="O477" i="432"/>
  <c r="N477" i="432"/>
  <c r="M477" i="432"/>
  <c r="L477" i="432"/>
  <c r="J477" i="432"/>
  <c r="I477" i="432"/>
  <c r="H477" i="432"/>
  <c r="G477" i="432"/>
  <c r="F477" i="432"/>
  <c r="D477" i="432"/>
  <c r="AA476" i="432"/>
  <c r="R476" i="432"/>
  <c r="K476" i="432"/>
  <c r="AA475" i="432"/>
  <c r="R475" i="432"/>
  <c r="K475" i="432"/>
  <c r="AA474" i="432"/>
  <c r="R474" i="432"/>
  <c r="K474" i="432"/>
  <c r="AA473" i="432"/>
  <c r="R473" i="432"/>
  <c r="AA472" i="432"/>
  <c r="AB472" i="432" s="1"/>
  <c r="R472" i="432"/>
  <c r="K472" i="432"/>
  <c r="Z471" i="432"/>
  <c r="Y471" i="432"/>
  <c r="X471" i="432"/>
  <c r="W471" i="432"/>
  <c r="V471" i="432"/>
  <c r="U471" i="432"/>
  <c r="T471" i="432"/>
  <c r="S471" i="432"/>
  <c r="Q471" i="432"/>
  <c r="P471" i="432"/>
  <c r="O471" i="432"/>
  <c r="N471" i="432"/>
  <c r="M471" i="432"/>
  <c r="L471" i="432"/>
  <c r="J471" i="432"/>
  <c r="I471" i="432"/>
  <c r="H471" i="432"/>
  <c r="G471" i="432"/>
  <c r="F471" i="432"/>
  <c r="D471" i="432"/>
  <c r="AA470" i="432"/>
  <c r="R470" i="432"/>
  <c r="K470" i="432"/>
  <c r="AA469" i="432"/>
  <c r="R469" i="432"/>
  <c r="Z468" i="432"/>
  <c r="Y468" i="432"/>
  <c r="X468" i="432"/>
  <c r="W468" i="432"/>
  <c r="V468" i="432"/>
  <c r="U468" i="432"/>
  <c r="T468" i="432"/>
  <c r="S468" i="432"/>
  <c r="Q468" i="432"/>
  <c r="P468" i="432"/>
  <c r="O468" i="432"/>
  <c r="N468" i="432"/>
  <c r="M468" i="432"/>
  <c r="L468" i="432"/>
  <c r="J468" i="432"/>
  <c r="I468" i="432"/>
  <c r="H468" i="432"/>
  <c r="G468" i="432"/>
  <c r="F468" i="432"/>
  <c r="D468" i="432"/>
  <c r="AA467" i="432"/>
  <c r="R467" i="432"/>
  <c r="AA466" i="432"/>
  <c r="R466" i="432"/>
  <c r="K466" i="432"/>
  <c r="AA465" i="432"/>
  <c r="R465" i="432"/>
  <c r="AB465" i="432" s="1"/>
  <c r="Z464" i="432"/>
  <c r="Y464" i="432"/>
  <c r="X464" i="432"/>
  <c r="W464" i="432"/>
  <c r="V464" i="432"/>
  <c r="U464" i="432"/>
  <c r="T464" i="432"/>
  <c r="S464" i="432"/>
  <c r="Q464" i="432"/>
  <c r="P464" i="432"/>
  <c r="O464" i="432"/>
  <c r="N464" i="432"/>
  <c r="M464" i="432"/>
  <c r="L464" i="432"/>
  <c r="J464" i="432"/>
  <c r="I464" i="432"/>
  <c r="H464" i="432"/>
  <c r="G464" i="432"/>
  <c r="F464" i="432"/>
  <c r="D464" i="432"/>
  <c r="AA463" i="432"/>
  <c r="R463" i="432"/>
  <c r="Z462" i="432"/>
  <c r="Y462" i="432"/>
  <c r="X462" i="432"/>
  <c r="W462" i="432"/>
  <c r="V462" i="432"/>
  <c r="U462" i="432"/>
  <c r="T462" i="432"/>
  <c r="S462" i="432"/>
  <c r="Q462" i="432"/>
  <c r="P462" i="432"/>
  <c r="O462" i="432"/>
  <c r="N462" i="432"/>
  <c r="M462" i="432"/>
  <c r="L462" i="432"/>
  <c r="J462" i="432"/>
  <c r="I462" i="432"/>
  <c r="H462" i="432"/>
  <c r="G462" i="432"/>
  <c r="F462" i="432"/>
  <c r="D462" i="432"/>
  <c r="AA460" i="432"/>
  <c r="R460" i="432"/>
  <c r="K460" i="432"/>
  <c r="AA459" i="432"/>
  <c r="R459" i="432"/>
  <c r="AA458" i="432"/>
  <c r="R458" i="432"/>
  <c r="K458" i="432"/>
  <c r="AA457" i="432"/>
  <c r="R457" i="432"/>
  <c r="AA456" i="432"/>
  <c r="R456" i="432"/>
  <c r="K456" i="432"/>
  <c r="Z455" i="432"/>
  <c r="Y455" i="432"/>
  <c r="X455" i="432"/>
  <c r="W455" i="432"/>
  <c r="V455" i="432"/>
  <c r="U455" i="432"/>
  <c r="T455" i="432"/>
  <c r="S455" i="432"/>
  <c r="Q455" i="432"/>
  <c r="P455" i="432"/>
  <c r="O455" i="432"/>
  <c r="N455" i="432"/>
  <c r="M455" i="432"/>
  <c r="L455" i="432"/>
  <c r="J455" i="432"/>
  <c r="I455" i="432"/>
  <c r="H455" i="432"/>
  <c r="G455" i="432"/>
  <c r="F455" i="432"/>
  <c r="D455" i="432"/>
  <c r="AA454" i="432"/>
  <c r="R454" i="432"/>
  <c r="K454" i="432"/>
  <c r="AA453" i="432"/>
  <c r="R453" i="432"/>
  <c r="AA452" i="432"/>
  <c r="R452" i="432"/>
  <c r="K452" i="432"/>
  <c r="AA451" i="432"/>
  <c r="R451" i="432"/>
  <c r="K451" i="432"/>
  <c r="AA450" i="432"/>
  <c r="R450" i="432"/>
  <c r="K450" i="432"/>
  <c r="AA449" i="432"/>
  <c r="R449" i="432"/>
  <c r="AA448" i="432"/>
  <c r="R448" i="432"/>
  <c r="K448" i="432"/>
  <c r="AA447" i="432"/>
  <c r="R447" i="432"/>
  <c r="K447" i="432"/>
  <c r="AA446" i="432"/>
  <c r="AB446" i="432" s="1"/>
  <c r="R446" i="432"/>
  <c r="K446" i="432"/>
  <c r="AA445" i="432"/>
  <c r="R445" i="432"/>
  <c r="AA444" i="432"/>
  <c r="R444" i="432"/>
  <c r="K444" i="432"/>
  <c r="AA443" i="432"/>
  <c r="R443" i="432"/>
  <c r="K443" i="432"/>
  <c r="AA442" i="432"/>
  <c r="R442" i="432"/>
  <c r="K442" i="432"/>
  <c r="AA441" i="432"/>
  <c r="R441" i="432"/>
  <c r="AA440" i="432"/>
  <c r="AB440" i="432" s="1"/>
  <c r="R440" i="432"/>
  <c r="K440" i="432"/>
  <c r="AA439" i="432"/>
  <c r="R439" i="432"/>
  <c r="K439" i="432"/>
  <c r="AA438" i="432"/>
  <c r="R438" i="432"/>
  <c r="K438" i="432"/>
  <c r="AA437" i="432"/>
  <c r="R437" i="432"/>
  <c r="AA436" i="432"/>
  <c r="R436" i="432"/>
  <c r="K436" i="432"/>
  <c r="AA435" i="432"/>
  <c r="R435" i="432"/>
  <c r="K435" i="432"/>
  <c r="AA434" i="432"/>
  <c r="R434" i="432"/>
  <c r="K434" i="432"/>
  <c r="AA433" i="432"/>
  <c r="R433" i="432"/>
  <c r="AA432" i="432"/>
  <c r="R432" i="432"/>
  <c r="K432" i="432"/>
  <c r="AA431" i="432"/>
  <c r="R431" i="432"/>
  <c r="K431" i="432"/>
  <c r="AA430" i="432"/>
  <c r="AB430" i="432" s="1"/>
  <c r="R430" i="432"/>
  <c r="K430" i="432"/>
  <c r="AA429" i="432"/>
  <c r="R429" i="432"/>
  <c r="AA428" i="432"/>
  <c r="R428" i="432"/>
  <c r="K428" i="432"/>
  <c r="AA427" i="432"/>
  <c r="R427" i="432"/>
  <c r="K427" i="432"/>
  <c r="AA426" i="432"/>
  <c r="R426" i="432"/>
  <c r="K426" i="432"/>
  <c r="AA425" i="432"/>
  <c r="R425" i="432"/>
  <c r="AA424" i="432"/>
  <c r="AB424" i="432" s="1"/>
  <c r="R424" i="432"/>
  <c r="K424" i="432"/>
  <c r="AA423" i="432"/>
  <c r="R423" i="432"/>
  <c r="K423" i="432"/>
  <c r="AA422" i="432"/>
  <c r="R422" i="432"/>
  <c r="K422" i="432"/>
  <c r="AA421" i="432"/>
  <c r="R421" i="432"/>
  <c r="AA420" i="432"/>
  <c r="R420" i="432"/>
  <c r="K420" i="432"/>
  <c r="AA419" i="432"/>
  <c r="R419" i="432"/>
  <c r="K419" i="432"/>
  <c r="AA418" i="432"/>
  <c r="R418" i="432"/>
  <c r="K418" i="432"/>
  <c r="AA417" i="432"/>
  <c r="R417" i="432"/>
  <c r="AA416" i="432"/>
  <c r="R416" i="432"/>
  <c r="K416" i="432"/>
  <c r="AA415" i="432"/>
  <c r="R415" i="432"/>
  <c r="K415" i="432"/>
  <c r="Z414" i="432"/>
  <c r="Y414" i="432"/>
  <c r="X414" i="432"/>
  <c r="W414" i="432"/>
  <c r="V414" i="432"/>
  <c r="U414" i="432"/>
  <c r="T414" i="432"/>
  <c r="S414" i="432"/>
  <c r="Q414" i="432"/>
  <c r="P414" i="432"/>
  <c r="O414" i="432"/>
  <c r="N414" i="432"/>
  <c r="M414" i="432"/>
  <c r="L414" i="432"/>
  <c r="J414" i="432"/>
  <c r="I414" i="432"/>
  <c r="H414" i="432"/>
  <c r="G414" i="432"/>
  <c r="F414" i="432"/>
  <c r="D414" i="432"/>
  <c r="AA413" i="432"/>
  <c r="R413" i="432"/>
  <c r="AA412" i="432"/>
  <c r="R412" i="432"/>
  <c r="K412" i="432"/>
  <c r="AA411" i="432"/>
  <c r="R411" i="432"/>
  <c r="AA410" i="432"/>
  <c r="R410" i="432"/>
  <c r="K410" i="432"/>
  <c r="AA409" i="432"/>
  <c r="R409" i="432"/>
  <c r="AA408" i="432"/>
  <c r="AB408" i="432" s="1"/>
  <c r="R408" i="432"/>
  <c r="K408" i="432"/>
  <c r="AA407" i="432"/>
  <c r="R407" i="432"/>
  <c r="Z406" i="432"/>
  <c r="Y406" i="432"/>
  <c r="X406" i="432"/>
  <c r="W406" i="432"/>
  <c r="V406" i="432"/>
  <c r="U406" i="432"/>
  <c r="T406" i="432"/>
  <c r="S406" i="432"/>
  <c r="Q406" i="432"/>
  <c r="P406" i="432"/>
  <c r="O406" i="432"/>
  <c r="N406" i="432"/>
  <c r="M406" i="432"/>
  <c r="L406" i="432"/>
  <c r="J406" i="432"/>
  <c r="I406" i="432"/>
  <c r="H406" i="432"/>
  <c r="G406" i="432"/>
  <c r="K406" i="432" s="1"/>
  <c r="F406" i="432"/>
  <c r="D406" i="432"/>
  <c r="AA405" i="432"/>
  <c r="R405" i="432"/>
  <c r="AA404" i="432"/>
  <c r="AB404" i="432" s="1"/>
  <c r="R404" i="432"/>
  <c r="K404" i="432"/>
  <c r="Z403" i="432"/>
  <c r="Y403" i="432"/>
  <c r="X403" i="432"/>
  <c r="W403" i="432"/>
  <c r="V403" i="432"/>
  <c r="U403" i="432"/>
  <c r="T403" i="432"/>
  <c r="S403" i="432"/>
  <c r="Q403" i="432"/>
  <c r="P403" i="432"/>
  <c r="O403" i="432"/>
  <c r="N403" i="432"/>
  <c r="M403" i="432"/>
  <c r="L403" i="432"/>
  <c r="J403" i="432"/>
  <c r="I403" i="432"/>
  <c r="H403" i="432"/>
  <c r="G403" i="432"/>
  <c r="F403" i="432"/>
  <c r="D403" i="432"/>
  <c r="AA402" i="432"/>
  <c r="R402" i="432"/>
  <c r="K402" i="432"/>
  <c r="AA401" i="432"/>
  <c r="R401" i="432"/>
  <c r="Z400" i="432"/>
  <c r="Y400" i="432"/>
  <c r="X400" i="432"/>
  <c r="W400" i="432"/>
  <c r="V400" i="432"/>
  <c r="U400" i="432"/>
  <c r="T400" i="432"/>
  <c r="S400" i="432"/>
  <c r="Q400" i="432"/>
  <c r="P400" i="432"/>
  <c r="O400" i="432"/>
  <c r="N400" i="432"/>
  <c r="M400" i="432"/>
  <c r="L400" i="432"/>
  <c r="J400" i="432"/>
  <c r="I400" i="432"/>
  <c r="H400" i="432"/>
  <c r="G400" i="432"/>
  <c r="F400" i="432"/>
  <c r="D400" i="432"/>
  <c r="AA399" i="432"/>
  <c r="R399" i="432"/>
  <c r="AA398" i="432"/>
  <c r="R398" i="432"/>
  <c r="K398" i="432"/>
  <c r="AA397" i="432"/>
  <c r="R397" i="432"/>
  <c r="AA396" i="432"/>
  <c r="R396" i="432"/>
  <c r="K396" i="432"/>
  <c r="AA395" i="432"/>
  <c r="R395" i="432"/>
  <c r="AA394" i="432"/>
  <c r="AB394" i="432" s="1"/>
  <c r="R394" i="432"/>
  <c r="K394" i="432"/>
  <c r="AA393" i="432"/>
  <c r="R393" i="432"/>
  <c r="AA392" i="432"/>
  <c r="R392" i="432"/>
  <c r="K392" i="432"/>
  <c r="AA391" i="432"/>
  <c r="R391" i="432"/>
  <c r="AA390" i="432"/>
  <c r="R390" i="432"/>
  <c r="K390" i="432"/>
  <c r="AA389" i="432"/>
  <c r="R389" i="432"/>
  <c r="AA388" i="432"/>
  <c r="R388" i="432"/>
  <c r="K388" i="432"/>
  <c r="AA387" i="432"/>
  <c r="R387" i="432"/>
  <c r="AA386" i="432"/>
  <c r="AB386" i="432" s="1"/>
  <c r="R386" i="432"/>
  <c r="K386" i="432"/>
  <c r="AA385" i="432"/>
  <c r="R385" i="432"/>
  <c r="AA384" i="432"/>
  <c r="R384" i="432"/>
  <c r="K384" i="432"/>
  <c r="AA383" i="432"/>
  <c r="R383" i="432"/>
  <c r="AA382" i="432"/>
  <c r="R382" i="432"/>
  <c r="K382" i="432"/>
  <c r="AA381" i="432"/>
  <c r="R381" i="432"/>
  <c r="AA380" i="432"/>
  <c r="R380" i="432"/>
  <c r="K380" i="432"/>
  <c r="AA379" i="432"/>
  <c r="R379" i="432"/>
  <c r="AA378" i="432"/>
  <c r="AB378" i="432" s="1"/>
  <c r="R378" i="432"/>
  <c r="K378" i="432"/>
  <c r="AA377" i="432"/>
  <c r="R377" i="432"/>
  <c r="AA376" i="432"/>
  <c r="R376" i="432"/>
  <c r="K376" i="432"/>
  <c r="AA375" i="432"/>
  <c r="R375" i="432"/>
  <c r="AA374" i="432"/>
  <c r="R374" i="432"/>
  <c r="K374" i="432"/>
  <c r="AA373" i="432"/>
  <c r="R373" i="432"/>
  <c r="AA372" i="432"/>
  <c r="R372" i="432"/>
  <c r="K372" i="432"/>
  <c r="AA371" i="432"/>
  <c r="R371" i="432"/>
  <c r="AA370" i="432"/>
  <c r="AB370" i="432" s="1"/>
  <c r="R370" i="432"/>
  <c r="K370" i="432"/>
  <c r="AA369" i="432"/>
  <c r="R369" i="432"/>
  <c r="AA368" i="432"/>
  <c r="R368" i="432"/>
  <c r="K368" i="432"/>
  <c r="AA367" i="432"/>
  <c r="R367" i="432"/>
  <c r="AA366" i="432"/>
  <c r="R366" i="432"/>
  <c r="K366" i="432"/>
  <c r="AA365" i="432"/>
  <c r="R365" i="432"/>
  <c r="AA364" i="432"/>
  <c r="R364" i="432"/>
  <c r="K364" i="432"/>
  <c r="AA363" i="432"/>
  <c r="R363" i="432"/>
  <c r="AA362" i="432"/>
  <c r="AB362" i="432" s="1"/>
  <c r="R362" i="432"/>
  <c r="K362" i="432"/>
  <c r="AA361" i="432"/>
  <c r="R361" i="432"/>
  <c r="AA360" i="432"/>
  <c r="R360" i="432"/>
  <c r="K360" i="432"/>
  <c r="AA359" i="432"/>
  <c r="R359" i="432"/>
  <c r="AA358" i="432"/>
  <c r="R358" i="432"/>
  <c r="K358" i="432"/>
  <c r="AA357" i="432"/>
  <c r="R357" i="432"/>
  <c r="AA356" i="432"/>
  <c r="R356" i="432"/>
  <c r="K356" i="432"/>
  <c r="AA355" i="432"/>
  <c r="R355" i="432"/>
  <c r="Z354" i="432"/>
  <c r="Y354" i="432"/>
  <c r="X354" i="432"/>
  <c r="W354" i="432"/>
  <c r="V354" i="432"/>
  <c r="U354" i="432"/>
  <c r="T354" i="432"/>
  <c r="S354" i="432"/>
  <c r="Q354" i="432"/>
  <c r="P354" i="432"/>
  <c r="O354" i="432"/>
  <c r="N354" i="432"/>
  <c r="M354" i="432"/>
  <c r="L354" i="432"/>
  <c r="J354" i="432"/>
  <c r="I354" i="432"/>
  <c r="H354" i="432"/>
  <c r="G354" i="432"/>
  <c r="F354" i="432"/>
  <c r="D354" i="432"/>
  <c r="AA353" i="432"/>
  <c r="R353" i="432"/>
  <c r="Z352" i="432"/>
  <c r="Y352" i="432"/>
  <c r="X352" i="432"/>
  <c r="W352" i="432"/>
  <c r="V352" i="432"/>
  <c r="U352" i="432"/>
  <c r="T352" i="432"/>
  <c r="S352" i="432"/>
  <c r="Q352" i="432"/>
  <c r="P352" i="432"/>
  <c r="O352" i="432"/>
  <c r="N352" i="432"/>
  <c r="M352" i="432"/>
  <c r="L352" i="432"/>
  <c r="J352" i="432"/>
  <c r="I352" i="432"/>
  <c r="H352" i="432"/>
  <c r="G352" i="432"/>
  <c r="F352" i="432"/>
  <c r="D352" i="432"/>
  <c r="AA351" i="432"/>
  <c r="R351" i="432"/>
  <c r="K351" i="432"/>
  <c r="AA350" i="432"/>
  <c r="R350" i="432"/>
  <c r="K350" i="432"/>
  <c r="Z349" i="432"/>
  <c r="Y349" i="432"/>
  <c r="X349" i="432"/>
  <c r="W349" i="432"/>
  <c r="V349" i="432"/>
  <c r="U349" i="432"/>
  <c r="T349" i="432"/>
  <c r="S349" i="432"/>
  <c r="Q349" i="432"/>
  <c r="P349" i="432"/>
  <c r="O349" i="432"/>
  <c r="N349" i="432"/>
  <c r="M349" i="432"/>
  <c r="L349" i="432"/>
  <c r="J349" i="432"/>
  <c r="I349" i="432"/>
  <c r="H349" i="432"/>
  <c r="G349" i="432"/>
  <c r="F349" i="432"/>
  <c r="D349" i="432"/>
  <c r="AA348" i="432"/>
  <c r="R348" i="432"/>
  <c r="K348" i="432"/>
  <c r="Z347" i="432"/>
  <c r="Y347" i="432"/>
  <c r="X347" i="432"/>
  <c r="W347" i="432"/>
  <c r="V347" i="432"/>
  <c r="U347" i="432"/>
  <c r="T347" i="432"/>
  <c r="S347" i="432"/>
  <c r="Q347" i="432"/>
  <c r="P347" i="432"/>
  <c r="O347" i="432"/>
  <c r="N347" i="432"/>
  <c r="M347" i="432"/>
  <c r="L347" i="432"/>
  <c r="J347" i="432"/>
  <c r="I347" i="432"/>
  <c r="H347" i="432"/>
  <c r="G347" i="432"/>
  <c r="F347" i="432"/>
  <c r="D347" i="432"/>
  <c r="AA345" i="432"/>
  <c r="R345" i="432"/>
  <c r="AA344" i="432"/>
  <c r="R344" i="432"/>
  <c r="K344" i="432"/>
  <c r="AA343" i="432"/>
  <c r="R343" i="432"/>
  <c r="K343" i="432"/>
  <c r="Z342" i="432"/>
  <c r="Y342" i="432"/>
  <c r="X342" i="432"/>
  <c r="W342" i="432"/>
  <c r="V342" i="432"/>
  <c r="U342" i="432"/>
  <c r="T342" i="432"/>
  <c r="S342" i="432"/>
  <c r="Q342" i="432"/>
  <c r="P342" i="432"/>
  <c r="O342" i="432"/>
  <c r="N342" i="432"/>
  <c r="M342" i="432"/>
  <c r="L342" i="432"/>
  <c r="J342" i="432"/>
  <c r="I342" i="432"/>
  <c r="H342" i="432"/>
  <c r="G342" i="432"/>
  <c r="F342" i="432"/>
  <c r="D342" i="432"/>
  <c r="AA339" i="432"/>
  <c r="R339" i="432"/>
  <c r="Z338" i="432"/>
  <c r="Z337" i="432" s="1"/>
  <c r="Z336" i="432" s="1"/>
  <c r="Z335" i="432" s="1"/>
  <c r="Y338" i="432"/>
  <c r="Y337" i="432" s="1"/>
  <c r="Y336" i="432" s="1"/>
  <c r="Y335" i="432" s="1"/>
  <c r="X338" i="432"/>
  <c r="X337" i="432" s="1"/>
  <c r="X336" i="432" s="1"/>
  <c r="X335" i="432" s="1"/>
  <c r="W338" i="432"/>
  <c r="W337" i="432" s="1"/>
  <c r="W336" i="432" s="1"/>
  <c r="W335" i="432" s="1"/>
  <c r="V338" i="432"/>
  <c r="V337" i="432" s="1"/>
  <c r="V336" i="432" s="1"/>
  <c r="V335" i="432" s="1"/>
  <c r="U338" i="432"/>
  <c r="U337" i="432" s="1"/>
  <c r="U336" i="432" s="1"/>
  <c r="U335" i="432" s="1"/>
  <c r="T338" i="432"/>
  <c r="T337" i="432" s="1"/>
  <c r="T336" i="432" s="1"/>
  <c r="T335" i="432" s="1"/>
  <c r="S338" i="432"/>
  <c r="Q338" i="432"/>
  <c r="Q337" i="432" s="1"/>
  <c r="Q336" i="432" s="1"/>
  <c r="Q335" i="432" s="1"/>
  <c r="P338" i="432"/>
  <c r="P337" i="432" s="1"/>
  <c r="P336" i="432" s="1"/>
  <c r="P335" i="432" s="1"/>
  <c r="O338" i="432"/>
  <c r="O337" i="432" s="1"/>
  <c r="O336" i="432" s="1"/>
  <c r="O335" i="432" s="1"/>
  <c r="N338" i="432"/>
  <c r="N337" i="432" s="1"/>
  <c r="N336" i="432" s="1"/>
  <c r="N335" i="432" s="1"/>
  <c r="M338" i="432"/>
  <c r="M337" i="432" s="1"/>
  <c r="M336" i="432" s="1"/>
  <c r="M335" i="432" s="1"/>
  <c r="L338" i="432"/>
  <c r="J338" i="432"/>
  <c r="J337" i="432" s="1"/>
  <c r="J336" i="432" s="1"/>
  <c r="J335" i="432" s="1"/>
  <c r="I338" i="432"/>
  <c r="I337" i="432" s="1"/>
  <c r="I336" i="432" s="1"/>
  <c r="I335" i="432" s="1"/>
  <c r="H338" i="432"/>
  <c r="H337" i="432" s="1"/>
  <c r="H336" i="432" s="1"/>
  <c r="H335" i="432" s="1"/>
  <c r="G338" i="432"/>
  <c r="G337" i="432" s="1"/>
  <c r="G336" i="432" s="1"/>
  <c r="G335" i="432" s="1"/>
  <c r="F338" i="432"/>
  <c r="F337" i="432" s="1"/>
  <c r="F336" i="432" s="1"/>
  <c r="F335" i="432" s="1"/>
  <c r="D338" i="432"/>
  <c r="D337" i="432" s="1"/>
  <c r="D336" i="432" s="1"/>
  <c r="D335" i="432" s="1"/>
  <c r="AA334" i="432"/>
  <c r="AB334" i="432" s="1"/>
  <c r="R334" i="432"/>
  <c r="K334" i="432"/>
  <c r="AA333" i="432"/>
  <c r="R333" i="432"/>
  <c r="AA332" i="432"/>
  <c r="R332" i="432"/>
  <c r="K332" i="432"/>
  <c r="Z331" i="432"/>
  <c r="Z330" i="432" s="1"/>
  <c r="Z329" i="432" s="1"/>
  <c r="Y331" i="432"/>
  <c r="X331" i="432"/>
  <c r="X330" i="432" s="1"/>
  <c r="X329" i="432" s="1"/>
  <c r="W331" i="432"/>
  <c r="W330" i="432" s="1"/>
  <c r="W329" i="432" s="1"/>
  <c r="V331" i="432"/>
  <c r="V330" i="432" s="1"/>
  <c r="V329" i="432" s="1"/>
  <c r="U331" i="432"/>
  <c r="U330" i="432" s="1"/>
  <c r="U329" i="432" s="1"/>
  <c r="T331" i="432"/>
  <c r="T330" i="432" s="1"/>
  <c r="T329" i="432" s="1"/>
  <c r="S331" i="432"/>
  <c r="S330" i="432" s="1"/>
  <c r="Q331" i="432"/>
  <c r="Q330" i="432" s="1"/>
  <c r="Q329" i="432" s="1"/>
  <c r="P331" i="432"/>
  <c r="O331" i="432"/>
  <c r="O330" i="432" s="1"/>
  <c r="O329" i="432" s="1"/>
  <c r="N331" i="432"/>
  <c r="N330" i="432" s="1"/>
  <c r="N329" i="432" s="1"/>
  <c r="M331" i="432"/>
  <c r="M330" i="432" s="1"/>
  <c r="M329" i="432" s="1"/>
  <c r="L331" i="432"/>
  <c r="J331" i="432"/>
  <c r="J330" i="432" s="1"/>
  <c r="J329" i="432" s="1"/>
  <c r="I331" i="432"/>
  <c r="I330" i="432" s="1"/>
  <c r="I329" i="432" s="1"/>
  <c r="H331" i="432"/>
  <c r="H330" i="432" s="1"/>
  <c r="H329" i="432" s="1"/>
  <c r="G331" i="432"/>
  <c r="G330" i="432" s="1"/>
  <c r="G329" i="432" s="1"/>
  <c r="F331" i="432"/>
  <c r="F330" i="432" s="1"/>
  <c r="F329" i="432" s="1"/>
  <c r="D331" i="432"/>
  <c r="D330" i="432" s="1"/>
  <c r="D329" i="432" s="1"/>
  <c r="Y330" i="432"/>
  <c r="Y329" i="432" s="1"/>
  <c r="P330" i="432"/>
  <c r="P329" i="432" s="1"/>
  <c r="L330" i="432"/>
  <c r="AA328" i="432"/>
  <c r="R328" i="432"/>
  <c r="K328" i="432"/>
  <c r="AA327" i="432"/>
  <c r="R327" i="432"/>
  <c r="AA326" i="432"/>
  <c r="R326" i="432"/>
  <c r="K326" i="432"/>
  <c r="AA325" i="432"/>
  <c r="R325" i="432"/>
  <c r="AA324" i="432"/>
  <c r="R324" i="432"/>
  <c r="K324" i="432"/>
  <c r="AA323" i="432"/>
  <c r="R323" i="432"/>
  <c r="K323" i="432"/>
  <c r="AA322" i="432"/>
  <c r="R322" i="432"/>
  <c r="K322" i="432"/>
  <c r="AA321" i="432"/>
  <c r="R321" i="432"/>
  <c r="AA320" i="432"/>
  <c r="AB320" i="432" s="1"/>
  <c r="R320" i="432"/>
  <c r="K320" i="432"/>
  <c r="AA319" i="432"/>
  <c r="R319" i="432"/>
  <c r="AA318" i="432"/>
  <c r="R318" i="432"/>
  <c r="K318" i="432"/>
  <c r="AA317" i="432"/>
  <c r="R317" i="432"/>
  <c r="AA316" i="432"/>
  <c r="R316" i="432"/>
  <c r="K316" i="432"/>
  <c r="AA315" i="432"/>
  <c r="R315" i="432"/>
  <c r="AA314" i="432"/>
  <c r="R314" i="432"/>
  <c r="K314" i="432"/>
  <c r="AA313" i="432"/>
  <c r="R313" i="432"/>
  <c r="AA312" i="432"/>
  <c r="R312" i="432"/>
  <c r="K312" i="432"/>
  <c r="AA311" i="432"/>
  <c r="R311" i="432"/>
  <c r="AA310" i="432"/>
  <c r="R310" i="432"/>
  <c r="K310" i="432"/>
  <c r="AA309" i="432"/>
  <c r="R309" i="432"/>
  <c r="AA308" i="432"/>
  <c r="R308" i="432"/>
  <c r="K308" i="432"/>
  <c r="AA307" i="432"/>
  <c r="R307" i="432"/>
  <c r="AA306" i="432"/>
  <c r="R306" i="432"/>
  <c r="K306" i="432"/>
  <c r="AA305" i="432"/>
  <c r="R305" i="432"/>
  <c r="AA304" i="432"/>
  <c r="R304" i="432"/>
  <c r="K304" i="432"/>
  <c r="AA303" i="432"/>
  <c r="R303" i="432"/>
  <c r="AA302" i="432"/>
  <c r="R302" i="432"/>
  <c r="K302" i="432"/>
  <c r="AA301" i="432"/>
  <c r="R301" i="432"/>
  <c r="AA300" i="432"/>
  <c r="R300" i="432"/>
  <c r="K300" i="432"/>
  <c r="AA299" i="432"/>
  <c r="R299" i="432"/>
  <c r="AA298" i="432"/>
  <c r="R298" i="432"/>
  <c r="K298" i="432"/>
  <c r="AA297" i="432"/>
  <c r="R297" i="432"/>
  <c r="K297" i="432"/>
  <c r="AA296" i="432"/>
  <c r="R296" i="432"/>
  <c r="K296" i="432"/>
  <c r="AA295" i="432"/>
  <c r="R295" i="432"/>
  <c r="AA294" i="432"/>
  <c r="R294" i="432"/>
  <c r="K294" i="432"/>
  <c r="AA293" i="432"/>
  <c r="R293" i="432"/>
  <c r="AA292" i="432"/>
  <c r="R292" i="432"/>
  <c r="K292" i="432"/>
  <c r="AA291" i="432"/>
  <c r="R291" i="432"/>
  <c r="AA290" i="432"/>
  <c r="R290" i="432"/>
  <c r="K290" i="432"/>
  <c r="AA289" i="432"/>
  <c r="R289" i="432"/>
  <c r="AA288" i="432"/>
  <c r="R288" i="432"/>
  <c r="K288" i="432"/>
  <c r="Z287" i="432"/>
  <c r="Y287" i="432"/>
  <c r="X287" i="432"/>
  <c r="W287" i="432"/>
  <c r="V287" i="432"/>
  <c r="U287" i="432"/>
  <c r="T287" i="432"/>
  <c r="S287" i="432"/>
  <c r="Q287" i="432"/>
  <c r="P287" i="432"/>
  <c r="O287" i="432"/>
  <c r="N287" i="432"/>
  <c r="M287" i="432"/>
  <c r="L287" i="432"/>
  <c r="J287" i="432"/>
  <c r="I287" i="432"/>
  <c r="H287" i="432"/>
  <c r="G287" i="432"/>
  <c r="F287" i="432"/>
  <c r="D287" i="432"/>
  <c r="Z286" i="432"/>
  <c r="Y286" i="432"/>
  <c r="X286" i="432"/>
  <c r="W286" i="432"/>
  <c r="V286" i="432"/>
  <c r="U286" i="432"/>
  <c r="T286" i="432"/>
  <c r="S286" i="432"/>
  <c r="Q286" i="432"/>
  <c r="P286" i="432"/>
  <c r="O286" i="432"/>
  <c r="N286" i="432"/>
  <c r="M286" i="432"/>
  <c r="L286" i="432"/>
  <c r="J286" i="432"/>
  <c r="I286" i="432"/>
  <c r="H286" i="432"/>
  <c r="G286" i="432"/>
  <c r="F286" i="432"/>
  <c r="D286" i="432"/>
  <c r="AA285" i="432"/>
  <c r="R285" i="432"/>
  <c r="Z284" i="432"/>
  <c r="Y284" i="432"/>
  <c r="X284" i="432"/>
  <c r="W284" i="432"/>
  <c r="V284" i="432"/>
  <c r="U284" i="432"/>
  <c r="T284" i="432"/>
  <c r="S284" i="432"/>
  <c r="Q284" i="432"/>
  <c r="P284" i="432"/>
  <c r="O284" i="432"/>
  <c r="N284" i="432"/>
  <c r="M284" i="432"/>
  <c r="L284" i="432"/>
  <c r="J284" i="432"/>
  <c r="I284" i="432"/>
  <c r="H284" i="432"/>
  <c r="G284" i="432"/>
  <c r="F284" i="432"/>
  <c r="D284" i="432"/>
  <c r="AA283" i="432"/>
  <c r="R283" i="432"/>
  <c r="Z282" i="432"/>
  <c r="Y282" i="432"/>
  <c r="X282" i="432"/>
  <c r="W282" i="432"/>
  <c r="V282" i="432"/>
  <c r="U282" i="432"/>
  <c r="T282" i="432"/>
  <c r="S282" i="432"/>
  <c r="Q282" i="432"/>
  <c r="P282" i="432"/>
  <c r="O282" i="432"/>
  <c r="N282" i="432"/>
  <c r="M282" i="432"/>
  <c r="L282" i="432"/>
  <c r="J282" i="432"/>
  <c r="I282" i="432"/>
  <c r="H282" i="432"/>
  <c r="G282" i="432"/>
  <c r="F282" i="432"/>
  <c r="D282" i="432"/>
  <c r="Z281" i="432"/>
  <c r="Y281" i="432"/>
  <c r="X281" i="432"/>
  <c r="W281" i="432"/>
  <c r="V281" i="432"/>
  <c r="U281" i="432"/>
  <c r="T281" i="432"/>
  <c r="S281" i="432"/>
  <c r="Q281" i="432"/>
  <c r="P281" i="432"/>
  <c r="O281" i="432"/>
  <c r="N281" i="432"/>
  <c r="M281" i="432"/>
  <c r="L281" i="432"/>
  <c r="J281" i="432"/>
  <c r="I281" i="432"/>
  <c r="H281" i="432"/>
  <c r="G281" i="432"/>
  <c r="F281" i="432"/>
  <c r="D281" i="432"/>
  <c r="Z280" i="432"/>
  <c r="Y280" i="432"/>
  <c r="X280" i="432"/>
  <c r="W280" i="432"/>
  <c r="V280" i="432"/>
  <c r="U280" i="432"/>
  <c r="T280" i="432"/>
  <c r="S280" i="432"/>
  <c r="Q280" i="432"/>
  <c r="P280" i="432"/>
  <c r="O280" i="432"/>
  <c r="N280" i="432"/>
  <c r="M280" i="432"/>
  <c r="L280" i="432"/>
  <c r="J280" i="432"/>
  <c r="I280" i="432"/>
  <c r="H280" i="432"/>
  <c r="G280" i="432"/>
  <c r="F280" i="432"/>
  <c r="D280" i="432"/>
  <c r="Z279" i="432"/>
  <c r="Y279" i="432"/>
  <c r="X279" i="432"/>
  <c r="W279" i="432"/>
  <c r="V279" i="432"/>
  <c r="U279" i="432"/>
  <c r="T279" i="432"/>
  <c r="S279" i="432"/>
  <c r="Q279" i="432"/>
  <c r="P279" i="432"/>
  <c r="O279" i="432"/>
  <c r="N279" i="432"/>
  <c r="M279" i="432"/>
  <c r="L279" i="432"/>
  <c r="J279" i="432"/>
  <c r="I279" i="432"/>
  <c r="H279" i="432"/>
  <c r="G279" i="432"/>
  <c r="F279" i="432"/>
  <c r="D279" i="432"/>
  <c r="Z278" i="432"/>
  <c r="Y278" i="432"/>
  <c r="X278" i="432"/>
  <c r="W278" i="432"/>
  <c r="V278" i="432"/>
  <c r="U278" i="432"/>
  <c r="T278" i="432"/>
  <c r="S278" i="432"/>
  <c r="Q278" i="432"/>
  <c r="P278" i="432"/>
  <c r="O278" i="432"/>
  <c r="N278" i="432"/>
  <c r="M278" i="432"/>
  <c r="L278" i="432"/>
  <c r="J278" i="432"/>
  <c r="I278" i="432"/>
  <c r="H278" i="432"/>
  <c r="G278" i="432"/>
  <c r="F278" i="432"/>
  <c r="D278" i="432"/>
  <c r="AA277" i="432"/>
  <c r="R277" i="432"/>
  <c r="Z275" i="432"/>
  <c r="Z274" i="432" s="1"/>
  <c r="Z276" i="432" s="1"/>
  <c r="Y275" i="432"/>
  <c r="Y274" i="432" s="1"/>
  <c r="Y276" i="432" s="1"/>
  <c r="X275" i="432"/>
  <c r="X274" i="432" s="1"/>
  <c r="X276" i="432" s="1"/>
  <c r="W275" i="432"/>
  <c r="V275" i="432"/>
  <c r="V274" i="432" s="1"/>
  <c r="V276" i="432" s="1"/>
  <c r="U275" i="432"/>
  <c r="T275" i="432"/>
  <c r="T274" i="432" s="1"/>
  <c r="T276" i="432" s="1"/>
  <c r="S275" i="432"/>
  <c r="Q275" i="432"/>
  <c r="Q274" i="432" s="1"/>
  <c r="Q276" i="432" s="1"/>
  <c r="P275" i="432"/>
  <c r="P274" i="432" s="1"/>
  <c r="P276" i="432" s="1"/>
  <c r="O275" i="432"/>
  <c r="O274" i="432" s="1"/>
  <c r="O276" i="432" s="1"/>
  <c r="N275" i="432"/>
  <c r="N274" i="432" s="1"/>
  <c r="N276" i="432" s="1"/>
  <c r="M275" i="432"/>
  <c r="M274" i="432" s="1"/>
  <c r="M276" i="432" s="1"/>
  <c r="L275" i="432"/>
  <c r="L274" i="432" s="1"/>
  <c r="L276" i="432" s="1"/>
  <c r="J275" i="432"/>
  <c r="J274" i="432" s="1"/>
  <c r="J276" i="432" s="1"/>
  <c r="I275" i="432"/>
  <c r="I274" i="432" s="1"/>
  <c r="I276" i="432" s="1"/>
  <c r="H275" i="432"/>
  <c r="H274" i="432" s="1"/>
  <c r="H276" i="432" s="1"/>
  <c r="G275" i="432"/>
  <c r="G274" i="432" s="1"/>
  <c r="G276" i="432" s="1"/>
  <c r="F275" i="432"/>
  <c r="F274" i="432" s="1"/>
  <c r="F276" i="432" s="1"/>
  <c r="D275" i="432"/>
  <c r="W274" i="432"/>
  <c r="W276" i="432" s="1"/>
  <c r="U274" i="432"/>
  <c r="U276" i="432" s="1"/>
  <c r="AA273" i="432"/>
  <c r="R273" i="432"/>
  <c r="Z272" i="432"/>
  <c r="Y272" i="432"/>
  <c r="X272" i="432"/>
  <c r="W272" i="432"/>
  <c r="V272" i="432"/>
  <c r="U272" i="432"/>
  <c r="T272" i="432"/>
  <c r="S272" i="432"/>
  <c r="Q272" i="432"/>
  <c r="P272" i="432"/>
  <c r="O272" i="432"/>
  <c r="N272" i="432"/>
  <c r="M272" i="432"/>
  <c r="L272" i="432"/>
  <c r="J272" i="432"/>
  <c r="I272" i="432"/>
  <c r="H272" i="432"/>
  <c r="G272" i="432"/>
  <c r="F272" i="432"/>
  <c r="D272" i="432"/>
  <c r="AA271" i="432"/>
  <c r="R271" i="432"/>
  <c r="AB271" i="432" s="1"/>
  <c r="Z270" i="432"/>
  <c r="Y270" i="432"/>
  <c r="X270" i="432"/>
  <c r="W270" i="432"/>
  <c r="V270" i="432"/>
  <c r="U270" i="432"/>
  <c r="T270" i="432"/>
  <c r="S270" i="432"/>
  <c r="Q270" i="432"/>
  <c r="P270" i="432"/>
  <c r="O270" i="432"/>
  <c r="N270" i="432"/>
  <c r="M270" i="432"/>
  <c r="L270" i="432"/>
  <c r="J270" i="432"/>
  <c r="I270" i="432"/>
  <c r="H270" i="432"/>
  <c r="G270" i="432"/>
  <c r="F270" i="432"/>
  <c r="D270" i="432"/>
  <c r="AA269" i="432"/>
  <c r="R269" i="432"/>
  <c r="Z268" i="432"/>
  <c r="Y268" i="432"/>
  <c r="X268" i="432"/>
  <c r="W268" i="432"/>
  <c r="V268" i="432"/>
  <c r="U268" i="432"/>
  <c r="T268" i="432"/>
  <c r="S268" i="432"/>
  <c r="Q268" i="432"/>
  <c r="P268" i="432"/>
  <c r="O268" i="432"/>
  <c r="N268" i="432"/>
  <c r="M268" i="432"/>
  <c r="L268" i="432"/>
  <c r="J268" i="432"/>
  <c r="I268" i="432"/>
  <c r="H268" i="432"/>
  <c r="G268" i="432"/>
  <c r="F268" i="432"/>
  <c r="D268" i="432"/>
  <c r="Z267" i="432"/>
  <c r="Y267" i="432"/>
  <c r="X267" i="432"/>
  <c r="W267" i="432"/>
  <c r="V267" i="432"/>
  <c r="U267" i="432"/>
  <c r="T267" i="432"/>
  <c r="S267" i="432"/>
  <c r="Q267" i="432"/>
  <c r="P267" i="432"/>
  <c r="O267" i="432"/>
  <c r="N267" i="432"/>
  <c r="M267" i="432"/>
  <c r="L267" i="432"/>
  <c r="J267" i="432"/>
  <c r="I267" i="432"/>
  <c r="H267" i="432"/>
  <c r="G267" i="432"/>
  <c r="F267" i="432"/>
  <c r="D267" i="432"/>
  <c r="Z266" i="432"/>
  <c r="Y266" i="432"/>
  <c r="X266" i="432"/>
  <c r="W266" i="432"/>
  <c r="V266" i="432"/>
  <c r="U266" i="432"/>
  <c r="T266" i="432"/>
  <c r="S266" i="432"/>
  <c r="Q266" i="432"/>
  <c r="P266" i="432"/>
  <c r="O266" i="432"/>
  <c r="N266" i="432"/>
  <c r="M266" i="432"/>
  <c r="L266" i="432"/>
  <c r="J266" i="432"/>
  <c r="I266" i="432"/>
  <c r="H266" i="432"/>
  <c r="G266" i="432"/>
  <c r="F266" i="432"/>
  <c r="D266" i="432"/>
  <c r="Z265" i="432"/>
  <c r="Y265" i="432"/>
  <c r="X265" i="432"/>
  <c r="W265" i="432"/>
  <c r="V265" i="432"/>
  <c r="U265" i="432"/>
  <c r="T265" i="432"/>
  <c r="S265" i="432"/>
  <c r="Q265" i="432"/>
  <c r="P265" i="432"/>
  <c r="O265" i="432"/>
  <c r="N265" i="432"/>
  <c r="M265" i="432"/>
  <c r="L265" i="432"/>
  <c r="J265" i="432"/>
  <c r="I265" i="432"/>
  <c r="H265" i="432"/>
  <c r="G265" i="432"/>
  <c r="F265" i="432"/>
  <c r="D265" i="432"/>
  <c r="AA264" i="432"/>
  <c r="R264" i="432"/>
  <c r="K264" i="432"/>
  <c r="AA263" i="432"/>
  <c r="R263" i="432"/>
  <c r="J263" i="432"/>
  <c r="I263" i="432"/>
  <c r="H263" i="432"/>
  <c r="G263" i="432"/>
  <c r="F263" i="432"/>
  <c r="D263" i="432"/>
  <c r="AA262" i="432"/>
  <c r="R262" i="432"/>
  <c r="J262" i="432"/>
  <c r="I262" i="432"/>
  <c r="H262" i="432"/>
  <c r="G262" i="432"/>
  <c r="F262" i="432"/>
  <c r="D262" i="432"/>
  <c r="AA261" i="432"/>
  <c r="R261" i="432"/>
  <c r="J261" i="432"/>
  <c r="I261" i="432"/>
  <c r="H261" i="432"/>
  <c r="G261" i="432"/>
  <c r="F261" i="432"/>
  <c r="D261" i="432"/>
  <c r="AA260" i="432"/>
  <c r="R260" i="432"/>
  <c r="J260" i="432"/>
  <c r="I260" i="432"/>
  <c r="H260" i="432"/>
  <c r="G260" i="432"/>
  <c r="F260" i="432"/>
  <c r="D260" i="432"/>
  <c r="Z259" i="432"/>
  <c r="Z258" i="432" s="1"/>
  <c r="Z253" i="432" s="1"/>
  <c r="Z252" i="432" s="1"/>
  <c r="Y259" i="432"/>
  <c r="X259" i="432"/>
  <c r="X258" i="432" s="1"/>
  <c r="X253" i="432" s="1"/>
  <c r="X252" i="432" s="1"/>
  <c r="W259" i="432"/>
  <c r="W258" i="432" s="1"/>
  <c r="W253" i="432" s="1"/>
  <c r="W252" i="432" s="1"/>
  <c r="V259" i="432"/>
  <c r="V258" i="432" s="1"/>
  <c r="V253" i="432" s="1"/>
  <c r="V252" i="432" s="1"/>
  <c r="U259" i="432"/>
  <c r="T259" i="432"/>
  <c r="S259" i="432"/>
  <c r="S258" i="432" s="1"/>
  <c r="S253" i="432" s="1"/>
  <c r="Q259" i="432"/>
  <c r="Q258" i="432" s="1"/>
  <c r="Q253" i="432" s="1"/>
  <c r="Q252" i="432" s="1"/>
  <c r="P259" i="432"/>
  <c r="O259" i="432"/>
  <c r="O258" i="432" s="1"/>
  <c r="O253" i="432" s="1"/>
  <c r="O252" i="432" s="1"/>
  <c r="N259" i="432"/>
  <c r="N258" i="432" s="1"/>
  <c r="N253" i="432" s="1"/>
  <c r="N252" i="432" s="1"/>
  <c r="M259" i="432"/>
  <c r="M258" i="432" s="1"/>
  <c r="M253" i="432" s="1"/>
  <c r="M252" i="432" s="1"/>
  <c r="L259" i="432"/>
  <c r="K259" i="432"/>
  <c r="Y258" i="432"/>
  <c r="Y253" i="432" s="1"/>
  <c r="Y252" i="432" s="1"/>
  <c r="U258" i="432"/>
  <c r="U253" i="432" s="1"/>
  <c r="U252" i="432" s="1"/>
  <c r="T258" i="432"/>
  <c r="T253" i="432" s="1"/>
  <c r="T252" i="432" s="1"/>
  <c r="P258" i="432"/>
  <c r="P253" i="432" s="1"/>
  <c r="P252" i="432" s="1"/>
  <c r="L258" i="432"/>
  <c r="J258" i="432"/>
  <c r="J253" i="432" s="1"/>
  <c r="J252" i="432" s="1"/>
  <c r="I258" i="432"/>
  <c r="I253" i="432" s="1"/>
  <c r="I252" i="432" s="1"/>
  <c r="H258" i="432"/>
  <c r="H253" i="432" s="1"/>
  <c r="H252" i="432" s="1"/>
  <c r="G258" i="432"/>
  <c r="G253" i="432" s="1"/>
  <c r="G252" i="432" s="1"/>
  <c r="F258" i="432"/>
  <c r="F253" i="432" s="1"/>
  <c r="F252" i="432" s="1"/>
  <c r="D258" i="432"/>
  <c r="D253" i="432" s="1"/>
  <c r="AA257" i="432"/>
  <c r="AB257" i="432" s="1"/>
  <c r="R257" i="432"/>
  <c r="AA256" i="432"/>
  <c r="R256" i="432"/>
  <c r="K256" i="432"/>
  <c r="AA255" i="432"/>
  <c r="R255" i="432"/>
  <c r="AB255" i="432" s="1"/>
  <c r="K255" i="432"/>
  <c r="AA254" i="432"/>
  <c r="R254" i="432"/>
  <c r="K254" i="432"/>
  <c r="L253" i="432"/>
  <c r="AA251" i="432"/>
  <c r="R251" i="432"/>
  <c r="Z250" i="432"/>
  <c r="Z249" i="432" s="1"/>
  <c r="Y250" i="432"/>
  <c r="Y249" i="432" s="1"/>
  <c r="X250" i="432"/>
  <c r="X249" i="432" s="1"/>
  <c r="W250" i="432"/>
  <c r="W249" i="432" s="1"/>
  <c r="V250" i="432"/>
  <c r="V249" i="432" s="1"/>
  <c r="U250" i="432"/>
  <c r="U249" i="432" s="1"/>
  <c r="T250" i="432"/>
  <c r="T249" i="432" s="1"/>
  <c r="S250" i="432"/>
  <c r="S249" i="432" s="1"/>
  <c r="Q250" i="432"/>
  <c r="P250" i="432"/>
  <c r="P249" i="432" s="1"/>
  <c r="O250" i="432"/>
  <c r="O249" i="432" s="1"/>
  <c r="N250" i="432"/>
  <c r="N249" i="432" s="1"/>
  <c r="M250" i="432"/>
  <c r="M249" i="432" s="1"/>
  <c r="L250" i="432"/>
  <c r="L249" i="432" s="1"/>
  <c r="J250" i="432"/>
  <c r="J249" i="432" s="1"/>
  <c r="I250" i="432"/>
  <c r="I249" i="432" s="1"/>
  <c r="H250" i="432"/>
  <c r="H249" i="432" s="1"/>
  <c r="G250" i="432"/>
  <c r="G249" i="432" s="1"/>
  <c r="F250" i="432"/>
  <c r="F249" i="432" s="1"/>
  <c r="D250" i="432"/>
  <c r="D249" i="432" s="1"/>
  <c r="Q249" i="432"/>
  <c r="AA248" i="432"/>
  <c r="R248" i="432"/>
  <c r="K248" i="432"/>
  <c r="Z247" i="432"/>
  <c r="Z246" i="432" s="1"/>
  <c r="Y247" i="432"/>
  <c r="Y246" i="432" s="1"/>
  <c r="X247" i="432"/>
  <c r="X246" i="432" s="1"/>
  <c r="W247" i="432"/>
  <c r="W246" i="432" s="1"/>
  <c r="V247" i="432"/>
  <c r="V246" i="432" s="1"/>
  <c r="U247" i="432"/>
  <c r="U246" i="432" s="1"/>
  <c r="T247" i="432"/>
  <c r="T246" i="432" s="1"/>
  <c r="S247" i="432"/>
  <c r="S246" i="432" s="1"/>
  <c r="Q247" i="432"/>
  <c r="Q246" i="432" s="1"/>
  <c r="P247" i="432"/>
  <c r="P246" i="432" s="1"/>
  <c r="O247" i="432"/>
  <c r="O246" i="432" s="1"/>
  <c r="N247" i="432"/>
  <c r="N246" i="432" s="1"/>
  <c r="M247" i="432"/>
  <c r="M246" i="432" s="1"/>
  <c r="L247" i="432"/>
  <c r="J247" i="432"/>
  <c r="J246" i="432" s="1"/>
  <c r="I247" i="432"/>
  <c r="I246" i="432" s="1"/>
  <c r="H247" i="432"/>
  <c r="H246" i="432" s="1"/>
  <c r="G247" i="432"/>
  <c r="G246" i="432" s="1"/>
  <c r="F247" i="432"/>
  <c r="F246" i="432" s="1"/>
  <c r="D247" i="432"/>
  <c r="Z244" i="432"/>
  <c r="Y244" i="432"/>
  <c r="X244" i="432"/>
  <c r="W244" i="432"/>
  <c r="V244" i="432"/>
  <c r="U244" i="432"/>
  <c r="T244" i="432"/>
  <c r="S244" i="432"/>
  <c r="Q244" i="432"/>
  <c r="P244" i="432"/>
  <c r="O244" i="432"/>
  <c r="N244" i="432"/>
  <c r="M244" i="432"/>
  <c r="L244" i="432"/>
  <c r="J244" i="432"/>
  <c r="I244" i="432"/>
  <c r="H244" i="432"/>
  <c r="G244" i="432"/>
  <c r="F244" i="432"/>
  <c r="Z243" i="432"/>
  <c r="Y243" i="432"/>
  <c r="X243" i="432"/>
  <c r="W243" i="432"/>
  <c r="V243" i="432"/>
  <c r="U243" i="432"/>
  <c r="T243" i="432"/>
  <c r="S243" i="432"/>
  <c r="Q243" i="432"/>
  <c r="P243" i="432"/>
  <c r="O243" i="432"/>
  <c r="N243" i="432"/>
  <c r="M243" i="432"/>
  <c r="L243" i="432"/>
  <c r="J243" i="432"/>
  <c r="I243" i="432"/>
  <c r="H243" i="432"/>
  <c r="G243" i="432"/>
  <c r="F243" i="432"/>
  <c r="Z242" i="432"/>
  <c r="Y242" i="432"/>
  <c r="X242" i="432"/>
  <c r="W242" i="432"/>
  <c r="V242" i="432"/>
  <c r="U242" i="432"/>
  <c r="T242" i="432"/>
  <c r="S242" i="432"/>
  <c r="Q242" i="432"/>
  <c r="P242" i="432"/>
  <c r="O242" i="432"/>
  <c r="N242" i="432"/>
  <c r="M242" i="432"/>
  <c r="L242" i="432"/>
  <c r="J242" i="432"/>
  <c r="I242" i="432"/>
  <c r="H242" i="432"/>
  <c r="G242" i="432"/>
  <c r="F242" i="432"/>
  <c r="Z241" i="432"/>
  <c r="Y241" i="432"/>
  <c r="X241" i="432"/>
  <c r="W241" i="432"/>
  <c r="V241" i="432"/>
  <c r="U241" i="432"/>
  <c r="T241" i="432"/>
  <c r="S241" i="432"/>
  <c r="Q241" i="432"/>
  <c r="P241" i="432"/>
  <c r="O241" i="432"/>
  <c r="N241" i="432"/>
  <c r="M241" i="432"/>
  <c r="L241" i="432"/>
  <c r="J241" i="432"/>
  <c r="I241" i="432"/>
  <c r="H241" i="432"/>
  <c r="G241" i="432"/>
  <c r="F241" i="432"/>
  <c r="Z240" i="432"/>
  <c r="Y240" i="432"/>
  <c r="X240" i="432"/>
  <c r="W240" i="432"/>
  <c r="V240" i="432"/>
  <c r="U240" i="432"/>
  <c r="T240" i="432"/>
  <c r="S240" i="432"/>
  <c r="Q240" i="432"/>
  <c r="P240" i="432"/>
  <c r="O240" i="432"/>
  <c r="N240" i="432"/>
  <c r="M240" i="432"/>
  <c r="L240" i="432"/>
  <c r="J240" i="432"/>
  <c r="I240" i="432"/>
  <c r="H240" i="432"/>
  <c r="G240" i="432"/>
  <c r="F240" i="432"/>
  <c r="Z239" i="432"/>
  <c r="Y239" i="432"/>
  <c r="X239" i="432"/>
  <c r="W239" i="432"/>
  <c r="V239" i="432"/>
  <c r="U239" i="432"/>
  <c r="T239" i="432"/>
  <c r="S239" i="432"/>
  <c r="Q239" i="432"/>
  <c r="P239" i="432"/>
  <c r="O239" i="432"/>
  <c r="N239" i="432"/>
  <c r="M239" i="432"/>
  <c r="L239" i="432"/>
  <c r="J239" i="432"/>
  <c r="I239" i="432"/>
  <c r="H239" i="432"/>
  <c r="G239" i="432"/>
  <c r="F239" i="432"/>
  <c r="Z238" i="432"/>
  <c r="Y238" i="432"/>
  <c r="X238" i="432"/>
  <c r="W238" i="432"/>
  <c r="V238" i="432"/>
  <c r="U238" i="432"/>
  <c r="T238" i="432"/>
  <c r="S238" i="432"/>
  <c r="Q238" i="432"/>
  <c r="P238" i="432"/>
  <c r="O238" i="432"/>
  <c r="N238" i="432"/>
  <c r="M238" i="432"/>
  <c r="L238" i="432"/>
  <c r="J238" i="432"/>
  <c r="I238" i="432"/>
  <c r="H238" i="432"/>
  <c r="G238" i="432"/>
  <c r="F238" i="432"/>
  <c r="Z237" i="432"/>
  <c r="Y237" i="432"/>
  <c r="X237" i="432"/>
  <c r="W237" i="432"/>
  <c r="V237" i="432"/>
  <c r="U237" i="432"/>
  <c r="T237" i="432"/>
  <c r="S237" i="432"/>
  <c r="Q237" i="432"/>
  <c r="P237" i="432"/>
  <c r="O237" i="432"/>
  <c r="N237" i="432"/>
  <c r="M237" i="432"/>
  <c r="L237" i="432"/>
  <c r="J237" i="432"/>
  <c r="I237" i="432"/>
  <c r="H237" i="432"/>
  <c r="G237" i="432"/>
  <c r="F237" i="432"/>
  <c r="Z236" i="432"/>
  <c r="Y236" i="432"/>
  <c r="X236" i="432"/>
  <c r="W236" i="432"/>
  <c r="V236" i="432"/>
  <c r="U236" i="432"/>
  <c r="T236" i="432"/>
  <c r="S236" i="432"/>
  <c r="Q236" i="432"/>
  <c r="P236" i="432"/>
  <c r="O236" i="432"/>
  <c r="N236" i="432"/>
  <c r="M236" i="432"/>
  <c r="L236" i="432"/>
  <c r="J236" i="432"/>
  <c r="I236" i="432"/>
  <c r="H236" i="432"/>
  <c r="G236" i="432"/>
  <c r="F236" i="432"/>
  <c r="Z235" i="432"/>
  <c r="Y235" i="432"/>
  <c r="X235" i="432"/>
  <c r="W235" i="432"/>
  <c r="V235" i="432"/>
  <c r="U235" i="432"/>
  <c r="T235" i="432"/>
  <c r="S235" i="432"/>
  <c r="Q235" i="432"/>
  <c r="P235" i="432"/>
  <c r="O235" i="432"/>
  <c r="N235" i="432"/>
  <c r="M235" i="432"/>
  <c r="L235" i="432"/>
  <c r="J235" i="432"/>
  <c r="I235" i="432"/>
  <c r="H235" i="432"/>
  <c r="G235" i="432"/>
  <c r="F235" i="432"/>
  <c r="AA234" i="432"/>
  <c r="R234" i="432"/>
  <c r="D234" i="432"/>
  <c r="K234" i="432" s="1"/>
  <c r="Z233" i="432"/>
  <c r="Y233" i="432"/>
  <c r="X233" i="432"/>
  <c r="W233" i="432"/>
  <c r="V233" i="432"/>
  <c r="U233" i="432"/>
  <c r="T233" i="432"/>
  <c r="Q233" i="432"/>
  <c r="P233" i="432"/>
  <c r="O233" i="432"/>
  <c r="N233" i="432"/>
  <c r="M233" i="432"/>
  <c r="L233" i="432"/>
  <c r="J233" i="432"/>
  <c r="I233" i="432"/>
  <c r="H233" i="432"/>
  <c r="G233" i="432"/>
  <c r="F233" i="432"/>
  <c r="Z232" i="432"/>
  <c r="Y232" i="432"/>
  <c r="X232" i="432"/>
  <c r="W232" i="432"/>
  <c r="V232" i="432"/>
  <c r="U232" i="432"/>
  <c r="T232" i="432"/>
  <c r="Q232" i="432"/>
  <c r="P232" i="432"/>
  <c r="O232" i="432"/>
  <c r="N232" i="432"/>
  <c r="M232" i="432"/>
  <c r="L232" i="432"/>
  <c r="R232" i="432" s="1"/>
  <c r="J232" i="432"/>
  <c r="I232" i="432"/>
  <c r="H232" i="432"/>
  <c r="G232" i="432"/>
  <c r="F232" i="432"/>
  <c r="Z231" i="432"/>
  <c r="Y231" i="432"/>
  <c r="X231" i="432"/>
  <c r="W231" i="432"/>
  <c r="V231" i="432"/>
  <c r="U231" i="432"/>
  <c r="T231" i="432"/>
  <c r="Q231" i="432"/>
  <c r="P231" i="432"/>
  <c r="O231" i="432"/>
  <c r="N231" i="432"/>
  <c r="M231" i="432"/>
  <c r="L231" i="432"/>
  <c r="R231" i="432" s="1"/>
  <c r="J231" i="432"/>
  <c r="I231" i="432"/>
  <c r="H231" i="432"/>
  <c r="G231" i="432"/>
  <c r="F231" i="432"/>
  <c r="Z230" i="432"/>
  <c r="Y230" i="432"/>
  <c r="X230" i="432"/>
  <c r="W230" i="432"/>
  <c r="V230" i="432"/>
  <c r="U230" i="432"/>
  <c r="T230" i="432"/>
  <c r="Q230" i="432"/>
  <c r="P230" i="432"/>
  <c r="O230" i="432"/>
  <c r="N230" i="432"/>
  <c r="M230" i="432"/>
  <c r="L230" i="432"/>
  <c r="J230" i="432"/>
  <c r="I230" i="432"/>
  <c r="H230" i="432"/>
  <c r="G230" i="432"/>
  <c r="F230" i="432"/>
  <c r="Z229" i="432"/>
  <c r="Y229" i="432"/>
  <c r="X229" i="432"/>
  <c r="W229" i="432"/>
  <c r="V229" i="432"/>
  <c r="U229" i="432"/>
  <c r="T229" i="432"/>
  <c r="Q229" i="432"/>
  <c r="P229" i="432"/>
  <c r="O229" i="432"/>
  <c r="N229" i="432"/>
  <c r="M229" i="432"/>
  <c r="L229" i="432"/>
  <c r="J229" i="432"/>
  <c r="I229" i="432"/>
  <c r="H229" i="432"/>
  <c r="G229" i="432"/>
  <c r="F229" i="432"/>
  <c r="Z228" i="432"/>
  <c r="Y228" i="432"/>
  <c r="X228" i="432"/>
  <c r="W228" i="432"/>
  <c r="V228" i="432"/>
  <c r="U228" i="432"/>
  <c r="T228" i="432"/>
  <c r="Q228" i="432"/>
  <c r="P228" i="432"/>
  <c r="O228" i="432"/>
  <c r="N228" i="432"/>
  <c r="M228" i="432"/>
  <c r="L228" i="432"/>
  <c r="J228" i="432"/>
  <c r="I228" i="432"/>
  <c r="H228" i="432"/>
  <c r="G228" i="432"/>
  <c r="F228" i="432"/>
  <c r="AA227" i="432"/>
  <c r="R227" i="432"/>
  <c r="J227" i="432"/>
  <c r="I227" i="432"/>
  <c r="H227" i="432"/>
  <c r="G227" i="432"/>
  <c r="F227" i="432"/>
  <c r="Z226" i="432"/>
  <c r="Y226" i="432"/>
  <c r="X226" i="432"/>
  <c r="W226" i="432"/>
  <c r="V226" i="432"/>
  <c r="U226" i="432"/>
  <c r="T226" i="432"/>
  <c r="Q226" i="432"/>
  <c r="P226" i="432"/>
  <c r="O226" i="432"/>
  <c r="N226" i="432"/>
  <c r="M226" i="432"/>
  <c r="L226" i="432"/>
  <c r="J226" i="432"/>
  <c r="I226" i="432"/>
  <c r="H226" i="432"/>
  <c r="G226" i="432"/>
  <c r="F226" i="432"/>
  <c r="Z225" i="432"/>
  <c r="Y225" i="432"/>
  <c r="X225" i="432"/>
  <c r="W225" i="432"/>
  <c r="V225" i="432"/>
  <c r="U225" i="432"/>
  <c r="T225" i="432"/>
  <c r="Q225" i="432"/>
  <c r="P225" i="432"/>
  <c r="O225" i="432"/>
  <c r="N225" i="432"/>
  <c r="M225" i="432"/>
  <c r="M223" i="432" s="1"/>
  <c r="M222" i="432" s="1"/>
  <c r="M221" i="432" s="1"/>
  <c r="M220" i="432" s="1"/>
  <c r="M219" i="432" s="1"/>
  <c r="L225" i="432"/>
  <c r="R225" i="432" s="1"/>
  <c r="J225" i="432"/>
  <c r="I225" i="432"/>
  <c r="H225" i="432"/>
  <c r="G225" i="432"/>
  <c r="F225" i="432"/>
  <c r="Z224" i="432"/>
  <c r="Y224" i="432"/>
  <c r="X224" i="432"/>
  <c r="W224" i="432"/>
  <c r="V224" i="432"/>
  <c r="U224" i="432"/>
  <c r="T224" i="432"/>
  <c r="Q224" i="432"/>
  <c r="P224" i="432"/>
  <c r="O224" i="432"/>
  <c r="N224" i="432"/>
  <c r="M224" i="432"/>
  <c r="L224" i="432"/>
  <c r="J224" i="432"/>
  <c r="I224" i="432"/>
  <c r="H224" i="432"/>
  <c r="G224" i="432"/>
  <c r="F224" i="432"/>
  <c r="D223" i="432"/>
  <c r="Z222" i="432"/>
  <c r="Z221" i="432" s="1"/>
  <c r="Z220" i="432" s="1"/>
  <c r="Z219" i="432" s="1"/>
  <c r="Y222" i="432"/>
  <c r="Y221" i="432" s="1"/>
  <c r="Y220" i="432" s="1"/>
  <c r="Y219" i="432" s="1"/>
  <c r="X222" i="432"/>
  <c r="X221" i="432" s="1"/>
  <c r="X220" i="432" s="1"/>
  <c r="X219" i="432" s="1"/>
  <c r="W222" i="432"/>
  <c r="W221" i="432" s="1"/>
  <c r="W220" i="432" s="1"/>
  <c r="W219" i="432" s="1"/>
  <c r="V222" i="432"/>
  <c r="V221" i="432" s="1"/>
  <c r="V220" i="432" s="1"/>
  <c r="V219" i="432" s="1"/>
  <c r="U222" i="432"/>
  <c r="U221" i="432" s="1"/>
  <c r="U220" i="432" s="1"/>
  <c r="U219" i="432" s="1"/>
  <c r="T222" i="432"/>
  <c r="T221" i="432" s="1"/>
  <c r="T220" i="432" s="1"/>
  <c r="T219" i="432" s="1"/>
  <c r="J222" i="432"/>
  <c r="J221" i="432" s="1"/>
  <c r="J220" i="432" s="1"/>
  <c r="J219" i="432" s="1"/>
  <c r="I222" i="432"/>
  <c r="I221" i="432" s="1"/>
  <c r="I220" i="432" s="1"/>
  <c r="I219" i="432" s="1"/>
  <c r="H222" i="432"/>
  <c r="G222" i="432"/>
  <c r="G221" i="432" s="1"/>
  <c r="G220" i="432" s="1"/>
  <c r="G219" i="432" s="1"/>
  <c r="F222" i="432"/>
  <c r="F221" i="432" s="1"/>
  <c r="F220" i="432" s="1"/>
  <c r="F219" i="432" s="1"/>
  <c r="H221" i="432"/>
  <c r="H220" i="432" s="1"/>
  <c r="H219" i="432" s="1"/>
  <c r="AA218" i="432"/>
  <c r="R218" i="432"/>
  <c r="K218" i="432"/>
  <c r="AA217" i="432"/>
  <c r="R217" i="432"/>
  <c r="K217" i="432"/>
  <c r="Z216" i="432"/>
  <c r="Z215" i="432" s="1"/>
  <c r="Y216" i="432"/>
  <c r="Y215" i="432" s="1"/>
  <c r="X216" i="432"/>
  <c r="X215" i="432" s="1"/>
  <c r="W216" i="432"/>
  <c r="W215" i="432" s="1"/>
  <c r="V216" i="432"/>
  <c r="V215" i="432" s="1"/>
  <c r="U216" i="432"/>
  <c r="U215" i="432" s="1"/>
  <c r="T216" i="432"/>
  <c r="S216" i="432"/>
  <c r="S215" i="432" s="1"/>
  <c r="Q216" i="432"/>
  <c r="Q215" i="432" s="1"/>
  <c r="P216" i="432"/>
  <c r="O216" i="432"/>
  <c r="N216" i="432"/>
  <c r="N215" i="432" s="1"/>
  <c r="M216" i="432"/>
  <c r="M215" i="432" s="1"/>
  <c r="L216" i="432"/>
  <c r="L215" i="432" s="1"/>
  <c r="J216" i="432"/>
  <c r="J215" i="432" s="1"/>
  <c r="I216" i="432"/>
  <c r="I215" i="432" s="1"/>
  <c r="H216" i="432"/>
  <c r="G216" i="432"/>
  <c r="F216" i="432"/>
  <c r="F215" i="432" s="1"/>
  <c r="D216" i="432"/>
  <c r="D215" i="432" s="1"/>
  <c r="T215" i="432"/>
  <c r="P215" i="432"/>
  <c r="O215" i="432"/>
  <c r="H215" i="432"/>
  <c r="G215" i="432"/>
  <c r="AA214" i="432"/>
  <c r="R214" i="432"/>
  <c r="K214" i="432"/>
  <c r="AA213" i="432"/>
  <c r="R213" i="432"/>
  <c r="K213" i="432"/>
  <c r="AA212" i="432"/>
  <c r="R212" i="432"/>
  <c r="Z211" i="432"/>
  <c r="Y211" i="432"/>
  <c r="X211" i="432"/>
  <c r="X207" i="432" s="1"/>
  <c r="X206" i="432" s="1"/>
  <c r="W211" i="432"/>
  <c r="W207" i="432" s="1"/>
  <c r="W206" i="432" s="1"/>
  <c r="V211" i="432"/>
  <c r="U211" i="432"/>
  <c r="U207" i="432" s="1"/>
  <c r="U206" i="432" s="1"/>
  <c r="T211" i="432"/>
  <c r="T207" i="432" s="1"/>
  <c r="T206" i="432" s="1"/>
  <c r="S211" i="432"/>
  <c r="S207" i="432" s="1"/>
  <c r="S206" i="432" s="1"/>
  <c r="Q211" i="432"/>
  <c r="Q207" i="432" s="1"/>
  <c r="Q206" i="432" s="1"/>
  <c r="P211" i="432"/>
  <c r="P207" i="432" s="1"/>
  <c r="P206" i="432" s="1"/>
  <c r="O211" i="432"/>
  <c r="O207" i="432" s="1"/>
  <c r="O206" i="432" s="1"/>
  <c r="N211" i="432"/>
  <c r="N207" i="432" s="1"/>
  <c r="N206" i="432" s="1"/>
  <c r="M211" i="432"/>
  <c r="L211" i="432"/>
  <c r="J211" i="432"/>
  <c r="J207" i="432" s="1"/>
  <c r="J206" i="432" s="1"/>
  <c r="I211" i="432"/>
  <c r="I207" i="432" s="1"/>
  <c r="I206" i="432" s="1"/>
  <c r="H211" i="432"/>
  <c r="H207" i="432" s="1"/>
  <c r="H206" i="432" s="1"/>
  <c r="G211" i="432"/>
  <c r="G207" i="432" s="1"/>
  <c r="G206" i="432" s="1"/>
  <c r="F211" i="432"/>
  <c r="F207" i="432" s="1"/>
  <c r="F206" i="432" s="1"/>
  <c r="D211" i="432"/>
  <c r="AA210" i="432"/>
  <c r="R210" i="432"/>
  <c r="K210" i="432"/>
  <c r="AA209" i="432"/>
  <c r="R209" i="432"/>
  <c r="K209" i="432"/>
  <c r="AA208" i="432"/>
  <c r="R208" i="432"/>
  <c r="Z207" i="432"/>
  <c r="Y207" i="432"/>
  <c r="Y206" i="432" s="1"/>
  <c r="V207" i="432"/>
  <c r="V206" i="432" s="1"/>
  <c r="M207" i="432"/>
  <c r="M206" i="432" s="1"/>
  <c r="Z206" i="432"/>
  <c r="AA205" i="432"/>
  <c r="R205" i="432"/>
  <c r="K205" i="432"/>
  <c r="AA204" i="432"/>
  <c r="R204" i="432"/>
  <c r="AA203" i="432"/>
  <c r="R203" i="432"/>
  <c r="Z202" i="432"/>
  <c r="Y202" i="432"/>
  <c r="Y201" i="432" s="1"/>
  <c r="Y200" i="432" s="1"/>
  <c r="X202" i="432"/>
  <c r="X201" i="432" s="1"/>
  <c r="X200" i="432" s="1"/>
  <c r="W202" i="432"/>
  <c r="W201" i="432" s="1"/>
  <c r="W200" i="432" s="1"/>
  <c r="V202" i="432"/>
  <c r="V201" i="432" s="1"/>
  <c r="V200" i="432" s="1"/>
  <c r="U202" i="432"/>
  <c r="U201" i="432" s="1"/>
  <c r="U200" i="432" s="1"/>
  <c r="T202" i="432"/>
  <c r="T201" i="432" s="1"/>
  <c r="T200" i="432" s="1"/>
  <c r="S202" i="432"/>
  <c r="S201" i="432" s="1"/>
  <c r="S200" i="432" s="1"/>
  <c r="Q202" i="432"/>
  <c r="Q201" i="432" s="1"/>
  <c r="Q200" i="432" s="1"/>
  <c r="P202" i="432"/>
  <c r="P201" i="432" s="1"/>
  <c r="O202" i="432"/>
  <c r="O201" i="432" s="1"/>
  <c r="O200" i="432" s="1"/>
  <c r="N202" i="432"/>
  <c r="N201" i="432" s="1"/>
  <c r="N200" i="432" s="1"/>
  <c r="M202" i="432"/>
  <c r="M201" i="432" s="1"/>
  <c r="M200" i="432" s="1"/>
  <c r="L202" i="432"/>
  <c r="J202" i="432"/>
  <c r="J201" i="432" s="1"/>
  <c r="J200" i="432" s="1"/>
  <c r="I202" i="432"/>
  <c r="I201" i="432" s="1"/>
  <c r="I200" i="432" s="1"/>
  <c r="H202" i="432"/>
  <c r="H201" i="432" s="1"/>
  <c r="H200" i="432" s="1"/>
  <c r="G202" i="432"/>
  <c r="G201" i="432" s="1"/>
  <c r="G200" i="432" s="1"/>
  <c r="F202" i="432"/>
  <c r="F201" i="432" s="1"/>
  <c r="F200" i="432" s="1"/>
  <c r="D202" i="432"/>
  <c r="Z201" i="432"/>
  <c r="Z200" i="432" s="1"/>
  <c r="P200" i="432"/>
  <c r="AA197" i="432"/>
  <c r="R197" i="432"/>
  <c r="AA196" i="432"/>
  <c r="R196" i="432"/>
  <c r="K196" i="432"/>
  <c r="AA195" i="432"/>
  <c r="R195" i="432"/>
  <c r="K195" i="432"/>
  <c r="AA194" i="432"/>
  <c r="R194" i="432"/>
  <c r="Z193" i="432"/>
  <c r="Z192" i="432" s="1"/>
  <c r="Y193" i="432"/>
  <c r="Y192" i="432" s="1"/>
  <c r="X193" i="432"/>
  <c r="X192" i="432" s="1"/>
  <c r="W193" i="432"/>
  <c r="W192" i="432" s="1"/>
  <c r="V193" i="432"/>
  <c r="V192" i="432" s="1"/>
  <c r="U193" i="432"/>
  <c r="U192" i="432" s="1"/>
  <c r="T193" i="432"/>
  <c r="T192" i="432" s="1"/>
  <c r="Q193" i="432"/>
  <c r="Q192" i="432" s="1"/>
  <c r="P193" i="432"/>
  <c r="P192" i="432" s="1"/>
  <c r="O193" i="432"/>
  <c r="O192" i="432" s="1"/>
  <c r="N193" i="432"/>
  <c r="N192" i="432" s="1"/>
  <c r="M193" i="432"/>
  <c r="M192" i="432" s="1"/>
  <c r="L193" i="432"/>
  <c r="L192" i="432" s="1"/>
  <c r="J193" i="432"/>
  <c r="J192" i="432" s="1"/>
  <c r="I193" i="432"/>
  <c r="I192" i="432" s="1"/>
  <c r="H193" i="432"/>
  <c r="H192" i="432" s="1"/>
  <c r="G193" i="432"/>
  <c r="G192" i="432" s="1"/>
  <c r="F193" i="432"/>
  <c r="F192" i="432" s="1"/>
  <c r="D193" i="432"/>
  <c r="D192" i="432" s="1"/>
  <c r="Z190" i="432"/>
  <c r="Y190" i="432"/>
  <c r="X190" i="432"/>
  <c r="W190" i="432"/>
  <c r="V190" i="432"/>
  <c r="U190" i="432"/>
  <c r="T190" i="432"/>
  <c r="S190" i="432"/>
  <c r="Q190" i="432"/>
  <c r="P190" i="432"/>
  <c r="O190" i="432"/>
  <c r="N190" i="432"/>
  <c r="M190" i="432"/>
  <c r="L190" i="432"/>
  <c r="J190" i="432"/>
  <c r="I190" i="432"/>
  <c r="H190" i="432"/>
  <c r="G190" i="432"/>
  <c r="F190" i="432"/>
  <c r="D190" i="432"/>
  <c r="Z189" i="432"/>
  <c r="Y189" i="432"/>
  <c r="X189" i="432"/>
  <c r="W189" i="432"/>
  <c r="V189" i="432"/>
  <c r="U189" i="432"/>
  <c r="T189" i="432"/>
  <c r="S189" i="432"/>
  <c r="Q189" i="432"/>
  <c r="P189" i="432"/>
  <c r="O189" i="432"/>
  <c r="N189" i="432"/>
  <c r="M189" i="432"/>
  <c r="L189" i="432"/>
  <c r="J189" i="432"/>
  <c r="I189" i="432"/>
  <c r="H189" i="432"/>
  <c r="G189" i="432"/>
  <c r="F189" i="432"/>
  <c r="D189" i="432"/>
  <c r="Z188" i="432"/>
  <c r="Y188" i="432"/>
  <c r="X188" i="432"/>
  <c r="W188" i="432"/>
  <c r="V188" i="432"/>
  <c r="U188" i="432"/>
  <c r="T188" i="432"/>
  <c r="S188" i="432"/>
  <c r="Q188" i="432"/>
  <c r="P188" i="432"/>
  <c r="O188" i="432"/>
  <c r="N188" i="432"/>
  <c r="M188" i="432"/>
  <c r="L188" i="432"/>
  <c r="J188" i="432"/>
  <c r="I188" i="432"/>
  <c r="H188" i="432"/>
  <c r="G188" i="432"/>
  <c r="F188" i="432"/>
  <c r="D188" i="432"/>
  <c r="Z187" i="432"/>
  <c r="Y187" i="432"/>
  <c r="X187" i="432"/>
  <c r="W187" i="432"/>
  <c r="V187" i="432"/>
  <c r="U187" i="432"/>
  <c r="T187" i="432"/>
  <c r="S187" i="432"/>
  <c r="Q187" i="432"/>
  <c r="P187" i="432"/>
  <c r="O187" i="432"/>
  <c r="N187" i="432"/>
  <c r="M187" i="432"/>
  <c r="L187" i="432"/>
  <c r="J187" i="432"/>
  <c r="I187" i="432"/>
  <c r="H187" i="432"/>
  <c r="G187" i="432"/>
  <c r="F187" i="432"/>
  <c r="D187" i="432"/>
  <c r="Z186" i="432"/>
  <c r="Y186" i="432"/>
  <c r="X186" i="432"/>
  <c r="W186" i="432"/>
  <c r="V186" i="432"/>
  <c r="U186" i="432"/>
  <c r="T186" i="432"/>
  <c r="S186" i="432"/>
  <c r="Q186" i="432"/>
  <c r="P186" i="432"/>
  <c r="O186" i="432"/>
  <c r="N186" i="432"/>
  <c r="M186" i="432"/>
  <c r="L186" i="432"/>
  <c r="J186" i="432"/>
  <c r="I186" i="432"/>
  <c r="H186" i="432"/>
  <c r="G186" i="432"/>
  <c r="F186" i="432"/>
  <c r="D186" i="432"/>
  <c r="AA185" i="432"/>
  <c r="R185" i="432"/>
  <c r="Z184" i="432"/>
  <c r="Y184" i="432"/>
  <c r="Y183" i="432" s="1"/>
  <c r="Y182" i="432" s="1"/>
  <c r="Y181" i="432" s="1"/>
  <c r="X184" i="432"/>
  <c r="X183" i="432" s="1"/>
  <c r="X182" i="432" s="1"/>
  <c r="X181" i="432" s="1"/>
  <c r="W184" i="432"/>
  <c r="W183" i="432" s="1"/>
  <c r="W182" i="432" s="1"/>
  <c r="W181" i="432" s="1"/>
  <c r="V184" i="432"/>
  <c r="V183" i="432" s="1"/>
  <c r="V182" i="432" s="1"/>
  <c r="V181" i="432" s="1"/>
  <c r="U184" i="432"/>
  <c r="U183" i="432" s="1"/>
  <c r="U182" i="432" s="1"/>
  <c r="U181" i="432" s="1"/>
  <c r="T184" i="432"/>
  <c r="T183" i="432" s="1"/>
  <c r="T182" i="432" s="1"/>
  <c r="T181" i="432" s="1"/>
  <c r="S184" i="432"/>
  <c r="Q184" i="432"/>
  <c r="Q183" i="432" s="1"/>
  <c r="Q182" i="432" s="1"/>
  <c r="Q181" i="432" s="1"/>
  <c r="P184" i="432"/>
  <c r="P183" i="432" s="1"/>
  <c r="O184" i="432"/>
  <c r="O183" i="432" s="1"/>
  <c r="O182" i="432" s="1"/>
  <c r="N184" i="432"/>
  <c r="N183" i="432" s="1"/>
  <c r="N182" i="432" s="1"/>
  <c r="N181" i="432" s="1"/>
  <c r="M184" i="432"/>
  <c r="M183" i="432" s="1"/>
  <c r="M182" i="432" s="1"/>
  <c r="M181" i="432" s="1"/>
  <c r="L184" i="432"/>
  <c r="L183" i="432" s="1"/>
  <c r="L182" i="432" s="1"/>
  <c r="J184" i="432"/>
  <c r="J183" i="432" s="1"/>
  <c r="J182" i="432" s="1"/>
  <c r="J181" i="432" s="1"/>
  <c r="I184" i="432"/>
  <c r="I183" i="432" s="1"/>
  <c r="I182" i="432" s="1"/>
  <c r="I181" i="432" s="1"/>
  <c r="H184" i="432"/>
  <c r="H183" i="432" s="1"/>
  <c r="H182" i="432" s="1"/>
  <c r="H181" i="432" s="1"/>
  <c r="G184" i="432"/>
  <c r="G183" i="432" s="1"/>
  <c r="G182" i="432" s="1"/>
  <c r="G181" i="432" s="1"/>
  <c r="F184" i="432"/>
  <c r="F183" i="432" s="1"/>
  <c r="F182" i="432" s="1"/>
  <c r="F181" i="432" s="1"/>
  <c r="D184" i="432"/>
  <c r="D183" i="432" s="1"/>
  <c r="D182" i="432" s="1"/>
  <c r="D181" i="432" s="1"/>
  <c r="Z183" i="432"/>
  <c r="Z182" i="432" s="1"/>
  <c r="Z181" i="432" s="1"/>
  <c r="P182" i="432"/>
  <c r="P181" i="432" s="1"/>
  <c r="O181" i="432"/>
  <c r="Z180" i="432"/>
  <c r="Y180" i="432"/>
  <c r="X180" i="432"/>
  <c r="W180" i="432"/>
  <c r="V180" i="432"/>
  <c r="U180" i="432"/>
  <c r="T180" i="432"/>
  <c r="S180" i="432"/>
  <c r="Q180" i="432"/>
  <c r="P180" i="432"/>
  <c r="O180" i="432"/>
  <c r="N180" i="432"/>
  <c r="M180" i="432"/>
  <c r="L180" i="432"/>
  <c r="J180" i="432"/>
  <c r="I180" i="432"/>
  <c r="H180" i="432"/>
  <c r="G180" i="432"/>
  <c r="F180" i="432"/>
  <c r="D180" i="432"/>
  <c r="Z179" i="432"/>
  <c r="Y179" i="432"/>
  <c r="X179" i="432"/>
  <c r="W179" i="432"/>
  <c r="V179" i="432"/>
  <c r="U179" i="432"/>
  <c r="T179" i="432"/>
  <c r="S179" i="432"/>
  <c r="Q179" i="432"/>
  <c r="P179" i="432"/>
  <c r="O179" i="432"/>
  <c r="N179" i="432"/>
  <c r="M179" i="432"/>
  <c r="L179" i="432"/>
  <c r="J179" i="432"/>
  <c r="I179" i="432"/>
  <c r="H179" i="432"/>
  <c r="G179" i="432"/>
  <c r="F179" i="432"/>
  <c r="D179" i="432"/>
  <c r="Z178" i="432"/>
  <c r="Y178" i="432"/>
  <c r="X178" i="432"/>
  <c r="W178" i="432"/>
  <c r="V178" i="432"/>
  <c r="U178" i="432"/>
  <c r="T178" i="432"/>
  <c r="S178" i="432"/>
  <c r="Q178" i="432"/>
  <c r="P178" i="432"/>
  <c r="O178" i="432"/>
  <c r="N178" i="432"/>
  <c r="M178" i="432"/>
  <c r="L178" i="432"/>
  <c r="J178" i="432"/>
  <c r="I178" i="432"/>
  <c r="H178" i="432"/>
  <c r="G178" i="432"/>
  <c r="F178" i="432"/>
  <c r="D178" i="432"/>
  <c r="Z177" i="432"/>
  <c r="Y177" i="432"/>
  <c r="X177" i="432"/>
  <c r="W177" i="432"/>
  <c r="V177" i="432"/>
  <c r="U177" i="432"/>
  <c r="T177" i="432"/>
  <c r="S177" i="432"/>
  <c r="Q177" i="432"/>
  <c r="P177" i="432"/>
  <c r="O177" i="432"/>
  <c r="N177" i="432"/>
  <c r="M177" i="432"/>
  <c r="L177" i="432"/>
  <c r="J177" i="432"/>
  <c r="I177" i="432"/>
  <c r="H177" i="432"/>
  <c r="G177" i="432"/>
  <c r="F177" i="432"/>
  <c r="D177" i="432"/>
  <c r="Z176" i="432"/>
  <c r="Y176" i="432"/>
  <c r="X176" i="432"/>
  <c r="W176" i="432"/>
  <c r="V176" i="432"/>
  <c r="U176" i="432"/>
  <c r="T176" i="432"/>
  <c r="S176" i="432"/>
  <c r="Q176" i="432"/>
  <c r="P176" i="432"/>
  <c r="O176" i="432"/>
  <c r="N176" i="432"/>
  <c r="M176" i="432"/>
  <c r="L176" i="432"/>
  <c r="J176" i="432"/>
  <c r="I176" i="432"/>
  <c r="H176" i="432"/>
  <c r="G176" i="432"/>
  <c r="F176" i="432"/>
  <c r="D176" i="432"/>
  <c r="AA175" i="432"/>
  <c r="R175" i="432"/>
  <c r="AB175" i="432" s="1"/>
  <c r="K175" i="432"/>
  <c r="Z174" i="432"/>
  <c r="Y174" i="432"/>
  <c r="X174" i="432"/>
  <c r="W174" i="432"/>
  <c r="V174" i="432"/>
  <c r="U174" i="432"/>
  <c r="T174" i="432"/>
  <c r="S174" i="432"/>
  <c r="Q174" i="432"/>
  <c r="P174" i="432"/>
  <c r="O174" i="432"/>
  <c r="N174" i="432"/>
  <c r="M174" i="432"/>
  <c r="L174" i="432"/>
  <c r="J174" i="432"/>
  <c r="I174" i="432"/>
  <c r="H174" i="432"/>
  <c r="G174" i="432"/>
  <c r="F174" i="432"/>
  <c r="D174" i="432"/>
  <c r="Z173" i="432"/>
  <c r="Y173" i="432"/>
  <c r="X173" i="432"/>
  <c r="W173" i="432"/>
  <c r="V173" i="432"/>
  <c r="U173" i="432"/>
  <c r="T173" i="432"/>
  <c r="S173" i="432"/>
  <c r="Q173" i="432"/>
  <c r="P173" i="432"/>
  <c r="O173" i="432"/>
  <c r="N173" i="432"/>
  <c r="M173" i="432"/>
  <c r="L173" i="432"/>
  <c r="J173" i="432"/>
  <c r="I173" i="432"/>
  <c r="H173" i="432"/>
  <c r="G173" i="432"/>
  <c r="F173" i="432"/>
  <c r="D173" i="432"/>
  <c r="Z172" i="432"/>
  <c r="Y172" i="432"/>
  <c r="X172" i="432"/>
  <c r="W172" i="432"/>
  <c r="V172" i="432"/>
  <c r="U172" i="432"/>
  <c r="T172" i="432"/>
  <c r="S172" i="432"/>
  <c r="Q172" i="432"/>
  <c r="P172" i="432"/>
  <c r="O172" i="432"/>
  <c r="N172" i="432"/>
  <c r="M172" i="432"/>
  <c r="L172" i="432"/>
  <c r="J172" i="432"/>
  <c r="I172" i="432"/>
  <c r="H172" i="432"/>
  <c r="G172" i="432"/>
  <c r="F172" i="432"/>
  <c r="D172" i="432"/>
  <c r="Z171" i="432"/>
  <c r="Y171" i="432"/>
  <c r="X171" i="432"/>
  <c r="W171" i="432"/>
  <c r="V171" i="432"/>
  <c r="U171" i="432"/>
  <c r="T171" i="432"/>
  <c r="S171" i="432"/>
  <c r="Q171" i="432"/>
  <c r="P171" i="432"/>
  <c r="O171" i="432"/>
  <c r="N171" i="432"/>
  <c r="M171" i="432"/>
  <c r="L171" i="432"/>
  <c r="J171" i="432"/>
  <c r="I171" i="432"/>
  <c r="H171" i="432"/>
  <c r="G171" i="432"/>
  <c r="F171" i="432"/>
  <c r="D171" i="432"/>
  <c r="Z170" i="432"/>
  <c r="Y170" i="432"/>
  <c r="X170" i="432"/>
  <c r="W170" i="432"/>
  <c r="V170" i="432"/>
  <c r="U170" i="432"/>
  <c r="T170" i="432"/>
  <c r="S170" i="432"/>
  <c r="Q170" i="432"/>
  <c r="P170" i="432"/>
  <c r="O170" i="432"/>
  <c r="N170" i="432"/>
  <c r="M170" i="432"/>
  <c r="L170" i="432"/>
  <c r="J170" i="432"/>
  <c r="I170" i="432"/>
  <c r="H170" i="432"/>
  <c r="G170" i="432"/>
  <c r="F170" i="432"/>
  <c r="D170" i="432"/>
  <c r="Z169" i="432"/>
  <c r="Y169" i="432"/>
  <c r="X169" i="432"/>
  <c r="W169" i="432"/>
  <c r="V169" i="432"/>
  <c r="U169" i="432"/>
  <c r="T169" i="432"/>
  <c r="S169" i="432"/>
  <c r="Q169" i="432"/>
  <c r="P169" i="432"/>
  <c r="O169" i="432"/>
  <c r="N169" i="432"/>
  <c r="M169" i="432"/>
  <c r="L169" i="432"/>
  <c r="J169" i="432"/>
  <c r="I169" i="432"/>
  <c r="H169" i="432"/>
  <c r="G169" i="432"/>
  <c r="F169" i="432"/>
  <c r="D169" i="432"/>
  <c r="AA168" i="432"/>
  <c r="R168" i="432"/>
  <c r="K168" i="432"/>
  <c r="Z167" i="432"/>
  <c r="Y167" i="432"/>
  <c r="X167" i="432"/>
  <c r="W167" i="432"/>
  <c r="V167" i="432"/>
  <c r="U167" i="432"/>
  <c r="T167" i="432"/>
  <c r="S167" i="432"/>
  <c r="Q167" i="432"/>
  <c r="P167" i="432"/>
  <c r="O167" i="432"/>
  <c r="N167" i="432"/>
  <c r="M167" i="432"/>
  <c r="L167" i="432"/>
  <c r="J167" i="432"/>
  <c r="I167" i="432"/>
  <c r="H167" i="432"/>
  <c r="G167" i="432"/>
  <c r="F167" i="432"/>
  <c r="D167" i="432"/>
  <c r="Z166" i="432"/>
  <c r="Y166" i="432"/>
  <c r="X166" i="432"/>
  <c r="W166" i="432"/>
  <c r="V166" i="432"/>
  <c r="U166" i="432"/>
  <c r="T166" i="432"/>
  <c r="S166" i="432"/>
  <c r="Q166" i="432"/>
  <c r="P166" i="432"/>
  <c r="O166" i="432"/>
  <c r="N166" i="432"/>
  <c r="M166" i="432"/>
  <c r="L166" i="432"/>
  <c r="J166" i="432"/>
  <c r="I166" i="432"/>
  <c r="H166" i="432"/>
  <c r="G166" i="432"/>
  <c r="F166" i="432"/>
  <c r="D166" i="432"/>
  <c r="Z165" i="432"/>
  <c r="Y165" i="432"/>
  <c r="X165" i="432"/>
  <c r="W165" i="432"/>
  <c r="V165" i="432"/>
  <c r="U165" i="432"/>
  <c r="T165" i="432"/>
  <c r="S165" i="432"/>
  <c r="Q165" i="432"/>
  <c r="P165" i="432"/>
  <c r="O165" i="432"/>
  <c r="N165" i="432"/>
  <c r="M165" i="432"/>
  <c r="L165" i="432"/>
  <c r="J165" i="432"/>
  <c r="I165" i="432"/>
  <c r="H165" i="432"/>
  <c r="G165" i="432"/>
  <c r="F165" i="432"/>
  <c r="D165" i="432"/>
  <c r="Z164" i="432"/>
  <c r="Y164" i="432"/>
  <c r="X164" i="432"/>
  <c r="W164" i="432"/>
  <c r="V164" i="432"/>
  <c r="U164" i="432"/>
  <c r="T164" i="432"/>
  <c r="S164" i="432"/>
  <c r="Q164" i="432"/>
  <c r="P164" i="432"/>
  <c r="O164" i="432"/>
  <c r="N164" i="432"/>
  <c r="M164" i="432"/>
  <c r="L164" i="432"/>
  <c r="J164" i="432"/>
  <c r="I164" i="432"/>
  <c r="H164" i="432"/>
  <c r="G164" i="432"/>
  <c r="F164" i="432"/>
  <c r="D164" i="432"/>
  <c r="Z163" i="432"/>
  <c r="Y163" i="432"/>
  <c r="X163" i="432"/>
  <c r="W163" i="432"/>
  <c r="V163" i="432"/>
  <c r="U163" i="432"/>
  <c r="T163" i="432"/>
  <c r="S163" i="432"/>
  <c r="Q163" i="432"/>
  <c r="P163" i="432"/>
  <c r="O163" i="432"/>
  <c r="N163" i="432"/>
  <c r="M163" i="432"/>
  <c r="L163" i="432"/>
  <c r="J163" i="432"/>
  <c r="I163" i="432"/>
  <c r="H163" i="432"/>
  <c r="G163" i="432"/>
  <c r="F163" i="432"/>
  <c r="D163" i="432"/>
  <c r="Z162" i="432"/>
  <c r="Y162" i="432"/>
  <c r="X162" i="432"/>
  <c r="W162" i="432"/>
  <c r="V162" i="432"/>
  <c r="U162" i="432"/>
  <c r="T162" i="432"/>
  <c r="S162" i="432"/>
  <c r="Q162" i="432"/>
  <c r="P162" i="432"/>
  <c r="O162" i="432"/>
  <c r="N162" i="432"/>
  <c r="M162" i="432"/>
  <c r="L162" i="432"/>
  <c r="J162" i="432"/>
  <c r="I162" i="432"/>
  <c r="H162" i="432"/>
  <c r="G162" i="432"/>
  <c r="F162" i="432"/>
  <c r="D162" i="432"/>
  <c r="AA161" i="432"/>
  <c r="R161" i="432"/>
  <c r="AB161" i="432" s="1"/>
  <c r="Z160" i="432"/>
  <c r="Y160" i="432"/>
  <c r="X160" i="432"/>
  <c r="W160" i="432"/>
  <c r="V160" i="432"/>
  <c r="U160" i="432"/>
  <c r="T160" i="432"/>
  <c r="S160" i="432"/>
  <c r="Q160" i="432"/>
  <c r="P160" i="432"/>
  <c r="O160" i="432"/>
  <c r="N160" i="432"/>
  <c r="M160" i="432"/>
  <c r="L160" i="432"/>
  <c r="J160" i="432"/>
  <c r="I160" i="432"/>
  <c r="H160" i="432"/>
  <c r="G160" i="432"/>
  <c r="F160" i="432"/>
  <c r="D160" i="432"/>
  <c r="Z159" i="432"/>
  <c r="Y159" i="432"/>
  <c r="X159" i="432"/>
  <c r="W159" i="432"/>
  <c r="V159" i="432"/>
  <c r="U159" i="432"/>
  <c r="T159" i="432"/>
  <c r="S159" i="432"/>
  <c r="Q159" i="432"/>
  <c r="P159" i="432"/>
  <c r="O159" i="432"/>
  <c r="N159" i="432"/>
  <c r="M159" i="432"/>
  <c r="L159" i="432"/>
  <c r="J159" i="432"/>
  <c r="I159" i="432"/>
  <c r="H159" i="432"/>
  <c r="G159" i="432"/>
  <c r="F159" i="432"/>
  <c r="D159" i="432"/>
  <c r="Z158" i="432"/>
  <c r="Y158" i="432"/>
  <c r="X158" i="432"/>
  <c r="W158" i="432"/>
  <c r="V158" i="432"/>
  <c r="U158" i="432"/>
  <c r="T158" i="432"/>
  <c r="S158" i="432"/>
  <c r="Q158" i="432"/>
  <c r="P158" i="432"/>
  <c r="O158" i="432"/>
  <c r="N158" i="432"/>
  <c r="M158" i="432"/>
  <c r="L158" i="432"/>
  <c r="J158" i="432"/>
  <c r="I158" i="432"/>
  <c r="H158" i="432"/>
  <c r="G158" i="432"/>
  <c r="F158" i="432"/>
  <c r="D158" i="432"/>
  <c r="Z157" i="432"/>
  <c r="Y157" i="432"/>
  <c r="X157" i="432"/>
  <c r="W157" i="432"/>
  <c r="V157" i="432"/>
  <c r="U157" i="432"/>
  <c r="T157" i="432"/>
  <c r="S157" i="432"/>
  <c r="Q157" i="432"/>
  <c r="P157" i="432"/>
  <c r="O157" i="432"/>
  <c r="N157" i="432"/>
  <c r="M157" i="432"/>
  <c r="L157" i="432"/>
  <c r="J157" i="432"/>
  <c r="I157" i="432"/>
  <c r="H157" i="432"/>
  <c r="G157" i="432"/>
  <c r="F157" i="432"/>
  <c r="D157" i="432"/>
  <c r="Z156" i="432"/>
  <c r="Y156" i="432"/>
  <c r="X156" i="432"/>
  <c r="W156" i="432"/>
  <c r="V156" i="432"/>
  <c r="U156" i="432"/>
  <c r="T156" i="432"/>
  <c r="S156" i="432"/>
  <c r="Q156" i="432"/>
  <c r="P156" i="432"/>
  <c r="O156" i="432"/>
  <c r="N156" i="432"/>
  <c r="M156" i="432"/>
  <c r="L156" i="432"/>
  <c r="J156" i="432"/>
  <c r="I156" i="432"/>
  <c r="H156" i="432"/>
  <c r="G156" i="432"/>
  <c r="F156" i="432"/>
  <c r="D156" i="432"/>
  <c r="Z155" i="432"/>
  <c r="Y155" i="432"/>
  <c r="X155" i="432"/>
  <c r="W155" i="432"/>
  <c r="V155" i="432"/>
  <c r="U155" i="432"/>
  <c r="T155" i="432"/>
  <c r="S155" i="432"/>
  <c r="Q155" i="432"/>
  <c r="P155" i="432"/>
  <c r="O155" i="432"/>
  <c r="N155" i="432"/>
  <c r="M155" i="432"/>
  <c r="L155" i="432"/>
  <c r="J155" i="432"/>
  <c r="I155" i="432"/>
  <c r="H155" i="432"/>
  <c r="G155" i="432"/>
  <c r="F155" i="432"/>
  <c r="D155" i="432"/>
  <c r="AA154" i="432"/>
  <c r="R154" i="432"/>
  <c r="Z153" i="432"/>
  <c r="Z152" i="432" s="1"/>
  <c r="Z151" i="432" s="1"/>
  <c r="Y153" i="432"/>
  <c r="Y152" i="432" s="1"/>
  <c r="X153" i="432"/>
  <c r="X152" i="432" s="1"/>
  <c r="X151" i="432" s="1"/>
  <c r="W153" i="432"/>
  <c r="W152" i="432" s="1"/>
  <c r="W151" i="432" s="1"/>
  <c r="V153" i="432"/>
  <c r="V152" i="432" s="1"/>
  <c r="V151" i="432" s="1"/>
  <c r="U153" i="432"/>
  <c r="U152" i="432" s="1"/>
  <c r="T153" i="432"/>
  <c r="S153" i="432"/>
  <c r="S152" i="432" s="1"/>
  <c r="Q153" i="432"/>
  <c r="Q152" i="432" s="1"/>
  <c r="Q151" i="432" s="1"/>
  <c r="P153" i="432"/>
  <c r="P152" i="432" s="1"/>
  <c r="O153" i="432"/>
  <c r="N153" i="432"/>
  <c r="N152" i="432" s="1"/>
  <c r="N151" i="432" s="1"/>
  <c r="M153" i="432"/>
  <c r="M152" i="432" s="1"/>
  <c r="M151" i="432" s="1"/>
  <c r="L153" i="432"/>
  <c r="L152" i="432" s="1"/>
  <c r="J153" i="432"/>
  <c r="J152" i="432" s="1"/>
  <c r="J151" i="432" s="1"/>
  <c r="I153" i="432"/>
  <c r="I152" i="432" s="1"/>
  <c r="I151" i="432" s="1"/>
  <c r="H153" i="432"/>
  <c r="H152" i="432" s="1"/>
  <c r="H151" i="432" s="1"/>
  <c r="G153" i="432"/>
  <c r="G152" i="432" s="1"/>
  <c r="F153" i="432"/>
  <c r="F152" i="432" s="1"/>
  <c r="F151" i="432" s="1"/>
  <c r="D153" i="432"/>
  <c r="D152" i="432" s="1"/>
  <c r="T152" i="432"/>
  <c r="T151" i="432" s="1"/>
  <c r="O152" i="432"/>
  <c r="O151" i="432" s="1"/>
  <c r="AA150" i="432"/>
  <c r="R150" i="432"/>
  <c r="AA149" i="432"/>
  <c r="R149" i="432"/>
  <c r="AA148" i="432"/>
  <c r="R148" i="432"/>
  <c r="K148" i="432"/>
  <c r="Z147" i="432"/>
  <c r="Z146" i="432" s="1"/>
  <c r="Z143" i="432" s="1"/>
  <c r="Y147" i="432"/>
  <c r="Y146" i="432" s="1"/>
  <c r="Y143" i="432" s="1"/>
  <c r="X147" i="432"/>
  <c r="X146" i="432" s="1"/>
  <c r="X143" i="432" s="1"/>
  <c r="W147" i="432"/>
  <c r="W146" i="432" s="1"/>
  <c r="W143" i="432" s="1"/>
  <c r="V147" i="432"/>
  <c r="V146" i="432" s="1"/>
  <c r="V143" i="432" s="1"/>
  <c r="U147" i="432"/>
  <c r="U146" i="432" s="1"/>
  <c r="U143" i="432" s="1"/>
  <c r="T147" i="432"/>
  <c r="T146" i="432" s="1"/>
  <c r="T143" i="432" s="1"/>
  <c r="S147" i="432"/>
  <c r="S146" i="432" s="1"/>
  <c r="Q147" i="432"/>
  <c r="Q146" i="432" s="1"/>
  <c r="Q143" i="432" s="1"/>
  <c r="P147" i="432"/>
  <c r="P146" i="432" s="1"/>
  <c r="P143" i="432" s="1"/>
  <c r="O147" i="432"/>
  <c r="O146" i="432" s="1"/>
  <c r="O143" i="432" s="1"/>
  <c r="N147" i="432"/>
  <c r="N146" i="432" s="1"/>
  <c r="N143" i="432" s="1"/>
  <c r="M147" i="432"/>
  <c r="M146" i="432" s="1"/>
  <c r="M143" i="432" s="1"/>
  <c r="L147" i="432"/>
  <c r="L146" i="432" s="1"/>
  <c r="J147" i="432"/>
  <c r="J146" i="432" s="1"/>
  <c r="J143" i="432" s="1"/>
  <c r="I147" i="432"/>
  <c r="I146" i="432" s="1"/>
  <c r="I143" i="432" s="1"/>
  <c r="H147" i="432"/>
  <c r="G147" i="432"/>
  <c r="F147" i="432"/>
  <c r="F146" i="432" s="1"/>
  <c r="F143" i="432" s="1"/>
  <c r="D147" i="432"/>
  <c r="D146" i="432" s="1"/>
  <c r="H146" i="432"/>
  <c r="H143" i="432" s="1"/>
  <c r="G146" i="432"/>
  <c r="G143" i="432" s="1"/>
  <c r="Z145" i="432"/>
  <c r="Y145" i="432"/>
  <c r="X145" i="432"/>
  <c r="W145" i="432"/>
  <c r="V145" i="432"/>
  <c r="U145" i="432"/>
  <c r="T145" i="432"/>
  <c r="S145" i="432"/>
  <c r="Q145" i="432"/>
  <c r="P145" i="432"/>
  <c r="O145" i="432"/>
  <c r="N145" i="432"/>
  <c r="M145" i="432"/>
  <c r="L145" i="432"/>
  <c r="J145" i="432"/>
  <c r="I145" i="432"/>
  <c r="H145" i="432"/>
  <c r="G145" i="432"/>
  <c r="F145" i="432"/>
  <c r="D145" i="432"/>
  <c r="AA144" i="432"/>
  <c r="R144" i="432"/>
  <c r="K144" i="432"/>
  <c r="Z141" i="432"/>
  <c r="Y141" i="432"/>
  <c r="X141" i="432"/>
  <c r="W141" i="432"/>
  <c r="V141" i="432"/>
  <c r="U141" i="432"/>
  <c r="T141" i="432"/>
  <c r="S141" i="432"/>
  <c r="Q141" i="432"/>
  <c r="P141" i="432"/>
  <c r="O141" i="432"/>
  <c r="N141" i="432"/>
  <c r="M141" i="432"/>
  <c r="L141" i="432"/>
  <c r="J141" i="432"/>
  <c r="I141" i="432"/>
  <c r="H141" i="432"/>
  <c r="G141" i="432"/>
  <c r="F141" i="432"/>
  <c r="D141" i="432"/>
  <c r="Z140" i="432"/>
  <c r="Y140" i="432"/>
  <c r="X140" i="432"/>
  <c r="W140" i="432"/>
  <c r="V140" i="432"/>
  <c r="U140" i="432"/>
  <c r="T140" i="432"/>
  <c r="S140" i="432"/>
  <c r="Q140" i="432"/>
  <c r="P140" i="432"/>
  <c r="O140" i="432"/>
  <c r="N140" i="432"/>
  <c r="M140" i="432"/>
  <c r="L140" i="432"/>
  <c r="J140" i="432"/>
  <c r="I140" i="432"/>
  <c r="H140" i="432"/>
  <c r="G140" i="432"/>
  <c r="F140" i="432"/>
  <c r="D140" i="432"/>
  <c r="Z139" i="432"/>
  <c r="Y139" i="432"/>
  <c r="X139" i="432"/>
  <c r="W139" i="432"/>
  <c r="V139" i="432"/>
  <c r="U139" i="432"/>
  <c r="T139" i="432"/>
  <c r="S139" i="432"/>
  <c r="Q139" i="432"/>
  <c r="P139" i="432"/>
  <c r="O139" i="432"/>
  <c r="N139" i="432"/>
  <c r="M139" i="432"/>
  <c r="L139" i="432"/>
  <c r="J139" i="432"/>
  <c r="I139" i="432"/>
  <c r="H139" i="432"/>
  <c r="G139" i="432"/>
  <c r="F139" i="432"/>
  <c r="D139" i="432"/>
  <c r="Z138" i="432"/>
  <c r="Y138" i="432"/>
  <c r="X138" i="432"/>
  <c r="W138" i="432"/>
  <c r="V138" i="432"/>
  <c r="U138" i="432"/>
  <c r="T138" i="432"/>
  <c r="S138" i="432"/>
  <c r="Q138" i="432"/>
  <c r="P138" i="432"/>
  <c r="O138" i="432"/>
  <c r="N138" i="432"/>
  <c r="M138" i="432"/>
  <c r="L138" i="432"/>
  <c r="J138" i="432"/>
  <c r="I138" i="432"/>
  <c r="H138" i="432"/>
  <c r="G138" i="432"/>
  <c r="F138" i="432"/>
  <c r="D138" i="432"/>
  <c r="AA137" i="432"/>
  <c r="R137" i="432"/>
  <c r="K137" i="432"/>
  <c r="Z136" i="432"/>
  <c r="Y136" i="432"/>
  <c r="X136" i="432"/>
  <c r="W136" i="432"/>
  <c r="V136" i="432"/>
  <c r="U136" i="432"/>
  <c r="T136" i="432"/>
  <c r="S136" i="432"/>
  <c r="Q136" i="432"/>
  <c r="P136" i="432"/>
  <c r="O136" i="432"/>
  <c r="N136" i="432"/>
  <c r="M136" i="432"/>
  <c r="L136" i="432"/>
  <c r="J136" i="432"/>
  <c r="I136" i="432"/>
  <c r="H136" i="432"/>
  <c r="G136" i="432"/>
  <c r="F136" i="432"/>
  <c r="D136" i="432"/>
  <c r="Z135" i="432"/>
  <c r="Y135" i="432"/>
  <c r="X135" i="432"/>
  <c r="W135" i="432"/>
  <c r="V135" i="432"/>
  <c r="U135" i="432"/>
  <c r="T135" i="432"/>
  <c r="S135" i="432"/>
  <c r="Q135" i="432"/>
  <c r="P135" i="432"/>
  <c r="O135" i="432"/>
  <c r="N135" i="432"/>
  <c r="M135" i="432"/>
  <c r="L135" i="432"/>
  <c r="J135" i="432"/>
  <c r="I135" i="432"/>
  <c r="H135" i="432"/>
  <c r="G135" i="432"/>
  <c r="F135" i="432"/>
  <c r="D135" i="432"/>
  <c r="Z134" i="432"/>
  <c r="Y134" i="432"/>
  <c r="X134" i="432"/>
  <c r="W134" i="432"/>
  <c r="V134" i="432"/>
  <c r="U134" i="432"/>
  <c r="T134" i="432"/>
  <c r="S134" i="432"/>
  <c r="Q134" i="432"/>
  <c r="P134" i="432"/>
  <c r="O134" i="432"/>
  <c r="N134" i="432"/>
  <c r="M134" i="432"/>
  <c r="L134" i="432"/>
  <c r="J134" i="432"/>
  <c r="I134" i="432"/>
  <c r="H134" i="432"/>
  <c r="G134" i="432"/>
  <c r="F134" i="432"/>
  <c r="D134" i="432"/>
  <c r="Z133" i="432"/>
  <c r="Y133" i="432"/>
  <c r="X133" i="432"/>
  <c r="W133" i="432"/>
  <c r="V133" i="432"/>
  <c r="U133" i="432"/>
  <c r="T133" i="432"/>
  <c r="S133" i="432"/>
  <c r="Q133" i="432"/>
  <c r="P133" i="432"/>
  <c r="O133" i="432"/>
  <c r="N133" i="432"/>
  <c r="M133" i="432"/>
  <c r="L133" i="432"/>
  <c r="J133" i="432"/>
  <c r="I133" i="432"/>
  <c r="H133" i="432"/>
  <c r="G133" i="432"/>
  <c r="F133" i="432"/>
  <c r="D133" i="432"/>
  <c r="AA132" i="432"/>
  <c r="R132" i="432"/>
  <c r="K132" i="432"/>
  <c r="Z131" i="432"/>
  <c r="Y131" i="432"/>
  <c r="X131" i="432"/>
  <c r="W131" i="432"/>
  <c r="V131" i="432"/>
  <c r="U131" i="432"/>
  <c r="T131" i="432"/>
  <c r="S131" i="432"/>
  <c r="Q131" i="432"/>
  <c r="P131" i="432"/>
  <c r="O131" i="432"/>
  <c r="N131" i="432"/>
  <c r="M131" i="432"/>
  <c r="L131" i="432"/>
  <c r="J131" i="432"/>
  <c r="I131" i="432"/>
  <c r="H131" i="432"/>
  <c r="G131" i="432"/>
  <c r="F131" i="432"/>
  <c r="D131" i="432"/>
  <c r="Z130" i="432"/>
  <c r="Y130" i="432"/>
  <c r="X130" i="432"/>
  <c r="W130" i="432"/>
  <c r="V130" i="432"/>
  <c r="U130" i="432"/>
  <c r="T130" i="432"/>
  <c r="S130" i="432"/>
  <c r="Q130" i="432"/>
  <c r="P130" i="432"/>
  <c r="O130" i="432"/>
  <c r="N130" i="432"/>
  <c r="M130" i="432"/>
  <c r="L130" i="432"/>
  <c r="J130" i="432"/>
  <c r="I130" i="432"/>
  <c r="H130" i="432"/>
  <c r="G130" i="432"/>
  <c r="F130" i="432"/>
  <c r="D130" i="432"/>
  <c r="Z129" i="432"/>
  <c r="Y129" i="432"/>
  <c r="X129" i="432"/>
  <c r="W129" i="432"/>
  <c r="V129" i="432"/>
  <c r="U129" i="432"/>
  <c r="T129" i="432"/>
  <c r="S129" i="432"/>
  <c r="Q129" i="432"/>
  <c r="P129" i="432"/>
  <c r="O129" i="432"/>
  <c r="N129" i="432"/>
  <c r="M129" i="432"/>
  <c r="L129" i="432"/>
  <c r="J129" i="432"/>
  <c r="I129" i="432"/>
  <c r="H129" i="432"/>
  <c r="G129" i="432"/>
  <c r="F129" i="432"/>
  <c r="D129" i="432"/>
  <c r="Z128" i="432"/>
  <c r="Y128" i="432"/>
  <c r="X128" i="432"/>
  <c r="W128" i="432"/>
  <c r="V128" i="432"/>
  <c r="U128" i="432"/>
  <c r="T128" i="432"/>
  <c r="S128" i="432"/>
  <c r="Q128" i="432"/>
  <c r="P128" i="432"/>
  <c r="O128" i="432"/>
  <c r="N128" i="432"/>
  <c r="M128" i="432"/>
  <c r="L128" i="432"/>
  <c r="J128" i="432"/>
  <c r="I128" i="432"/>
  <c r="H128" i="432"/>
  <c r="G128" i="432"/>
  <c r="F128" i="432"/>
  <c r="D128" i="432"/>
  <c r="Z127" i="432"/>
  <c r="Y127" i="432"/>
  <c r="X127" i="432"/>
  <c r="W127" i="432"/>
  <c r="V127" i="432"/>
  <c r="U127" i="432"/>
  <c r="T127" i="432"/>
  <c r="S127" i="432"/>
  <c r="Q127" i="432"/>
  <c r="P127" i="432"/>
  <c r="O127" i="432"/>
  <c r="N127" i="432"/>
  <c r="M127" i="432"/>
  <c r="L127" i="432"/>
  <c r="J127" i="432"/>
  <c r="I127" i="432"/>
  <c r="H127" i="432"/>
  <c r="G127" i="432"/>
  <c r="F127" i="432"/>
  <c r="D127" i="432"/>
  <c r="AA126" i="432"/>
  <c r="R126" i="432"/>
  <c r="AB126" i="432" s="1"/>
  <c r="Z125" i="432"/>
  <c r="Y125" i="432"/>
  <c r="X125" i="432"/>
  <c r="W125" i="432"/>
  <c r="V125" i="432"/>
  <c r="U125" i="432"/>
  <c r="T125" i="432"/>
  <c r="S125" i="432"/>
  <c r="Q125" i="432"/>
  <c r="P125" i="432"/>
  <c r="O125" i="432"/>
  <c r="N125" i="432"/>
  <c r="M125" i="432"/>
  <c r="L125" i="432"/>
  <c r="J125" i="432"/>
  <c r="I125" i="432"/>
  <c r="H125" i="432"/>
  <c r="G125" i="432"/>
  <c r="F125" i="432"/>
  <c r="D125" i="432"/>
  <c r="Z124" i="432"/>
  <c r="Y124" i="432"/>
  <c r="X124" i="432"/>
  <c r="W124" i="432"/>
  <c r="V124" i="432"/>
  <c r="U124" i="432"/>
  <c r="T124" i="432"/>
  <c r="S124" i="432"/>
  <c r="Q124" i="432"/>
  <c r="P124" i="432"/>
  <c r="O124" i="432"/>
  <c r="N124" i="432"/>
  <c r="M124" i="432"/>
  <c r="L124" i="432"/>
  <c r="J124" i="432"/>
  <c r="I124" i="432"/>
  <c r="H124" i="432"/>
  <c r="G124" i="432"/>
  <c r="F124" i="432"/>
  <c r="D124" i="432"/>
  <c r="AA123" i="432"/>
  <c r="R123" i="432"/>
  <c r="K123" i="432"/>
  <c r="Z122" i="432"/>
  <c r="Y122" i="432"/>
  <c r="X122" i="432"/>
  <c r="W122" i="432"/>
  <c r="V122" i="432"/>
  <c r="U122" i="432"/>
  <c r="T122" i="432"/>
  <c r="S122" i="432"/>
  <c r="Q122" i="432"/>
  <c r="P122" i="432"/>
  <c r="O122" i="432"/>
  <c r="N122" i="432"/>
  <c r="M122" i="432"/>
  <c r="L122" i="432"/>
  <c r="J122" i="432"/>
  <c r="I122" i="432"/>
  <c r="H122" i="432"/>
  <c r="G122" i="432"/>
  <c r="F122" i="432"/>
  <c r="D122" i="432"/>
  <c r="Z121" i="432"/>
  <c r="Y121" i="432"/>
  <c r="X121" i="432"/>
  <c r="W121" i="432"/>
  <c r="V121" i="432"/>
  <c r="U121" i="432"/>
  <c r="T121" i="432"/>
  <c r="S121" i="432"/>
  <c r="Q121" i="432"/>
  <c r="P121" i="432"/>
  <c r="O121" i="432"/>
  <c r="N121" i="432"/>
  <c r="M121" i="432"/>
  <c r="L121" i="432"/>
  <c r="J121" i="432"/>
  <c r="I121" i="432"/>
  <c r="H121" i="432"/>
  <c r="G121" i="432"/>
  <c r="F121" i="432"/>
  <c r="D121" i="432"/>
  <c r="Z120" i="432"/>
  <c r="Y120" i="432"/>
  <c r="X120" i="432"/>
  <c r="W120" i="432"/>
  <c r="V120" i="432"/>
  <c r="U120" i="432"/>
  <c r="T120" i="432"/>
  <c r="S120" i="432"/>
  <c r="Q120" i="432"/>
  <c r="P120" i="432"/>
  <c r="O120" i="432"/>
  <c r="N120" i="432"/>
  <c r="M120" i="432"/>
  <c r="L120" i="432"/>
  <c r="J120" i="432"/>
  <c r="I120" i="432"/>
  <c r="H120" i="432"/>
  <c r="G120" i="432"/>
  <c r="F120" i="432"/>
  <c r="D120" i="432"/>
  <c r="Z119" i="432"/>
  <c r="Y119" i="432"/>
  <c r="X119" i="432"/>
  <c r="W119" i="432"/>
  <c r="V119" i="432"/>
  <c r="U119" i="432"/>
  <c r="T119" i="432"/>
  <c r="S119" i="432"/>
  <c r="Q119" i="432"/>
  <c r="P119" i="432"/>
  <c r="O119" i="432"/>
  <c r="N119" i="432"/>
  <c r="M119" i="432"/>
  <c r="L119" i="432"/>
  <c r="J119" i="432"/>
  <c r="I119" i="432"/>
  <c r="H119" i="432"/>
  <c r="G119" i="432"/>
  <c r="F119" i="432"/>
  <c r="D119" i="432"/>
  <c r="AA118" i="432"/>
  <c r="R118" i="432"/>
  <c r="Z117" i="432"/>
  <c r="X117" i="432"/>
  <c r="W117" i="432"/>
  <c r="V117" i="432"/>
  <c r="U117" i="432"/>
  <c r="T117" i="432"/>
  <c r="S117" i="432"/>
  <c r="Q117" i="432"/>
  <c r="P117" i="432"/>
  <c r="O117" i="432"/>
  <c r="N117" i="432"/>
  <c r="M117" i="432"/>
  <c r="L117" i="432"/>
  <c r="J117" i="432"/>
  <c r="I117" i="432"/>
  <c r="H117" i="432"/>
  <c r="G117" i="432"/>
  <c r="F117" i="432"/>
  <c r="D117" i="432"/>
  <c r="AA116" i="432"/>
  <c r="Y116" i="432"/>
  <c r="Y117" i="432" s="1"/>
  <c r="R116" i="432"/>
  <c r="K116" i="432"/>
  <c r="Z115" i="432"/>
  <c r="Y115" i="432"/>
  <c r="X115" i="432"/>
  <c r="W115" i="432"/>
  <c r="V115" i="432"/>
  <c r="U115" i="432"/>
  <c r="T115" i="432"/>
  <c r="S115" i="432"/>
  <c r="Q115" i="432"/>
  <c r="P115" i="432"/>
  <c r="O115" i="432"/>
  <c r="N115" i="432"/>
  <c r="M115" i="432"/>
  <c r="L115" i="432"/>
  <c r="J115" i="432"/>
  <c r="I115" i="432"/>
  <c r="H115" i="432"/>
  <c r="G115" i="432"/>
  <c r="F115" i="432"/>
  <c r="D115" i="432"/>
  <c r="Z114" i="432"/>
  <c r="Y114" i="432"/>
  <c r="X114" i="432"/>
  <c r="W114" i="432"/>
  <c r="V114" i="432"/>
  <c r="U114" i="432"/>
  <c r="T114" i="432"/>
  <c r="S114" i="432"/>
  <c r="Q114" i="432"/>
  <c r="P114" i="432"/>
  <c r="O114" i="432"/>
  <c r="N114" i="432"/>
  <c r="M114" i="432"/>
  <c r="L114" i="432"/>
  <c r="J114" i="432"/>
  <c r="I114" i="432"/>
  <c r="H114" i="432"/>
  <c r="G114" i="432"/>
  <c r="F114" i="432"/>
  <c r="D114" i="432"/>
  <c r="Z113" i="432"/>
  <c r="Y113" i="432"/>
  <c r="X113" i="432"/>
  <c r="W113" i="432"/>
  <c r="V113" i="432"/>
  <c r="U113" i="432"/>
  <c r="T113" i="432"/>
  <c r="S113" i="432"/>
  <c r="Q113" i="432"/>
  <c r="P113" i="432"/>
  <c r="O113" i="432"/>
  <c r="N113" i="432"/>
  <c r="M113" i="432"/>
  <c r="L113" i="432"/>
  <c r="J113" i="432"/>
  <c r="I113" i="432"/>
  <c r="H113" i="432"/>
  <c r="G113" i="432"/>
  <c r="F113" i="432"/>
  <c r="D113" i="432"/>
  <c r="Z112" i="432"/>
  <c r="Y112" i="432"/>
  <c r="X112" i="432"/>
  <c r="W112" i="432"/>
  <c r="V112" i="432"/>
  <c r="U112" i="432"/>
  <c r="T112" i="432"/>
  <c r="S112" i="432"/>
  <c r="Q112" i="432"/>
  <c r="P112" i="432"/>
  <c r="O112" i="432"/>
  <c r="N112" i="432"/>
  <c r="M112" i="432"/>
  <c r="L112" i="432"/>
  <c r="J112" i="432"/>
  <c r="I112" i="432"/>
  <c r="H112" i="432"/>
  <c r="G112" i="432"/>
  <c r="F112" i="432"/>
  <c r="D112" i="432"/>
  <c r="Z111" i="432"/>
  <c r="Y111" i="432"/>
  <c r="X111" i="432"/>
  <c r="W111" i="432"/>
  <c r="V111" i="432"/>
  <c r="U111" i="432"/>
  <c r="T111" i="432"/>
  <c r="S111" i="432"/>
  <c r="Q111" i="432"/>
  <c r="P111" i="432"/>
  <c r="O111" i="432"/>
  <c r="N111" i="432"/>
  <c r="M111" i="432"/>
  <c r="L111" i="432"/>
  <c r="J111" i="432"/>
  <c r="I111" i="432"/>
  <c r="H111" i="432"/>
  <c r="G111" i="432"/>
  <c r="F111" i="432"/>
  <c r="D111" i="432"/>
  <c r="Z110" i="432"/>
  <c r="Y110" i="432"/>
  <c r="X110" i="432"/>
  <c r="W110" i="432"/>
  <c r="V110" i="432"/>
  <c r="U110" i="432"/>
  <c r="T110" i="432"/>
  <c r="S110" i="432"/>
  <c r="Q110" i="432"/>
  <c r="P110" i="432"/>
  <c r="O110" i="432"/>
  <c r="N110" i="432"/>
  <c r="M110" i="432"/>
  <c r="L110" i="432"/>
  <c r="J110" i="432"/>
  <c r="I110" i="432"/>
  <c r="H110" i="432"/>
  <c r="G110" i="432"/>
  <c r="F110" i="432"/>
  <c r="D110" i="432"/>
  <c r="AA109" i="432"/>
  <c r="R109" i="432"/>
  <c r="Z108" i="432"/>
  <c r="Y108" i="432"/>
  <c r="X108" i="432"/>
  <c r="W108" i="432"/>
  <c r="V108" i="432"/>
  <c r="U108" i="432"/>
  <c r="T108" i="432"/>
  <c r="S108" i="432"/>
  <c r="Q108" i="432"/>
  <c r="P108" i="432"/>
  <c r="O108" i="432"/>
  <c r="N108" i="432"/>
  <c r="M108" i="432"/>
  <c r="L108" i="432"/>
  <c r="J108" i="432"/>
  <c r="I108" i="432"/>
  <c r="H108" i="432"/>
  <c r="G108" i="432"/>
  <c r="F108" i="432"/>
  <c r="D108" i="432"/>
  <c r="Z107" i="432"/>
  <c r="Y107" i="432"/>
  <c r="X107" i="432"/>
  <c r="W107" i="432"/>
  <c r="V107" i="432"/>
  <c r="U107" i="432"/>
  <c r="T107" i="432"/>
  <c r="S107" i="432"/>
  <c r="Q107" i="432"/>
  <c r="P107" i="432"/>
  <c r="O107" i="432"/>
  <c r="N107" i="432"/>
  <c r="M107" i="432"/>
  <c r="L107" i="432"/>
  <c r="J107" i="432"/>
  <c r="I107" i="432"/>
  <c r="H107" i="432"/>
  <c r="G107" i="432"/>
  <c r="F107" i="432"/>
  <c r="D107" i="432"/>
  <c r="Z106" i="432"/>
  <c r="Y106" i="432"/>
  <c r="X106" i="432"/>
  <c r="W106" i="432"/>
  <c r="V106" i="432"/>
  <c r="U106" i="432"/>
  <c r="T106" i="432"/>
  <c r="S106" i="432"/>
  <c r="Q106" i="432"/>
  <c r="P106" i="432"/>
  <c r="O106" i="432"/>
  <c r="N106" i="432"/>
  <c r="M106" i="432"/>
  <c r="L106" i="432"/>
  <c r="J106" i="432"/>
  <c r="I106" i="432"/>
  <c r="H106" i="432"/>
  <c r="G106" i="432"/>
  <c r="F106" i="432"/>
  <c r="D106" i="432"/>
  <c r="Z105" i="432"/>
  <c r="Y105" i="432"/>
  <c r="X105" i="432"/>
  <c r="W105" i="432"/>
  <c r="V105" i="432"/>
  <c r="U105" i="432"/>
  <c r="T105" i="432"/>
  <c r="S105" i="432"/>
  <c r="Q105" i="432"/>
  <c r="P105" i="432"/>
  <c r="O105" i="432"/>
  <c r="N105" i="432"/>
  <c r="M105" i="432"/>
  <c r="L105" i="432"/>
  <c r="J105" i="432"/>
  <c r="I105" i="432"/>
  <c r="H105" i="432"/>
  <c r="G105" i="432"/>
  <c r="F105" i="432"/>
  <c r="D105" i="432"/>
  <c r="Z104" i="432"/>
  <c r="Y104" i="432"/>
  <c r="X104" i="432"/>
  <c r="W104" i="432"/>
  <c r="V104" i="432"/>
  <c r="U104" i="432"/>
  <c r="T104" i="432"/>
  <c r="S104" i="432"/>
  <c r="Q104" i="432"/>
  <c r="P104" i="432"/>
  <c r="O104" i="432"/>
  <c r="N104" i="432"/>
  <c r="M104" i="432"/>
  <c r="L104" i="432"/>
  <c r="J104" i="432"/>
  <c r="I104" i="432"/>
  <c r="H104" i="432"/>
  <c r="G104" i="432"/>
  <c r="F104" i="432"/>
  <c r="D104" i="432"/>
  <c r="Z103" i="432"/>
  <c r="Y103" i="432"/>
  <c r="X103" i="432"/>
  <c r="W103" i="432"/>
  <c r="V103" i="432"/>
  <c r="U103" i="432"/>
  <c r="T103" i="432"/>
  <c r="S103" i="432"/>
  <c r="Q103" i="432"/>
  <c r="P103" i="432"/>
  <c r="O103" i="432"/>
  <c r="N103" i="432"/>
  <c r="M103" i="432"/>
  <c r="L103" i="432"/>
  <c r="J103" i="432"/>
  <c r="I103" i="432"/>
  <c r="H103" i="432"/>
  <c r="G103" i="432"/>
  <c r="F103" i="432"/>
  <c r="D103" i="432"/>
  <c r="AA102" i="432"/>
  <c r="R102" i="432"/>
  <c r="Z101" i="432"/>
  <c r="Y101" i="432"/>
  <c r="X101" i="432"/>
  <c r="W101" i="432"/>
  <c r="V101" i="432"/>
  <c r="U101" i="432"/>
  <c r="T101" i="432"/>
  <c r="S101" i="432"/>
  <c r="Q101" i="432"/>
  <c r="P101" i="432"/>
  <c r="O101" i="432"/>
  <c r="N101" i="432"/>
  <c r="M101" i="432"/>
  <c r="L101" i="432"/>
  <c r="J101" i="432"/>
  <c r="I101" i="432"/>
  <c r="H101" i="432"/>
  <c r="G101" i="432"/>
  <c r="F101" i="432"/>
  <c r="D101" i="432"/>
  <c r="Z100" i="432"/>
  <c r="Y100" i="432"/>
  <c r="X100" i="432"/>
  <c r="W100" i="432"/>
  <c r="V100" i="432"/>
  <c r="U100" i="432"/>
  <c r="T100" i="432"/>
  <c r="S100" i="432"/>
  <c r="Q100" i="432"/>
  <c r="P100" i="432"/>
  <c r="O100" i="432"/>
  <c r="N100" i="432"/>
  <c r="M100" i="432"/>
  <c r="L100" i="432"/>
  <c r="J100" i="432"/>
  <c r="I100" i="432"/>
  <c r="H100" i="432"/>
  <c r="G100" i="432"/>
  <c r="F100" i="432"/>
  <c r="D100" i="432"/>
  <c r="Z99" i="432"/>
  <c r="Y99" i="432"/>
  <c r="X99" i="432"/>
  <c r="W99" i="432"/>
  <c r="V99" i="432"/>
  <c r="U99" i="432"/>
  <c r="T99" i="432"/>
  <c r="S99" i="432"/>
  <c r="Q99" i="432"/>
  <c r="P99" i="432"/>
  <c r="O99" i="432"/>
  <c r="N99" i="432"/>
  <c r="M99" i="432"/>
  <c r="L99" i="432"/>
  <c r="J99" i="432"/>
  <c r="I99" i="432"/>
  <c r="H99" i="432"/>
  <c r="G99" i="432"/>
  <c r="F99" i="432"/>
  <c r="D99" i="432"/>
  <c r="Z98" i="432"/>
  <c r="Y98" i="432"/>
  <c r="X98" i="432"/>
  <c r="W98" i="432"/>
  <c r="V98" i="432"/>
  <c r="U98" i="432"/>
  <c r="T98" i="432"/>
  <c r="S98" i="432"/>
  <c r="Q98" i="432"/>
  <c r="P98" i="432"/>
  <c r="O98" i="432"/>
  <c r="N98" i="432"/>
  <c r="M98" i="432"/>
  <c r="L98" i="432"/>
  <c r="J98" i="432"/>
  <c r="I98" i="432"/>
  <c r="H98" i="432"/>
  <c r="G98" i="432"/>
  <c r="F98" i="432"/>
  <c r="D98" i="432"/>
  <c r="Z97" i="432"/>
  <c r="Y97" i="432"/>
  <c r="X97" i="432"/>
  <c r="W97" i="432"/>
  <c r="V97" i="432"/>
  <c r="U97" i="432"/>
  <c r="T97" i="432"/>
  <c r="S97" i="432"/>
  <c r="Q97" i="432"/>
  <c r="P97" i="432"/>
  <c r="O97" i="432"/>
  <c r="N97" i="432"/>
  <c r="M97" i="432"/>
  <c r="L97" i="432"/>
  <c r="J97" i="432"/>
  <c r="I97" i="432"/>
  <c r="H97" i="432"/>
  <c r="G97" i="432"/>
  <c r="F97" i="432"/>
  <c r="D97" i="432"/>
  <c r="Z96" i="432"/>
  <c r="Y96" i="432"/>
  <c r="X96" i="432"/>
  <c r="W96" i="432"/>
  <c r="V96" i="432"/>
  <c r="U96" i="432"/>
  <c r="T96" i="432"/>
  <c r="S96" i="432"/>
  <c r="Q96" i="432"/>
  <c r="P96" i="432"/>
  <c r="O96" i="432"/>
  <c r="N96" i="432"/>
  <c r="M96" i="432"/>
  <c r="L96" i="432"/>
  <c r="J96" i="432"/>
  <c r="I96" i="432"/>
  <c r="H96" i="432"/>
  <c r="G96" i="432"/>
  <c r="F96" i="432"/>
  <c r="D96" i="432"/>
  <c r="AA95" i="432"/>
  <c r="R95" i="432"/>
  <c r="K95" i="432"/>
  <c r="Z94" i="432"/>
  <c r="Z93" i="432" s="1"/>
  <c r="Y94" i="432"/>
  <c r="Y93" i="432" s="1"/>
  <c r="X94" i="432"/>
  <c r="X93" i="432" s="1"/>
  <c r="W94" i="432"/>
  <c r="W93" i="432" s="1"/>
  <c r="V94" i="432"/>
  <c r="V93" i="432" s="1"/>
  <c r="U94" i="432"/>
  <c r="U93" i="432" s="1"/>
  <c r="T94" i="432"/>
  <c r="T93" i="432" s="1"/>
  <c r="S94" i="432"/>
  <c r="Q94" i="432"/>
  <c r="Q93" i="432" s="1"/>
  <c r="P94" i="432"/>
  <c r="P93" i="432" s="1"/>
  <c r="O94" i="432"/>
  <c r="N94" i="432"/>
  <c r="N93" i="432" s="1"/>
  <c r="M94" i="432"/>
  <c r="M93" i="432" s="1"/>
  <c r="L94" i="432"/>
  <c r="L93" i="432" s="1"/>
  <c r="J94" i="432"/>
  <c r="J93" i="432" s="1"/>
  <c r="I94" i="432"/>
  <c r="I93" i="432" s="1"/>
  <c r="H94" i="432"/>
  <c r="H93" i="432" s="1"/>
  <c r="G94" i="432"/>
  <c r="G93" i="432" s="1"/>
  <c r="F94" i="432"/>
  <c r="F93" i="432" s="1"/>
  <c r="D94" i="432"/>
  <c r="O93" i="432"/>
  <c r="D93" i="432"/>
  <c r="Z92" i="432"/>
  <c r="Y92" i="432"/>
  <c r="X92" i="432"/>
  <c r="W92" i="432"/>
  <c r="V92" i="432"/>
  <c r="U92" i="432"/>
  <c r="T92" i="432"/>
  <c r="S92" i="432"/>
  <c r="Q92" i="432"/>
  <c r="P92" i="432"/>
  <c r="O92" i="432"/>
  <c r="N92" i="432"/>
  <c r="M92" i="432"/>
  <c r="L92" i="432"/>
  <c r="J92" i="432"/>
  <c r="I92" i="432"/>
  <c r="H92" i="432"/>
  <c r="G92" i="432"/>
  <c r="F92" i="432"/>
  <c r="D92" i="432"/>
  <c r="Z91" i="432"/>
  <c r="Y91" i="432"/>
  <c r="X91" i="432"/>
  <c r="W91" i="432"/>
  <c r="V91" i="432"/>
  <c r="U91" i="432"/>
  <c r="T91" i="432"/>
  <c r="S91" i="432"/>
  <c r="Q91" i="432"/>
  <c r="P91" i="432"/>
  <c r="O91" i="432"/>
  <c r="N91" i="432"/>
  <c r="M91" i="432"/>
  <c r="L91" i="432"/>
  <c r="J91" i="432"/>
  <c r="I91" i="432"/>
  <c r="H91" i="432"/>
  <c r="G91" i="432"/>
  <c r="F91" i="432"/>
  <c r="D91" i="432"/>
  <c r="Z90" i="432"/>
  <c r="Y90" i="432"/>
  <c r="X90" i="432"/>
  <c r="W90" i="432"/>
  <c r="V90" i="432"/>
  <c r="U90" i="432"/>
  <c r="T90" i="432"/>
  <c r="S90" i="432"/>
  <c r="Q90" i="432"/>
  <c r="P90" i="432"/>
  <c r="O90" i="432"/>
  <c r="N90" i="432"/>
  <c r="M90" i="432"/>
  <c r="L90" i="432"/>
  <c r="J90" i="432"/>
  <c r="I90" i="432"/>
  <c r="H90" i="432"/>
  <c r="G90" i="432"/>
  <c r="F90" i="432"/>
  <c r="D90" i="432"/>
  <c r="Z89" i="432"/>
  <c r="Y89" i="432"/>
  <c r="X89" i="432"/>
  <c r="W89" i="432"/>
  <c r="V89" i="432"/>
  <c r="U89" i="432"/>
  <c r="T89" i="432"/>
  <c r="S89" i="432"/>
  <c r="Q89" i="432"/>
  <c r="P89" i="432"/>
  <c r="O89" i="432"/>
  <c r="N89" i="432"/>
  <c r="M89" i="432"/>
  <c r="L89" i="432"/>
  <c r="J89" i="432"/>
  <c r="I89" i="432"/>
  <c r="H89" i="432"/>
  <c r="G89" i="432"/>
  <c r="F89" i="432"/>
  <c r="D89" i="432"/>
  <c r="Z88" i="432"/>
  <c r="Y88" i="432"/>
  <c r="X88" i="432"/>
  <c r="W88" i="432"/>
  <c r="V88" i="432"/>
  <c r="U88" i="432"/>
  <c r="T88" i="432"/>
  <c r="S88" i="432"/>
  <c r="Q88" i="432"/>
  <c r="P88" i="432"/>
  <c r="O88" i="432"/>
  <c r="N88" i="432"/>
  <c r="M88" i="432"/>
  <c r="L88" i="432"/>
  <c r="J88" i="432"/>
  <c r="I88" i="432"/>
  <c r="H88" i="432"/>
  <c r="G88" i="432"/>
  <c r="F88" i="432"/>
  <c r="D88" i="432"/>
  <c r="AA87" i="432"/>
  <c r="R87" i="432"/>
  <c r="K87" i="432"/>
  <c r="Z86" i="432"/>
  <c r="Y86" i="432"/>
  <c r="X86" i="432"/>
  <c r="W86" i="432"/>
  <c r="V86" i="432"/>
  <c r="U86" i="432"/>
  <c r="T86" i="432"/>
  <c r="Q86" i="432"/>
  <c r="P86" i="432"/>
  <c r="O86" i="432"/>
  <c r="N86" i="432"/>
  <c r="M86" i="432"/>
  <c r="L86" i="432"/>
  <c r="J86" i="432"/>
  <c r="I86" i="432"/>
  <c r="H86" i="432"/>
  <c r="F86" i="432"/>
  <c r="Z85" i="432"/>
  <c r="Y85" i="432"/>
  <c r="X85" i="432"/>
  <c r="W85" i="432"/>
  <c r="V85" i="432"/>
  <c r="U85" i="432"/>
  <c r="T85" i="432"/>
  <c r="Q85" i="432"/>
  <c r="P85" i="432"/>
  <c r="O85" i="432"/>
  <c r="N85" i="432"/>
  <c r="M85" i="432"/>
  <c r="L85" i="432"/>
  <c r="J85" i="432"/>
  <c r="I85" i="432"/>
  <c r="H85" i="432"/>
  <c r="F85" i="432"/>
  <c r="Z84" i="432"/>
  <c r="Y84" i="432"/>
  <c r="X84" i="432"/>
  <c r="W84" i="432"/>
  <c r="V84" i="432"/>
  <c r="U84" i="432"/>
  <c r="T84" i="432"/>
  <c r="Q84" i="432"/>
  <c r="P84" i="432"/>
  <c r="O84" i="432"/>
  <c r="N84" i="432"/>
  <c r="R84" i="432" s="1"/>
  <c r="M84" i="432"/>
  <c r="L84" i="432"/>
  <c r="J84" i="432"/>
  <c r="I84" i="432"/>
  <c r="H84" i="432"/>
  <c r="F84" i="432"/>
  <c r="Z83" i="432"/>
  <c r="Y83" i="432"/>
  <c r="X83" i="432"/>
  <c r="W83" i="432"/>
  <c r="V83" i="432"/>
  <c r="U83" i="432"/>
  <c r="T83" i="432"/>
  <c r="Q83" i="432"/>
  <c r="P83" i="432"/>
  <c r="O83" i="432"/>
  <c r="N83" i="432"/>
  <c r="M83" i="432"/>
  <c r="L83" i="432"/>
  <c r="L80" i="432" s="1"/>
  <c r="J83" i="432"/>
  <c r="I83" i="432"/>
  <c r="H83" i="432"/>
  <c r="F83" i="432"/>
  <c r="AA82" i="432"/>
  <c r="R82" i="432"/>
  <c r="Z81" i="432"/>
  <c r="Y81" i="432"/>
  <c r="X81" i="432"/>
  <c r="W81" i="432"/>
  <c r="V81" i="432"/>
  <c r="U81" i="432"/>
  <c r="T81" i="432"/>
  <c r="Q81" i="432"/>
  <c r="Q80" i="432" s="1"/>
  <c r="P81" i="432"/>
  <c r="O81" i="432"/>
  <c r="O80" i="432" s="1"/>
  <c r="O79" i="432" s="1"/>
  <c r="N81" i="432"/>
  <c r="M81" i="432"/>
  <c r="L81" i="432"/>
  <c r="J81" i="432"/>
  <c r="I81" i="432"/>
  <c r="H81" i="432"/>
  <c r="F81" i="432"/>
  <c r="P80" i="432"/>
  <c r="P79" i="432" s="1"/>
  <c r="G80" i="432"/>
  <c r="D80" i="432"/>
  <c r="K80" i="432" s="1"/>
  <c r="Z79" i="432"/>
  <c r="Y79" i="432"/>
  <c r="X79" i="432"/>
  <c r="W79" i="432"/>
  <c r="V79" i="432"/>
  <c r="U79" i="432"/>
  <c r="T79" i="432"/>
  <c r="J79" i="432"/>
  <c r="I79" i="432"/>
  <c r="H79" i="432"/>
  <c r="G79" i="432"/>
  <c r="F79" i="432"/>
  <c r="Z78" i="432"/>
  <c r="Y78" i="432"/>
  <c r="X78" i="432"/>
  <c r="W78" i="432"/>
  <c r="V78" i="432"/>
  <c r="U78" i="432"/>
  <c r="T78" i="432"/>
  <c r="S78" i="432"/>
  <c r="Q78" i="432"/>
  <c r="P78" i="432"/>
  <c r="O78" i="432"/>
  <c r="N78" i="432"/>
  <c r="M78" i="432"/>
  <c r="L78" i="432"/>
  <c r="J78" i="432"/>
  <c r="I78" i="432"/>
  <c r="H78" i="432"/>
  <c r="G78" i="432"/>
  <c r="F78" i="432"/>
  <c r="D78" i="432"/>
  <c r="Z77" i="432"/>
  <c r="Y77" i="432"/>
  <c r="X77" i="432"/>
  <c r="W77" i="432"/>
  <c r="V77" i="432"/>
  <c r="U77" i="432"/>
  <c r="T77" i="432"/>
  <c r="S77" i="432"/>
  <c r="Q77" i="432"/>
  <c r="P77" i="432"/>
  <c r="O77" i="432"/>
  <c r="N77" i="432"/>
  <c r="M77" i="432"/>
  <c r="L77" i="432"/>
  <c r="J77" i="432"/>
  <c r="I77" i="432"/>
  <c r="H77" i="432"/>
  <c r="G77" i="432"/>
  <c r="F77" i="432"/>
  <c r="D77" i="432"/>
  <c r="K77" i="432" s="1"/>
  <c r="Z76" i="432"/>
  <c r="Y76" i="432"/>
  <c r="X76" i="432"/>
  <c r="W76" i="432"/>
  <c r="V76" i="432"/>
  <c r="U76" i="432"/>
  <c r="T76" i="432"/>
  <c r="S76" i="432"/>
  <c r="Q76" i="432"/>
  <c r="P76" i="432"/>
  <c r="O76" i="432"/>
  <c r="N76" i="432"/>
  <c r="M76" i="432"/>
  <c r="L76" i="432"/>
  <c r="J76" i="432"/>
  <c r="I76" i="432"/>
  <c r="H76" i="432"/>
  <c r="G76" i="432"/>
  <c r="F76" i="432"/>
  <c r="D76" i="432"/>
  <c r="Z75" i="432"/>
  <c r="Y75" i="432"/>
  <c r="X75" i="432"/>
  <c r="W75" i="432"/>
  <c r="V75" i="432"/>
  <c r="U75" i="432"/>
  <c r="T75" i="432"/>
  <c r="S75" i="432"/>
  <c r="Q75" i="432"/>
  <c r="P75" i="432"/>
  <c r="O75" i="432"/>
  <c r="N75" i="432"/>
  <c r="M75" i="432"/>
  <c r="L75" i="432"/>
  <c r="J75" i="432"/>
  <c r="I75" i="432"/>
  <c r="H75" i="432"/>
  <c r="G75" i="432"/>
  <c r="F75" i="432"/>
  <c r="D75" i="432"/>
  <c r="Z74" i="432"/>
  <c r="Y74" i="432"/>
  <c r="X74" i="432"/>
  <c r="W74" i="432"/>
  <c r="V74" i="432"/>
  <c r="U74" i="432"/>
  <c r="T74" i="432"/>
  <c r="S74" i="432"/>
  <c r="Q74" i="432"/>
  <c r="P74" i="432"/>
  <c r="O74" i="432"/>
  <c r="N74" i="432"/>
  <c r="M74" i="432"/>
  <c r="L74" i="432"/>
  <c r="J74" i="432"/>
  <c r="I74" i="432"/>
  <c r="H74" i="432"/>
  <c r="G74" i="432"/>
  <c r="F74" i="432"/>
  <c r="D74" i="432"/>
  <c r="AA73" i="432"/>
  <c r="R73" i="432"/>
  <c r="K73" i="432"/>
  <c r="Z72" i="432"/>
  <c r="Y72" i="432"/>
  <c r="X72" i="432"/>
  <c r="W72" i="432"/>
  <c r="V72" i="432"/>
  <c r="U72" i="432"/>
  <c r="T72" i="432"/>
  <c r="S72" i="432"/>
  <c r="Q72" i="432"/>
  <c r="P72" i="432"/>
  <c r="O72" i="432"/>
  <c r="N72" i="432"/>
  <c r="M72" i="432"/>
  <c r="L72" i="432"/>
  <c r="J72" i="432"/>
  <c r="I72" i="432"/>
  <c r="H72" i="432"/>
  <c r="G72" i="432"/>
  <c r="F72" i="432"/>
  <c r="D72" i="432"/>
  <c r="Z71" i="432"/>
  <c r="Y71" i="432"/>
  <c r="X71" i="432"/>
  <c r="W71" i="432"/>
  <c r="V71" i="432"/>
  <c r="U71" i="432"/>
  <c r="T71" i="432"/>
  <c r="S71" i="432"/>
  <c r="Q71" i="432"/>
  <c r="P71" i="432"/>
  <c r="O71" i="432"/>
  <c r="N71" i="432"/>
  <c r="M71" i="432"/>
  <c r="L71" i="432"/>
  <c r="J71" i="432"/>
  <c r="I71" i="432"/>
  <c r="H71" i="432"/>
  <c r="G71" i="432"/>
  <c r="F71" i="432"/>
  <c r="D71" i="432"/>
  <c r="Z70" i="432"/>
  <c r="Y70" i="432"/>
  <c r="X70" i="432"/>
  <c r="W70" i="432"/>
  <c r="V70" i="432"/>
  <c r="U70" i="432"/>
  <c r="T70" i="432"/>
  <c r="S70" i="432"/>
  <c r="Q70" i="432"/>
  <c r="P70" i="432"/>
  <c r="O70" i="432"/>
  <c r="N70" i="432"/>
  <c r="M70" i="432"/>
  <c r="L70" i="432"/>
  <c r="J70" i="432"/>
  <c r="I70" i="432"/>
  <c r="H70" i="432"/>
  <c r="G70" i="432"/>
  <c r="F70" i="432"/>
  <c r="D70" i="432"/>
  <c r="Z69" i="432"/>
  <c r="Y69" i="432"/>
  <c r="X69" i="432"/>
  <c r="W69" i="432"/>
  <c r="V69" i="432"/>
  <c r="U69" i="432"/>
  <c r="T69" i="432"/>
  <c r="S69" i="432"/>
  <c r="Q69" i="432"/>
  <c r="P69" i="432"/>
  <c r="O69" i="432"/>
  <c r="N69" i="432"/>
  <c r="M69" i="432"/>
  <c r="L69" i="432"/>
  <c r="J69" i="432"/>
  <c r="I69" i="432"/>
  <c r="H69" i="432"/>
  <c r="G69" i="432"/>
  <c r="F69" i="432"/>
  <c r="D69" i="432"/>
  <c r="Z68" i="432"/>
  <c r="Y68" i="432"/>
  <c r="X68" i="432"/>
  <c r="W68" i="432"/>
  <c r="V68" i="432"/>
  <c r="U68" i="432"/>
  <c r="T68" i="432"/>
  <c r="S68" i="432"/>
  <c r="Q68" i="432"/>
  <c r="P68" i="432"/>
  <c r="O68" i="432"/>
  <c r="N68" i="432"/>
  <c r="M68" i="432"/>
  <c r="L68" i="432"/>
  <c r="J68" i="432"/>
  <c r="I68" i="432"/>
  <c r="H68" i="432"/>
  <c r="G68" i="432"/>
  <c r="F68" i="432"/>
  <c r="D68" i="432"/>
  <c r="AA67" i="432"/>
  <c r="R67" i="432"/>
  <c r="K67" i="432"/>
  <c r="Z66" i="432"/>
  <c r="Y66" i="432"/>
  <c r="X66" i="432"/>
  <c r="W66" i="432"/>
  <c r="V66" i="432"/>
  <c r="U66" i="432"/>
  <c r="T66" i="432"/>
  <c r="S66" i="432"/>
  <c r="Q66" i="432"/>
  <c r="P66" i="432"/>
  <c r="O66" i="432"/>
  <c r="N66" i="432"/>
  <c r="M66" i="432"/>
  <c r="L66" i="432"/>
  <c r="J66" i="432"/>
  <c r="I66" i="432"/>
  <c r="H66" i="432"/>
  <c r="G66" i="432"/>
  <c r="F66" i="432"/>
  <c r="D66" i="432"/>
  <c r="Z65" i="432"/>
  <c r="Y65" i="432"/>
  <c r="X65" i="432"/>
  <c r="W65" i="432"/>
  <c r="V65" i="432"/>
  <c r="U65" i="432"/>
  <c r="T65" i="432"/>
  <c r="S65" i="432"/>
  <c r="Q65" i="432"/>
  <c r="P65" i="432"/>
  <c r="O65" i="432"/>
  <c r="N65" i="432"/>
  <c r="M65" i="432"/>
  <c r="L65" i="432"/>
  <c r="J65" i="432"/>
  <c r="I65" i="432"/>
  <c r="H65" i="432"/>
  <c r="G65" i="432"/>
  <c r="F65" i="432"/>
  <c r="D65" i="432"/>
  <c r="Z64" i="432"/>
  <c r="Y64" i="432"/>
  <c r="X64" i="432"/>
  <c r="W64" i="432"/>
  <c r="V64" i="432"/>
  <c r="U64" i="432"/>
  <c r="T64" i="432"/>
  <c r="S64" i="432"/>
  <c r="Q64" i="432"/>
  <c r="P64" i="432"/>
  <c r="O64" i="432"/>
  <c r="N64" i="432"/>
  <c r="M64" i="432"/>
  <c r="L64" i="432"/>
  <c r="J64" i="432"/>
  <c r="I64" i="432"/>
  <c r="H64" i="432"/>
  <c r="G64" i="432"/>
  <c r="F64" i="432"/>
  <c r="D64" i="432"/>
  <c r="Z63" i="432"/>
  <c r="Y63" i="432"/>
  <c r="X63" i="432"/>
  <c r="W63" i="432"/>
  <c r="V63" i="432"/>
  <c r="U63" i="432"/>
  <c r="T63" i="432"/>
  <c r="S63" i="432"/>
  <c r="Q63" i="432"/>
  <c r="P63" i="432"/>
  <c r="O63" i="432"/>
  <c r="N63" i="432"/>
  <c r="M63" i="432"/>
  <c r="L63" i="432"/>
  <c r="J63" i="432"/>
  <c r="I63" i="432"/>
  <c r="H63" i="432"/>
  <c r="G63" i="432"/>
  <c r="F63" i="432"/>
  <c r="D63" i="432"/>
  <c r="Z62" i="432"/>
  <c r="Y62" i="432"/>
  <c r="X62" i="432"/>
  <c r="W62" i="432"/>
  <c r="V62" i="432"/>
  <c r="U62" i="432"/>
  <c r="T62" i="432"/>
  <c r="S62" i="432"/>
  <c r="Q62" i="432"/>
  <c r="P62" i="432"/>
  <c r="O62" i="432"/>
  <c r="N62" i="432"/>
  <c r="M62" i="432"/>
  <c r="L62" i="432"/>
  <c r="J62" i="432"/>
  <c r="I62" i="432"/>
  <c r="H62" i="432"/>
  <c r="G62" i="432"/>
  <c r="F62" i="432"/>
  <c r="D62" i="432"/>
  <c r="Z61" i="432"/>
  <c r="Y61" i="432"/>
  <c r="X61" i="432"/>
  <c r="W61" i="432"/>
  <c r="V61" i="432"/>
  <c r="U61" i="432"/>
  <c r="T61" i="432"/>
  <c r="S61" i="432"/>
  <c r="Q61" i="432"/>
  <c r="P61" i="432"/>
  <c r="O61" i="432"/>
  <c r="N61" i="432"/>
  <c r="M61" i="432"/>
  <c r="L61" i="432"/>
  <c r="J61" i="432"/>
  <c r="I61" i="432"/>
  <c r="H61" i="432"/>
  <c r="G61" i="432"/>
  <c r="F61" i="432"/>
  <c r="D61" i="432"/>
  <c r="AA60" i="432"/>
  <c r="R60" i="432"/>
  <c r="K60" i="432"/>
  <c r="Z59" i="432"/>
  <c r="Y59" i="432"/>
  <c r="X59" i="432"/>
  <c r="W59" i="432"/>
  <c r="V59" i="432"/>
  <c r="U59" i="432"/>
  <c r="T59" i="432"/>
  <c r="S59" i="432"/>
  <c r="Q59" i="432"/>
  <c r="P59" i="432"/>
  <c r="O59" i="432"/>
  <c r="N59" i="432"/>
  <c r="M59" i="432"/>
  <c r="L59" i="432"/>
  <c r="J59" i="432"/>
  <c r="I59" i="432"/>
  <c r="H59" i="432"/>
  <c r="G59" i="432"/>
  <c r="F59" i="432"/>
  <c r="D59" i="432"/>
  <c r="Z58" i="432"/>
  <c r="Y58" i="432"/>
  <c r="X58" i="432"/>
  <c r="W58" i="432"/>
  <c r="V58" i="432"/>
  <c r="U58" i="432"/>
  <c r="T58" i="432"/>
  <c r="S58" i="432"/>
  <c r="Q58" i="432"/>
  <c r="P58" i="432"/>
  <c r="O58" i="432"/>
  <c r="N58" i="432"/>
  <c r="M58" i="432"/>
  <c r="L58" i="432"/>
  <c r="J58" i="432"/>
  <c r="I58" i="432"/>
  <c r="H58" i="432"/>
  <c r="G58" i="432"/>
  <c r="F58" i="432"/>
  <c r="D58" i="432"/>
  <c r="Z57" i="432"/>
  <c r="Y57" i="432"/>
  <c r="X57" i="432"/>
  <c r="W57" i="432"/>
  <c r="V57" i="432"/>
  <c r="U57" i="432"/>
  <c r="T57" i="432"/>
  <c r="S57" i="432"/>
  <c r="Q57" i="432"/>
  <c r="P57" i="432"/>
  <c r="O57" i="432"/>
  <c r="N57" i="432"/>
  <c r="M57" i="432"/>
  <c r="L57" i="432"/>
  <c r="J57" i="432"/>
  <c r="I57" i="432"/>
  <c r="H57" i="432"/>
  <c r="G57" i="432"/>
  <c r="F57" i="432"/>
  <c r="D57" i="432"/>
  <c r="Z56" i="432"/>
  <c r="Y56" i="432"/>
  <c r="X56" i="432"/>
  <c r="W56" i="432"/>
  <c r="V56" i="432"/>
  <c r="U56" i="432"/>
  <c r="T56" i="432"/>
  <c r="S56" i="432"/>
  <c r="Q56" i="432"/>
  <c r="P56" i="432"/>
  <c r="O56" i="432"/>
  <c r="N56" i="432"/>
  <c r="M56" i="432"/>
  <c r="L56" i="432"/>
  <c r="J56" i="432"/>
  <c r="I56" i="432"/>
  <c r="H56" i="432"/>
  <c r="G56" i="432"/>
  <c r="F56" i="432"/>
  <c r="D56" i="432"/>
  <c r="Z55" i="432"/>
  <c r="Y55" i="432"/>
  <c r="X55" i="432"/>
  <c r="W55" i="432"/>
  <c r="V55" i="432"/>
  <c r="U55" i="432"/>
  <c r="T55" i="432"/>
  <c r="S55" i="432"/>
  <c r="Q55" i="432"/>
  <c r="P55" i="432"/>
  <c r="O55" i="432"/>
  <c r="N55" i="432"/>
  <c r="M55" i="432"/>
  <c r="L55" i="432"/>
  <c r="J55" i="432"/>
  <c r="I55" i="432"/>
  <c r="H55" i="432"/>
  <c r="G55" i="432"/>
  <c r="F55" i="432"/>
  <c r="D55" i="432"/>
  <c r="AA54" i="432"/>
  <c r="R54" i="432"/>
  <c r="Z53" i="432"/>
  <c r="Y53" i="432"/>
  <c r="Y52" i="432" s="1"/>
  <c r="X53" i="432"/>
  <c r="W53" i="432"/>
  <c r="W52" i="432" s="1"/>
  <c r="V53" i="432"/>
  <c r="U53" i="432"/>
  <c r="U52" i="432" s="1"/>
  <c r="T53" i="432"/>
  <c r="S53" i="432"/>
  <c r="S52" i="432" s="1"/>
  <c r="Q53" i="432"/>
  <c r="P53" i="432"/>
  <c r="P52" i="432" s="1"/>
  <c r="O53" i="432"/>
  <c r="N53" i="432"/>
  <c r="N52" i="432" s="1"/>
  <c r="M53" i="432"/>
  <c r="L53" i="432"/>
  <c r="L52" i="432" s="1"/>
  <c r="J53" i="432"/>
  <c r="I53" i="432"/>
  <c r="I52" i="432" s="1"/>
  <c r="H53" i="432"/>
  <c r="G53" i="432"/>
  <c r="G52" i="432" s="1"/>
  <c r="F53" i="432"/>
  <c r="D53" i="432"/>
  <c r="D52" i="432" s="1"/>
  <c r="Z51" i="432"/>
  <c r="Y51" i="432"/>
  <c r="X51" i="432"/>
  <c r="W51" i="432"/>
  <c r="V51" i="432"/>
  <c r="U51" i="432"/>
  <c r="T51" i="432"/>
  <c r="S51" i="432"/>
  <c r="Q51" i="432"/>
  <c r="P51" i="432"/>
  <c r="O51" i="432"/>
  <c r="N51" i="432"/>
  <c r="M51" i="432"/>
  <c r="L51" i="432"/>
  <c r="J51" i="432"/>
  <c r="I51" i="432"/>
  <c r="H51" i="432"/>
  <c r="G51" i="432"/>
  <c r="F51" i="432"/>
  <c r="D51" i="432"/>
  <c r="Z50" i="432"/>
  <c r="Y50" i="432"/>
  <c r="X50" i="432"/>
  <c r="W50" i="432"/>
  <c r="V50" i="432"/>
  <c r="U50" i="432"/>
  <c r="T50" i="432"/>
  <c r="S50" i="432"/>
  <c r="Q50" i="432"/>
  <c r="P50" i="432"/>
  <c r="O50" i="432"/>
  <c r="N50" i="432"/>
  <c r="M50" i="432"/>
  <c r="L50" i="432"/>
  <c r="J50" i="432"/>
  <c r="I50" i="432"/>
  <c r="H50" i="432"/>
  <c r="G50" i="432"/>
  <c r="F50" i="432"/>
  <c r="D50" i="432"/>
  <c r="Z49" i="432"/>
  <c r="Y49" i="432"/>
  <c r="X49" i="432"/>
  <c r="W49" i="432"/>
  <c r="V49" i="432"/>
  <c r="U49" i="432"/>
  <c r="T49" i="432"/>
  <c r="S49" i="432"/>
  <c r="Q49" i="432"/>
  <c r="P49" i="432"/>
  <c r="O49" i="432"/>
  <c r="N49" i="432"/>
  <c r="M49" i="432"/>
  <c r="L49" i="432"/>
  <c r="J49" i="432"/>
  <c r="I49" i="432"/>
  <c r="H49" i="432"/>
  <c r="G49" i="432"/>
  <c r="F49" i="432"/>
  <c r="D49" i="432"/>
  <c r="Z48" i="432"/>
  <c r="Y48" i="432"/>
  <c r="X48" i="432"/>
  <c r="W48" i="432"/>
  <c r="V48" i="432"/>
  <c r="U48" i="432"/>
  <c r="T48" i="432"/>
  <c r="S48" i="432"/>
  <c r="Q48" i="432"/>
  <c r="P48" i="432"/>
  <c r="O48" i="432"/>
  <c r="N48" i="432"/>
  <c r="M48" i="432"/>
  <c r="L48" i="432"/>
  <c r="J48" i="432"/>
  <c r="I48" i="432"/>
  <c r="H48" i="432"/>
  <c r="G48" i="432"/>
  <c r="F48" i="432"/>
  <c r="D48" i="432"/>
  <c r="Z47" i="432"/>
  <c r="Y47" i="432"/>
  <c r="X47" i="432"/>
  <c r="W47" i="432"/>
  <c r="V47" i="432"/>
  <c r="U47" i="432"/>
  <c r="T47" i="432"/>
  <c r="S47" i="432"/>
  <c r="Q47" i="432"/>
  <c r="P47" i="432"/>
  <c r="O47" i="432"/>
  <c r="N47" i="432"/>
  <c r="M47" i="432"/>
  <c r="L47" i="432"/>
  <c r="J47" i="432"/>
  <c r="I47" i="432"/>
  <c r="H47" i="432"/>
  <c r="G47" i="432"/>
  <c r="F47" i="432"/>
  <c r="D47" i="432"/>
  <c r="AA46" i="432"/>
  <c r="R46" i="432"/>
  <c r="Z45" i="432"/>
  <c r="Y45" i="432"/>
  <c r="X45" i="432"/>
  <c r="W45" i="432"/>
  <c r="V45" i="432"/>
  <c r="U45" i="432"/>
  <c r="T45" i="432"/>
  <c r="S45" i="432"/>
  <c r="Q45" i="432"/>
  <c r="P45" i="432"/>
  <c r="O45" i="432"/>
  <c r="N45" i="432"/>
  <c r="M45" i="432"/>
  <c r="L45" i="432"/>
  <c r="J45" i="432"/>
  <c r="I45" i="432"/>
  <c r="H45" i="432"/>
  <c r="G45" i="432"/>
  <c r="F45" i="432"/>
  <c r="D45" i="432"/>
  <c r="Z44" i="432"/>
  <c r="Y44" i="432"/>
  <c r="X44" i="432"/>
  <c r="W44" i="432"/>
  <c r="V44" i="432"/>
  <c r="U44" i="432"/>
  <c r="T44" i="432"/>
  <c r="S44" i="432"/>
  <c r="Q44" i="432"/>
  <c r="P44" i="432"/>
  <c r="O44" i="432"/>
  <c r="N44" i="432"/>
  <c r="M44" i="432"/>
  <c r="L44" i="432"/>
  <c r="J44" i="432"/>
  <c r="I44" i="432"/>
  <c r="H44" i="432"/>
  <c r="G44" i="432"/>
  <c r="F44" i="432"/>
  <c r="D44" i="432"/>
  <c r="Z43" i="432"/>
  <c r="Y43" i="432"/>
  <c r="X43" i="432"/>
  <c r="W43" i="432"/>
  <c r="V43" i="432"/>
  <c r="U43" i="432"/>
  <c r="T43" i="432"/>
  <c r="S43" i="432"/>
  <c r="Q43" i="432"/>
  <c r="P43" i="432"/>
  <c r="O43" i="432"/>
  <c r="N43" i="432"/>
  <c r="M43" i="432"/>
  <c r="L43" i="432"/>
  <c r="J43" i="432"/>
  <c r="I43" i="432"/>
  <c r="H43" i="432"/>
  <c r="G43" i="432"/>
  <c r="F43" i="432"/>
  <c r="D43" i="432"/>
  <c r="Z42" i="432"/>
  <c r="Y42" i="432"/>
  <c r="X42" i="432"/>
  <c r="W42" i="432"/>
  <c r="V42" i="432"/>
  <c r="U42" i="432"/>
  <c r="T42" i="432"/>
  <c r="S42" i="432"/>
  <c r="Q42" i="432"/>
  <c r="P42" i="432"/>
  <c r="O42" i="432"/>
  <c r="N42" i="432"/>
  <c r="M42" i="432"/>
  <c r="L42" i="432"/>
  <c r="J42" i="432"/>
  <c r="I42" i="432"/>
  <c r="H42" i="432"/>
  <c r="G42" i="432"/>
  <c r="F42" i="432"/>
  <c r="D42" i="432"/>
  <c r="Z41" i="432"/>
  <c r="Y41" i="432"/>
  <c r="X41" i="432"/>
  <c r="W41" i="432"/>
  <c r="V41" i="432"/>
  <c r="U41" i="432"/>
  <c r="T41" i="432"/>
  <c r="S41" i="432"/>
  <c r="Q41" i="432"/>
  <c r="P41" i="432"/>
  <c r="O41" i="432"/>
  <c r="N41" i="432"/>
  <c r="M41" i="432"/>
  <c r="L41" i="432"/>
  <c r="J41" i="432"/>
  <c r="I41" i="432"/>
  <c r="H41" i="432"/>
  <c r="G41" i="432"/>
  <c r="F41" i="432"/>
  <c r="D41" i="432"/>
  <c r="Z40" i="432"/>
  <c r="Y40" i="432"/>
  <c r="X40" i="432"/>
  <c r="W40" i="432"/>
  <c r="V40" i="432"/>
  <c r="U40" i="432"/>
  <c r="T40" i="432"/>
  <c r="S40" i="432"/>
  <c r="Q40" i="432"/>
  <c r="P40" i="432"/>
  <c r="O40" i="432"/>
  <c r="N40" i="432"/>
  <c r="M40" i="432"/>
  <c r="L40" i="432"/>
  <c r="J40" i="432"/>
  <c r="I40" i="432"/>
  <c r="H40" i="432"/>
  <c r="G40" i="432"/>
  <c r="F40" i="432"/>
  <c r="D40" i="432"/>
  <c r="AA39" i="432"/>
  <c r="R39" i="432"/>
  <c r="K39" i="432"/>
  <c r="Z38" i="432"/>
  <c r="Y38" i="432"/>
  <c r="X38" i="432"/>
  <c r="W38" i="432"/>
  <c r="V38" i="432"/>
  <c r="U38" i="432"/>
  <c r="T38" i="432"/>
  <c r="S38" i="432"/>
  <c r="Q38" i="432"/>
  <c r="P38" i="432"/>
  <c r="O38" i="432"/>
  <c r="N38" i="432"/>
  <c r="M38" i="432"/>
  <c r="L38" i="432"/>
  <c r="J38" i="432"/>
  <c r="I38" i="432"/>
  <c r="H38" i="432"/>
  <c r="G38" i="432"/>
  <c r="F38" i="432"/>
  <c r="D38" i="432"/>
  <c r="Z37" i="432"/>
  <c r="Y37" i="432"/>
  <c r="X37" i="432"/>
  <c r="W37" i="432"/>
  <c r="V37" i="432"/>
  <c r="U37" i="432"/>
  <c r="T37" i="432"/>
  <c r="S37" i="432"/>
  <c r="Q37" i="432"/>
  <c r="P37" i="432"/>
  <c r="O37" i="432"/>
  <c r="N37" i="432"/>
  <c r="M37" i="432"/>
  <c r="L37" i="432"/>
  <c r="J37" i="432"/>
  <c r="I37" i="432"/>
  <c r="H37" i="432"/>
  <c r="G37" i="432"/>
  <c r="F37" i="432"/>
  <c r="D37" i="432"/>
  <c r="Z36" i="432"/>
  <c r="Y36" i="432"/>
  <c r="X36" i="432"/>
  <c r="W36" i="432"/>
  <c r="V36" i="432"/>
  <c r="U36" i="432"/>
  <c r="T36" i="432"/>
  <c r="S36" i="432"/>
  <c r="Q36" i="432"/>
  <c r="P36" i="432"/>
  <c r="O36" i="432"/>
  <c r="N36" i="432"/>
  <c r="M36" i="432"/>
  <c r="L36" i="432"/>
  <c r="J36" i="432"/>
  <c r="I36" i="432"/>
  <c r="H36" i="432"/>
  <c r="G36" i="432"/>
  <c r="F36" i="432"/>
  <c r="D36" i="432"/>
  <c r="Z35" i="432"/>
  <c r="Y35" i="432"/>
  <c r="X35" i="432"/>
  <c r="W35" i="432"/>
  <c r="V35" i="432"/>
  <c r="U35" i="432"/>
  <c r="T35" i="432"/>
  <c r="S35" i="432"/>
  <c r="Q35" i="432"/>
  <c r="P35" i="432"/>
  <c r="O35" i="432"/>
  <c r="N35" i="432"/>
  <c r="M35" i="432"/>
  <c r="L35" i="432"/>
  <c r="J35" i="432"/>
  <c r="I35" i="432"/>
  <c r="H35" i="432"/>
  <c r="G35" i="432"/>
  <c r="F35" i="432"/>
  <c r="D35" i="432"/>
  <c r="Z34" i="432"/>
  <c r="Y34" i="432"/>
  <c r="X34" i="432"/>
  <c r="W34" i="432"/>
  <c r="V34" i="432"/>
  <c r="U34" i="432"/>
  <c r="T34" i="432"/>
  <c r="S34" i="432"/>
  <c r="Q34" i="432"/>
  <c r="P34" i="432"/>
  <c r="O34" i="432"/>
  <c r="N34" i="432"/>
  <c r="M34" i="432"/>
  <c r="L34" i="432"/>
  <c r="J34" i="432"/>
  <c r="I34" i="432"/>
  <c r="H34" i="432"/>
  <c r="G34" i="432"/>
  <c r="F34" i="432"/>
  <c r="D34" i="432"/>
  <c r="Z33" i="432"/>
  <c r="Y33" i="432"/>
  <c r="X33" i="432"/>
  <c r="W33" i="432"/>
  <c r="V33" i="432"/>
  <c r="U33" i="432"/>
  <c r="T33" i="432"/>
  <c r="S33" i="432"/>
  <c r="Q33" i="432"/>
  <c r="P33" i="432"/>
  <c r="O33" i="432"/>
  <c r="N33" i="432"/>
  <c r="M33" i="432"/>
  <c r="L33" i="432"/>
  <c r="J33" i="432"/>
  <c r="I33" i="432"/>
  <c r="H33" i="432"/>
  <c r="G33" i="432"/>
  <c r="F33" i="432"/>
  <c r="D33" i="432"/>
  <c r="AA32" i="432"/>
  <c r="R32" i="432"/>
  <c r="K32" i="432"/>
  <c r="Z31" i="432"/>
  <c r="Y31" i="432"/>
  <c r="X31" i="432"/>
  <c r="W31" i="432"/>
  <c r="V31" i="432"/>
  <c r="U31" i="432"/>
  <c r="T31" i="432"/>
  <c r="S31" i="432"/>
  <c r="Q31" i="432"/>
  <c r="P31" i="432"/>
  <c r="O31" i="432"/>
  <c r="N31" i="432"/>
  <c r="M31" i="432"/>
  <c r="L31" i="432"/>
  <c r="J31" i="432"/>
  <c r="I31" i="432"/>
  <c r="H31" i="432"/>
  <c r="G31" i="432"/>
  <c r="F31" i="432"/>
  <c r="D31" i="432"/>
  <c r="Z29" i="432"/>
  <c r="Y29" i="432"/>
  <c r="X29" i="432"/>
  <c r="W29" i="432"/>
  <c r="V29" i="432"/>
  <c r="U29" i="432"/>
  <c r="T29" i="432"/>
  <c r="S29" i="432"/>
  <c r="Q29" i="432"/>
  <c r="P29" i="432"/>
  <c r="O29" i="432"/>
  <c r="N29" i="432"/>
  <c r="M29" i="432"/>
  <c r="L29" i="432"/>
  <c r="J29" i="432"/>
  <c r="I29" i="432"/>
  <c r="H29" i="432"/>
  <c r="G29" i="432"/>
  <c r="F29" i="432"/>
  <c r="D29" i="432"/>
  <c r="Z28" i="432"/>
  <c r="Y28" i="432"/>
  <c r="X28" i="432"/>
  <c r="W28" i="432"/>
  <c r="V28" i="432"/>
  <c r="U28" i="432"/>
  <c r="T28" i="432"/>
  <c r="S28" i="432"/>
  <c r="Q28" i="432"/>
  <c r="P28" i="432"/>
  <c r="O28" i="432"/>
  <c r="N28" i="432"/>
  <c r="M28" i="432"/>
  <c r="L28" i="432"/>
  <c r="J28" i="432"/>
  <c r="I28" i="432"/>
  <c r="H28" i="432"/>
  <c r="G28" i="432"/>
  <c r="F28" i="432"/>
  <c r="D28" i="432"/>
  <c r="Z27" i="432"/>
  <c r="Y27" i="432"/>
  <c r="X27" i="432"/>
  <c r="W27" i="432"/>
  <c r="V27" i="432"/>
  <c r="U27" i="432"/>
  <c r="T27" i="432"/>
  <c r="S27" i="432"/>
  <c r="Q27" i="432"/>
  <c r="P27" i="432"/>
  <c r="O27" i="432"/>
  <c r="N27" i="432"/>
  <c r="M27" i="432"/>
  <c r="L27" i="432"/>
  <c r="J27" i="432"/>
  <c r="I27" i="432"/>
  <c r="H27" i="432"/>
  <c r="G27" i="432"/>
  <c r="F27" i="432"/>
  <c r="D27" i="432"/>
  <c r="Z26" i="432"/>
  <c r="Y26" i="432"/>
  <c r="X26" i="432"/>
  <c r="W26" i="432"/>
  <c r="V26" i="432"/>
  <c r="U26" i="432"/>
  <c r="T26" i="432"/>
  <c r="S26" i="432"/>
  <c r="Q26" i="432"/>
  <c r="P26" i="432"/>
  <c r="O26" i="432"/>
  <c r="N26" i="432"/>
  <c r="M26" i="432"/>
  <c r="L26" i="432"/>
  <c r="J26" i="432"/>
  <c r="I26" i="432"/>
  <c r="H26" i="432"/>
  <c r="G26" i="432"/>
  <c r="F26" i="432"/>
  <c r="D26" i="432"/>
  <c r="Z25" i="432"/>
  <c r="Y25" i="432"/>
  <c r="X25" i="432"/>
  <c r="W25" i="432"/>
  <c r="V25" i="432"/>
  <c r="U25" i="432"/>
  <c r="T25" i="432"/>
  <c r="S25" i="432"/>
  <c r="Q25" i="432"/>
  <c r="P25" i="432"/>
  <c r="O25" i="432"/>
  <c r="N25" i="432"/>
  <c r="M25" i="432"/>
  <c r="L25" i="432"/>
  <c r="J25" i="432"/>
  <c r="I25" i="432"/>
  <c r="H25" i="432"/>
  <c r="G25" i="432"/>
  <c r="F25" i="432"/>
  <c r="D25" i="432"/>
  <c r="Z24" i="432"/>
  <c r="Y24" i="432"/>
  <c r="X24" i="432"/>
  <c r="W24" i="432"/>
  <c r="V24" i="432"/>
  <c r="U24" i="432"/>
  <c r="T24" i="432"/>
  <c r="S24" i="432"/>
  <c r="Q24" i="432"/>
  <c r="P24" i="432"/>
  <c r="O24" i="432"/>
  <c r="N24" i="432"/>
  <c r="M24" i="432"/>
  <c r="L24" i="432"/>
  <c r="J24" i="432"/>
  <c r="I24" i="432"/>
  <c r="H24" i="432"/>
  <c r="G24" i="432"/>
  <c r="F24" i="432"/>
  <c r="D24" i="432"/>
  <c r="AA23" i="432"/>
  <c r="R23" i="432"/>
  <c r="K23" i="432"/>
  <c r="Z22" i="432"/>
  <c r="Y22" i="432"/>
  <c r="X22" i="432"/>
  <c r="W22" i="432"/>
  <c r="V22" i="432"/>
  <c r="U22" i="432"/>
  <c r="T22" i="432"/>
  <c r="S22" i="432"/>
  <c r="Q22" i="432"/>
  <c r="P22" i="432"/>
  <c r="O22" i="432"/>
  <c r="N22" i="432"/>
  <c r="M22" i="432"/>
  <c r="L22" i="432"/>
  <c r="J22" i="432"/>
  <c r="I22" i="432"/>
  <c r="H22" i="432"/>
  <c r="G22" i="432"/>
  <c r="F22" i="432"/>
  <c r="D22" i="432"/>
  <c r="Z21" i="432"/>
  <c r="Y21" i="432"/>
  <c r="X21" i="432"/>
  <c r="W21" i="432"/>
  <c r="V21" i="432"/>
  <c r="U21" i="432"/>
  <c r="T21" i="432"/>
  <c r="S21" i="432"/>
  <c r="Q21" i="432"/>
  <c r="P21" i="432"/>
  <c r="O21" i="432"/>
  <c r="N21" i="432"/>
  <c r="M21" i="432"/>
  <c r="L21" i="432"/>
  <c r="J21" i="432"/>
  <c r="I21" i="432"/>
  <c r="H21" i="432"/>
  <c r="G21" i="432"/>
  <c r="F21" i="432"/>
  <c r="D21" i="432"/>
  <c r="Z20" i="432"/>
  <c r="Y20" i="432"/>
  <c r="X20" i="432"/>
  <c r="W20" i="432"/>
  <c r="V20" i="432"/>
  <c r="U20" i="432"/>
  <c r="T20" i="432"/>
  <c r="S20" i="432"/>
  <c r="Q20" i="432"/>
  <c r="P20" i="432"/>
  <c r="O20" i="432"/>
  <c r="N20" i="432"/>
  <c r="M20" i="432"/>
  <c r="L20" i="432"/>
  <c r="J20" i="432"/>
  <c r="I20" i="432"/>
  <c r="H20" i="432"/>
  <c r="G20" i="432"/>
  <c r="F20" i="432"/>
  <c r="D20" i="432"/>
  <c r="Z19" i="432"/>
  <c r="Y19" i="432"/>
  <c r="X19" i="432"/>
  <c r="W19" i="432"/>
  <c r="V19" i="432"/>
  <c r="U19" i="432"/>
  <c r="T19" i="432"/>
  <c r="S19" i="432"/>
  <c r="Q19" i="432"/>
  <c r="P19" i="432"/>
  <c r="O19" i="432"/>
  <c r="N19" i="432"/>
  <c r="M19" i="432"/>
  <c r="L19" i="432"/>
  <c r="J19" i="432"/>
  <c r="I19" i="432"/>
  <c r="H19" i="432"/>
  <c r="G19" i="432"/>
  <c r="F19" i="432"/>
  <c r="D19" i="432"/>
  <c r="Z18" i="432"/>
  <c r="Y18" i="432"/>
  <c r="X18" i="432"/>
  <c r="W18" i="432"/>
  <c r="V18" i="432"/>
  <c r="U18" i="432"/>
  <c r="T18" i="432"/>
  <c r="S18" i="432"/>
  <c r="Q18" i="432"/>
  <c r="P18" i="432"/>
  <c r="O18" i="432"/>
  <c r="N18" i="432"/>
  <c r="M18" i="432"/>
  <c r="L18" i="432"/>
  <c r="J18" i="432"/>
  <c r="I18" i="432"/>
  <c r="H18" i="432"/>
  <c r="G18" i="432"/>
  <c r="F18" i="432"/>
  <c r="D18" i="432"/>
  <c r="Z17" i="432"/>
  <c r="Y17" i="432"/>
  <c r="X17" i="432"/>
  <c r="W17" i="432"/>
  <c r="V17" i="432"/>
  <c r="U17" i="432"/>
  <c r="T17" i="432"/>
  <c r="S17" i="432"/>
  <c r="Q17" i="432"/>
  <c r="P17" i="432"/>
  <c r="O17" i="432"/>
  <c r="N17" i="432"/>
  <c r="M17" i="432"/>
  <c r="L17" i="432"/>
  <c r="J17" i="432"/>
  <c r="I17" i="432"/>
  <c r="H17" i="432"/>
  <c r="G17" i="432"/>
  <c r="F17" i="432"/>
  <c r="D17" i="432"/>
  <c r="AA16" i="432"/>
  <c r="R16" i="432"/>
  <c r="K16" i="432"/>
  <c r="Z15" i="432"/>
  <c r="Z14" i="432" s="1"/>
  <c r="Y15" i="432"/>
  <c r="Y14" i="432" s="1"/>
  <c r="X15" i="432"/>
  <c r="X14" i="432" s="1"/>
  <c r="W15" i="432"/>
  <c r="W14" i="432" s="1"/>
  <c r="V15" i="432"/>
  <c r="V14" i="432" s="1"/>
  <c r="U15" i="432"/>
  <c r="U14" i="432" s="1"/>
  <c r="T15" i="432"/>
  <c r="T14" i="432" s="1"/>
  <c r="S15" i="432"/>
  <c r="S14" i="432" s="1"/>
  <c r="Q15" i="432"/>
  <c r="Q14" i="432" s="1"/>
  <c r="P15" i="432"/>
  <c r="P14" i="432" s="1"/>
  <c r="O15" i="432"/>
  <c r="O14" i="432" s="1"/>
  <c r="N15" i="432"/>
  <c r="N14" i="432" s="1"/>
  <c r="M15" i="432"/>
  <c r="M14" i="432" s="1"/>
  <c r="L15" i="432"/>
  <c r="L14" i="432" s="1"/>
  <c r="J15" i="432"/>
  <c r="J14" i="432" s="1"/>
  <c r="I15" i="432"/>
  <c r="I14" i="432" s="1"/>
  <c r="H15" i="432"/>
  <c r="H14" i="432" s="1"/>
  <c r="G15" i="432"/>
  <c r="G14" i="432" s="1"/>
  <c r="F15" i="432"/>
  <c r="F14" i="432" s="1"/>
  <c r="D15" i="432"/>
  <c r="D14" i="432" s="1"/>
  <c r="Z119" i="435" l="1"/>
  <c r="AA5" i="435"/>
  <c r="AA122" i="435"/>
  <c r="Z170" i="435"/>
  <c r="AA170" i="435" s="1"/>
  <c r="C12" i="434"/>
  <c r="J13" i="434"/>
  <c r="Z14" i="434"/>
  <c r="R13" i="434"/>
  <c r="J32" i="434"/>
  <c r="C31" i="434"/>
  <c r="Q32" i="434"/>
  <c r="AA32" i="434" s="1"/>
  <c r="AB32" i="434" s="1"/>
  <c r="K31" i="434"/>
  <c r="Q15" i="434"/>
  <c r="AA15" i="434" s="1"/>
  <c r="AB15" i="434" s="1"/>
  <c r="K14" i="434"/>
  <c r="AB33" i="434"/>
  <c r="L346" i="432"/>
  <c r="P346" i="432"/>
  <c r="U346" i="432"/>
  <c r="U341" i="432" s="1"/>
  <c r="U340" i="432" s="1"/>
  <c r="Y346" i="432"/>
  <c r="R93" i="432"/>
  <c r="V191" i="432"/>
  <c r="F566" i="432"/>
  <c r="J566" i="432"/>
  <c r="O566" i="432"/>
  <c r="T566" i="432"/>
  <c r="X566" i="432"/>
  <c r="S577" i="432"/>
  <c r="S573" i="432" s="1"/>
  <c r="AB606" i="432"/>
  <c r="AB622" i="432"/>
  <c r="AB635" i="432"/>
  <c r="AB643" i="432"/>
  <c r="AB646" i="432"/>
  <c r="H655" i="432"/>
  <c r="Q655" i="432"/>
  <c r="V655" i="432"/>
  <c r="V651" i="432" s="1"/>
  <c r="V650" i="432" s="1"/>
  <c r="Z655" i="432"/>
  <c r="AB740" i="432"/>
  <c r="V796" i="432"/>
  <c r="AB804" i="432"/>
  <c r="AC804" i="432" s="1"/>
  <c r="D819" i="432"/>
  <c r="D818" i="432" s="1"/>
  <c r="G891" i="432"/>
  <c r="G890" i="432" s="1"/>
  <c r="U905" i="432"/>
  <c r="U904" i="432" s="1"/>
  <c r="Y905" i="432"/>
  <c r="Y904" i="432" s="1"/>
  <c r="AB917" i="432"/>
  <c r="AB929" i="432"/>
  <c r="AB932" i="432"/>
  <c r="AB943" i="432"/>
  <c r="AB949" i="432"/>
  <c r="AB959" i="432"/>
  <c r="AB976" i="432"/>
  <c r="K17" i="432"/>
  <c r="H52" i="432"/>
  <c r="K68" i="432"/>
  <c r="K72" i="432"/>
  <c r="AA72" i="432"/>
  <c r="R77" i="432"/>
  <c r="AA77" i="432"/>
  <c r="K141" i="432"/>
  <c r="AB194" i="432"/>
  <c r="AB197" i="432"/>
  <c r="K237" i="432"/>
  <c r="K266" i="432"/>
  <c r="AB269" i="432"/>
  <c r="K272" i="432"/>
  <c r="AC370" i="432"/>
  <c r="AC386" i="432"/>
  <c r="AA406" i="432"/>
  <c r="AC502" i="432"/>
  <c r="R503" i="432"/>
  <c r="R527" i="432"/>
  <c r="R535" i="432"/>
  <c r="R543" i="432"/>
  <c r="Y706" i="432"/>
  <c r="H807" i="432"/>
  <c r="V807" i="432"/>
  <c r="V777" i="432" s="1"/>
  <c r="V770" i="432" s="1"/>
  <c r="Z807" i="432"/>
  <c r="H843" i="432"/>
  <c r="V843" i="432"/>
  <c r="V842" i="432" s="1"/>
  <c r="AB846" i="432"/>
  <c r="AC846" i="432" s="1"/>
  <c r="F843" i="432"/>
  <c r="AB926" i="432"/>
  <c r="AB970" i="432"/>
  <c r="X905" i="432"/>
  <c r="X904" i="432" s="1"/>
  <c r="AB322" i="432"/>
  <c r="AB690" i="432"/>
  <c r="O693" i="432"/>
  <c r="AB725" i="432"/>
  <c r="AC725" i="432" s="1"/>
  <c r="AB881" i="432"/>
  <c r="AB947" i="432"/>
  <c r="AA68" i="432"/>
  <c r="Y807" i="432"/>
  <c r="K179" i="432"/>
  <c r="AA243" i="432"/>
  <c r="AB325" i="432"/>
  <c r="AB328" i="432"/>
  <c r="AC328" i="432" s="1"/>
  <c r="AB420" i="432"/>
  <c r="AB426" i="432"/>
  <c r="AC426" i="432" s="1"/>
  <c r="AB436" i="432"/>
  <c r="AB442" i="432"/>
  <c r="AC442" i="432" s="1"/>
  <c r="AB452" i="432"/>
  <c r="AC452" i="432" s="1"/>
  <c r="G577" i="432"/>
  <c r="G573" i="432" s="1"/>
  <c r="G572" i="432" s="1"/>
  <c r="L577" i="432"/>
  <c r="L573" i="432" s="1"/>
  <c r="P577" i="432"/>
  <c r="P573" i="432" s="1"/>
  <c r="P572" i="432" s="1"/>
  <c r="U577" i="432"/>
  <c r="U573" i="432" s="1"/>
  <c r="U572" i="432" s="1"/>
  <c r="Y577" i="432"/>
  <c r="Y573" i="432" s="1"/>
  <c r="Y572" i="432" s="1"/>
  <c r="AB601" i="432"/>
  <c r="AC601" i="432" s="1"/>
  <c r="AB747" i="432"/>
  <c r="AC747" i="432" s="1"/>
  <c r="AB753" i="432"/>
  <c r="AB788" i="432"/>
  <c r="AB795" i="432"/>
  <c r="M807" i="432"/>
  <c r="Y819" i="432"/>
  <c r="Y818" i="432" s="1"/>
  <c r="O891" i="432"/>
  <c r="O890" i="432" s="1"/>
  <c r="I905" i="432"/>
  <c r="I904" i="432" s="1"/>
  <c r="I889" i="432" s="1"/>
  <c r="V1004" i="432"/>
  <c r="V995" i="432" s="1"/>
  <c r="V1017" i="432" s="1"/>
  <c r="AB1015" i="432"/>
  <c r="V873" i="432"/>
  <c r="V872" i="432" s="1"/>
  <c r="K55" i="432"/>
  <c r="O52" i="432"/>
  <c r="K136" i="432"/>
  <c r="AA136" i="432"/>
  <c r="R141" i="432"/>
  <c r="AA152" i="432"/>
  <c r="AA162" i="432"/>
  <c r="AA165" i="432"/>
  <c r="AC334" i="432"/>
  <c r="AB358" i="432"/>
  <c r="AC358" i="432" s="1"/>
  <c r="AB366" i="432"/>
  <c r="AB374" i="432"/>
  <c r="AB382" i="432"/>
  <c r="AC382" i="432" s="1"/>
  <c r="AB390" i="432"/>
  <c r="AC390" i="432" s="1"/>
  <c r="AB398" i="432"/>
  <c r="AB412" i="432"/>
  <c r="AB416" i="432"/>
  <c r="AB422" i="432"/>
  <c r="AC422" i="432" s="1"/>
  <c r="AC424" i="432"/>
  <c r="AB432" i="432"/>
  <c r="AB438" i="432"/>
  <c r="AC440" i="432"/>
  <c r="AB448" i="432"/>
  <c r="AB454" i="432"/>
  <c r="AB458" i="432"/>
  <c r="AC458" i="432" s="1"/>
  <c r="AB484" i="432"/>
  <c r="AB488" i="432"/>
  <c r="AC494" i="432"/>
  <c r="AB546" i="432"/>
  <c r="AC546" i="432" s="1"/>
  <c r="N555" i="432"/>
  <c r="S555" i="432"/>
  <c r="W555" i="432"/>
  <c r="R558" i="432"/>
  <c r="D566" i="432"/>
  <c r="AB632" i="432"/>
  <c r="AB637" i="432"/>
  <c r="AA679" i="432"/>
  <c r="AB682" i="432"/>
  <c r="AC682" i="432" s="1"/>
  <c r="AB698" i="432"/>
  <c r="U706" i="432"/>
  <c r="AA709" i="432"/>
  <c r="AB712" i="432"/>
  <c r="AC712" i="432" s="1"/>
  <c r="AA715" i="432"/>
  <c r="AB724" i="432"/>
  <c r="AB748" i="432"/>
  <c r="AC748" i="432" s="1"/>
  <c r="AB784" i="432"/>
  <c r="AC784" i="432" s="1"/>
  <c r="AB810" i="432"/>
  <c r="W807" i="432"/>
  <c r="N873" i="432"/>
  <c r="N872" i="432" s="1"/>
  <c r="W873" i="432"/>
  <c r="W872" i="432" s="1"/>
  <c r="AB985" i="432"/>
  <c r="AB198" i="432"/>
  <c r="AC198" i="432" s="1"/>
  <c r="AC416" i="432"/>
  <c r="AC432" i="432"/>
  <c r="AC448" i="432"/>
  <c r="G873" i="432"/>
  <c r="G872" i="432" s="1"/>
  <c r="AB46" i="432"/>
  <c r="R17" i="432"/>
  <c r="AB17" i="432" s="1"/>
  <c r="AA17" i="432"/>
  <c r="R21" i="432"/>
  <c r="AA21" i="432"/>
  <c r="AB21" i="432" s="1"/>
  <c r="R33" i="432"/>
  <c r="R36" i="432"/>
  <c r="AB60" i="432"/>
  <c r="K84" i="432"/>
  <c r="K92" i="432"/>
  <c r="R125" i="432"/>
  <c r="K128" i="432"/>
  <c r="AA128" i="432"/>
  <c r="AB212" i="432"/>
  <c r="K242" i="432"/>
  <c r="K284" i="432"/>
  <c r="AB344" i="432"/>
  <c r="AB418" i="432"/>
  <c r="AC418" i="432" s="1"/>
  <c r="AC420" i="432"/>
  <c r="AB428" i="432"/>
  <c r="AC428" i="432" s="1"/>
  <c r="AB434" i="432"/>
  <c r="AC434" i="432" s="1"/>
  <c r="AC436" i="432"/>
  <c r="AB444" i="432"/>
  <c r="AC444" i="432" s="1"/>
  <c r="AB450" i="432"/>
  <c r="AB552" i="432"/>
  <c r="AC552" i="432" s="1"/>
  <c r="J555" i="432"/>
  <c r="Z555" i="432"/>
  <c r="Q566" i="432"/>
  <c r="AB576" i="432"/>
  <c r="AC576" i="432" s="1"/>
  <c r="AB590" i="432"/>
  <c r="AC590" i="432" s="1"/>
  <c r="AB599" i="432"/>
  <c r="AB607" i="432"/>
  <c r="X651" i="432"/>
  <c r="X650" i="432" s="1"/>
  <c r="I693" i="432"/>
  <c r="N693" i="432"/>
  <c r="V789" i="432"/>
  <c r="G796" i="432"/>
  <c r="G789" i="432" s="1"/>
  <c r="I819" i="432"/>
  <c r="I818" i="432" s="1"/>
  <c r="P843" i="432"/>
  <c r="U843" i="432"/>
  <c r="U842" i="432" s="1"/>
  <c r="Y843" i="432"/>
  <c r="Y842" i="432" s="1"/>
  <c r="Y835" i="432" s="1"/>
  <c r="AB871" i="432"/>
  <c r="AB875" i="432"/>
  <c r="AB921" i="432"/>
  <c r="AB964" i="432"/>
  <c r="AB982" i="432"/>
  <c r="AB1012" i="432"/>
  <c r="O1004" i="432"/>
  <c r="AB965" i="433"/>
  <c r="AC965" i="433" s="1"/>
  <c r="D142" i="433"/>
  <c r="AC143" i="433"/>
  <c r="L889" i="433"/>
  <c r="R889" i="433" s="1"/>
  <c r="AB79" i="433"/>
  <c r="AC79" i="433" s="1"/>
  <c r="AA670" i="433"/>
  <c r="S669" i="433"/>
  <c r="AB966" i="433"/>
  <c r="AC966" i="433" s="1"/>
  <c r="AC341" i="433"/>
  <c r="AC650" i="433"/>
  <c r="R340" i="433"/>
  <c r="AB340" i="433" s="1"/>
  <c r="L245" i="433"/>
  <c r="R245" i="433" s="1"/>
  <c r="AB831" i="433"/>
  <c r="AC831" i="433" s="1"/>
  <c r="R30" i="433"/>
  <c r="L13" i="433"/>
  <c r="AC671" i="433"/>
  <c r="K670" i="433"/>
  <c r="D669" i="433"/>
  <c r="K1004" i="433"/>
  <c r="D995" i="433"/>
  <c r="K789" i="433"/>
  <c r="D777" i="433"/>
  <c r="L995" i="433"/>
  <c r="R1004" i="433"/>
  <c r="AB1004" i="433" s="1"/>
  <c r="AB890" i="433"/>
  <c r="AC890" i="433" s="1"/>
  <c r="K340" i="433"/>
  <c r="D245" i="433"/>
  <c r="K245" i="433" s="1"/>
  <c r="L220" i="433"/>
  <c r="R221" i="433"/>
  <c r="AB221" i="433" s="1"/>
  <c r="AC221" i="433" s="1"/>
  <c r="AC1005" i="433"/>
  <c r="AB889" i="433"/>
  <c r="AC889" i="433" s="1"/>
  <c r="AA30" i="433"/>
  <c r="S13" i="433"/>
  <c r="AC335" i="433"/>
  <c r="AA777" i="433"/>
  <c r="S770" i="433"/>
  <c r="AA859" i="433"/>
  <c r="AB859" i="433" s="1"/>
  <c r="AC859" i="433" s="1"/>
  <c r="S842" i="433"/>
  <c r="R789" i="433"/>
  <c r="AB789" i="433" s="1"/>
  <c r="AC789" i="433" s="1"/>
  <c r="L777" i="433"/>
  <c r="K142" i="433"/>
  <c r="D12" i="433"/>
  <c r="AC336" i="433"/>
  <c r="L824" i="433"/>
  <c r="R824" i="433" s="1"/>
  <c r="AA220" i="433"/>
  <c r="S219" i="433"/>
  <c r="R670" i="433"/>
  <c r="AB670" i="433" s="1"/>
  <c r="AC670" i="433" s="1"/>
  <c r="L669" i="433"/>
  <c r="S245" i="433"/>
  <c r="AA245" i="433" s="1"/>
  <c r="H30" i="432"/>
  <c r="K63" i="432"/>
  <c r="P30" i="432"/>
  <c r="K131" i="432"/>
  <c r="K152" i="432"/>
  <c r="AA37" i="432"/>
  <c r="R70" i="432"/>
  <c r="R92" i="432"/>
  <c r="R157" i="432"/>
  <c r="R164" i="432"/>
  <c r="R165" i="432"/>
  <c r="AA190" i="432"/>
  <c r="R233" i="432"/>
  <c r="AA235" i="432"/>
  <c r="R240" i="432"/>
  <c r="AC344" i="432"/>
  <c r="X346" i="432"/>
  <c r="D461" i="432"/>
  <c r="Y461" i="432"/>
  <c r="AC488" i="432"/>
  <c r="K541" i="432"/>
  <c r="K533" i="432"/>
  <c r="K525" i="432"/>
  <c r="K517" i="432"/>
  <c r="K509" i="432"/>
  <c r="K216" i="432"/>
  <c r="R37" i="432"/>
  <c r="N80" i="432"/>
  <c r="N79" i="432" s="1"/>
  <c r="R85" i="432"/>
  <c r="AA92" i="432"/>
  <c r="AA94" i="432"/>
  <c r="K124" i="432"/>
  <c r="AA124" i="432"/>
  <c r="R129" i="432"/>
  <c r="R134" i="432"/>
  <c r="AA157" i="432"/>
  <c r="P223" i="432"/>
  <c r="P222" i="432" s="1"/>
  <c r="P221" i="432" s="1"/>
  <c r="P220" i="432" s="1"/>
  <c r="P219" i="432" s="1"/>
  <c r="AA240" i="432"/>
  <c r="AC408" i="432"/>
  <c r="R25" i="432"/>
  <c r="AA25" i="432"/>
  <c r="K26" i="432"/>
  <c r="R29" i="432"/>
  <c r="AA29" i="432"/>
  <c r="R40" i="432"/>
  <c r="R43" i="432"/>
  <c r="R49" i="432"/>
  <c r="F52" i="432"/>
  <c r="J52" i="432"/>
  <c r="T52" i="432"/>
  <c r="T30" i="432" s="1"/>
  <c r="T13" i="432" s="1"/>
  <c r="X52" i="432"/>
  <c r="X30" i="432" s="1"/>
  <c r="X13" i="432" s="1"/>
  <c r="R57" i="432"/>
  <c r="R86" i="432"/>
  <c r="R90" i="432"/>
  <c r="R103" i="432"/>
  <c r="AA103" i="432"/>
  <c r="K104" i="432"/>
  <c r="R107" i="432"/>
  <c r="AA107" i="432"/>
  <c r="K111" i="432"/>
  <c r="G30" i="432"/>
  <c r="R117" i="432"/>
  <c r="K120" i="432"/>
  <c r="AA120" i="432"/>
  <c r="R170" i="432"/>
  <c r="K171" i="432"/>
  <c r="R179" i="432"/>
  <c r="AA179" i="432"/>
  <c r="AB204" i="432"/>
  <c r="Q223" i="432"/>
  <c r="Q222" i="432" s="1"/>
  <c r="Q221" i="432" s="1"/>
  <c r="Q220" i="432" s="1"/>
  <c r="Q219" i="432" s="1"/>
  <c r="K230" i="432"/>
  <c r="AA239" i="432"/>
  <c r="R244" i="432"/>
  <c r="AA244" i="432"/>
  <c r="AB277" i="432"/>
  <c r="AC277" i="432" s="1"/>
  <c r="AB285" i="432"/>
  <c r="AB350" i="432"/>
  <c r="AA352" i="432"/>
  <c r="AB360" i="432"/>
  <c r="AB368" i="432"/>
  <c r="AB376" i="432"/>
  <c r="AB384" i="432"/>
  <c r="AC384" i="432" s="1"/>
  <c r="AB392" i="432"/>
  <c r="AC392" i="432" s="1"/>
  <c r="AB456" i="432"/>
  <c r="N461" i="432"/>
  <c r="AB470" i="432"/>
  <c r="AC470" i="432" s="1"/>
  <c r="R471" i="432"/>
  <c r="AB471" i="432" s="1"/>
  <c r="AB474" i="432"/>
  <c r="AB491" i="432"/>
  <c r="AB498" i="432"/>
  <c r="AC498" i="432" s="1"/>
  <c r="AB508" i="432"/>
  <c r="AC508" i="432" s="1"/>
  <c r="AB532" i="432"/>
  <c r="AB540" i="432"/>
  <c r="AB548" i="432"/>
  <c r="AC548" i="432" s="1"/>
  <c r="R563" i="432"/>
  <c r="AB563" i="432" s="1"/>
  <c r="AA563" i="432"/>
  <c r="AB568" i="432"/>
  <c r="AB571" i="432"/>
  <c r="AC571" i="432" s="1"/>
  <c r="O577" i="432"/>
  <c r="O573" i="432" s="1"/>
  <c r="O572" i="432" s="1"/>
  <c r="AB597" i="432"/>
  <c r="AB600" i="432"/>
  <c r="AB608" i="432"/>
  <c r="AC608" i="432" s="1"/>
  <c r="AB616" i="432"/>
  <c r="AB621" i="432"/>
  <c r="AB624" i="432"/>
  <c r="AB627" i="432"/>
  <c r="AB638" i="432"/>
  <c r="H651" i="432"/>
  <c r="H650" i="432" s="1"/>
  <c r="AB659" i="432"/>
  <c r="AB662" i="432"/>
  <c r="AC662" i="432" s="1"/>
  <c r="AB664" i="432"/>
  <c r="AC664" i="432" s="1"/>
  <c r="AB696" i="432"/>
  <c r="AC696" i="432" s="1"/>
  <c r="G706" i="432"/>
  <c r="P706" i="432"/>
  <c r="AB718" i="432"/>
  <c r="AB758" i="432"/>
  <c r="AB763" i="432"/>
  <c r="U807" i="432"/>
  <c r="K820" i="432"/>
  <c r="U819" i="432"/>
  <c r="U818" i="432" s="1"/>
  <c r="N860" i="432"/>
  <c r="N859" i="432" s="1"/>
  <c r="M861" i="432"/>
  <c r="M860" i="432" s="1"/>
  <c r="M859" i="432" s="1"/>
  <c r="AB977" i="432"/>
  <c r="AB980" i="432"/>
  <c r="N223" i="432"/>
  <c r="N222" i="432" s="1"/>
  <c r="N221" i="432" s="1"/>
  <c r="N220" i="432" s="1"/>
  <c r="N219" i="432" s="1"/>
  <c r="R521" i="432"/>
  <c r="G555" i="432"/>
  <c r="P555" i="432"/>
  <c r="U555" i="432"/>
  <c r="Y555" i="432"/>
  <c r="H566" i="432"/>
  <c r="V566" i="432"/>
  <c r="Z566" i="432"/>
  <c r="D655" i="432"/>
  <c r="D651" i="432" s="1"/>
  <c r="D650" i="432" s="1"/>
  <c r="I655" i="432"/>
  <c r="I651" i="432" s="1"/>
  <c r="I650" i="432" s="1"/>
  <c r="N655" i="432"/>
  <c r="S655" i="432"/>
  <c r="W655" i="432"/>
  <c r="W651" i="432" s="1"/>
  <c r="W650" i="432" s="1"/>
  <c r="G655" i="432"/>
  <c r="G651" i="432" s="1"/>
  <c r="G650" i="432" s="1"/>
  <c r="L655" i="432"/>
  <c r="P655" i="432"/>
  <c r="K679" i="432"/>
  <c r="J796" i="432"/>
  <c r="J789" i="432" s="1"/>
  <c r="J777" i="432" s="1"/>
  <c r="J770" i="432" s="1"/>
  <c r="O796" i="432"/>
  <c r="T796" i="432"/>
  <c r="X796" i="432"/>
  <c r="X789" i="432" s="1"/>
  <c r="K963" i="432"/>
  <c r="R24" i="432"/>
  <c r="AB32" i="432"/>
  <c r="AC32" i="432" s="1"/>
  <c r="R41" i="432"/>
  <c r="AA41" i="432"/>
  <c r="AB41" i="432" s="1"/>
  <c r="AC41" i="432" s="1"/>
  <c r="K44" i="432"/>
  <c r="AA44" i="432"/>
  <c r="R50" i="432"/>
  <c r="M52" i="432"/>
  <c r="Q52" i="432"/>
  <c r="V52" i="432"/>
  <c r="V30" i="432" s="1"/>
  <c r="V13" i="432" s="1"/>
  <c r="Z52" i="432"/>
  <c r="Z30" i="432" s="1"/>
  <c r="Z13" i="432" s="1"/>
  <c r="R55" i="432"/>
  <c r="AA55" i="432"/>
  <c r="K56" i="432"/>
  <c r="AA58" i="432"/>
  <c r="R63" i="432"/>
  <c r="AA63" i="432"/>
  <c r="K64" i="432"/>
  <c r="R81" i="432"/>
  <c r="M80" i="432"/>
  <c r="M79" i="432" s="1"/>
  <c r="Q79" i="432"/>
  <c r="AA89" i="432"/>
  <c r="K99" i="432"/>
  <c r="AA99" i="432"/>
  <c r="R113" i="432"/>
  <c r="AA113" i="432"/>
  <c r="R121" i="432"/>
  <c r="R131" i="432"/>
  <c r="AA131" i="432"/>
  <c r="R172" i="432"/>
  <c r="Z191" i="432"/>
  <c r="AB213" i="432"/>
  <c r="AC213" i="432" s="1"/>
  <c r="AA215" i="432"/>
  <c r="AB227" i="432"/>
  <c r="K229" i="432"/>
  <c r="R230" i="432"/>
  <c r="AB234" i="432"/>
  <c r="AC234" i="432" s="1"/>
  <c r="R236" i="432"/>
  <c r="AA236" i="432"/>
  <c r="R237" i="432"/>
  <c r="AA241" i="432"/>
  <c r="AA242" i="432"/>
  <c r="AB251" i="432"/>
  <c r="K262" i="432"/>
  <c r="AB273" i="432"/>
  <c r="AC273" i="432" s="1"/>
  <c r="AA275" i="432"/>
  <c r="AB297" i="432"/>
  <c r="AB326" i="432"/>
  <c r="AB332" i="432"/>
  <c r="AC332" i="432" s="1"/>
  <c r="AC350" i="432"/>
  <c r="D346" i="432"/>
  <c r="AB356" i="432"/>
  <c r="AC356" i="432" s="1"/>
  <c r="AB364" i="432"/>
  <c r="AC364" i="432" s="1"/>
  <c r="AB372" i="432"/>
  <c r="AC372" i="432" s="1"/>
  <c r="AB380" i="432"/>
  <c r="AB388" i="432"/>
  <c r="AB396" i="432"/>
  <c r="AC396" i="432" s="1"/>
  <c r="AB410" i="432"/>
  <c r="AA455" i="432"/>
  <c r="AB460" i="432"/>
  <c r="AC460" i="432" s="1"/>
  <c r="H461" i="432"/>
  <c r="M461" i="432"/>
  <c r="Q461" i="432"/>
  <c r="V461" i="432"/>
  <c r="Z461" i="432"/>
  <c r="J461" i="432"/>
  <c r="AB476" i="432"/>
  <c r="AB486" i="432"/>
  <c r="AC486" i="432" s="1"/>
  <c r="AB496" i="432"/>
  <c r="AB504" i="432"/>
  <c r="AB512" i="432"/>
  <c r="AC512" i="432" s="1"/>
  <c r="AB528" i="432"/>
  <c r="AC528" i="432" s="1"/>
  <c r="AB536" i="432"/>
  <c r="AC536" i="432" s="1"/>
  <c r="AC550" i="432"/>
  <c r="H555" i="432"/>
  <c r="M555" i="432"/>
  <c r="Q555" i="432"/>
  <c r="V555" i="432"/>
  <c r="AB562" i="432"/>
  <c r="N566" i="432"/>
  <c r="S566" i="432"/>
  <c r="W566" i="432"/>
  <c r="U566" i="432"/>
  <c r="Y566" i="432"/>
  <c r="AA566" i="432" s="1"/>
  <c r="V577" i="432"/>
  <c r="V573" i="432" s="1"/>
  <c r="V572" i="432" s="1"/>
  <c r="AB633" i="432"/>
  <c r="AB636" i="432"/>
  <c r="AB674" i="432"/>
  <c r="AC674" i="432" s="1"/>
  <c r="F693" i="432"/>
  <c r="J693" i="432"/>
  <c r="I706" i="432"/>
  <c r="AB743" i="432"/>
  <c r="AC743" i="432" s="1"/>
  <c r="AB787" i="432"/>
  <c r="AC787" i="432" s="1"/>
  <c r="M796" i="432"/>
  <c r="M789" i="432" s="1"/>
  <c r="AB798" i="432"/>
  <c r="N807" i="432"/>
  <c r="K895" i="432"/>
  <c r="T891" i="432"/>
  <c r="T890" i="432" s="1"/>
  <c r="X891" i="432"/>
  <c r="X890" i="432" s="1"/>
  <c r="AB925" i="432"/>
  <c r="AC925" i="432" s="1"/>
  <c r="AB721" i="432"/>
  <c r="AB736" i="432"/>
  <c r="AB755" i="432"/>
  <c r="AB773" i="432"/>
  <c r="AC773" i="432" s="1"/>
  <c r="AB776" i="432"/>
  <c r="AB793" i="432"/>
  <c r="AB935" i="432"/>
  <c r="AB951" i="432"/>
  <c r="AC951" i="432" s="1"/>
  <c r="AB1003" i="432"/>
  <c r="M1004" i="432"/>
  <c r="Y1004" i="432"/>
  <c r="AB1008" i="432"/>
  <c r="AC1008" i="432" s="1"/>
  <c r="Z577" i="432"/>
  <c r="Z573" i="432" s="1"/>
  <c r="Z572" i="432" s="1"/>
  <c r="R589" i="432"/>
  <c r="AB593" i="432"/>
  <c r="AC593" i="432" s="1"/>
  <c r="AB634" i="432"/>
  <c r="AB640" i="432"/>
  <c r="AB645" i="432"/>
  <c r="F655" i="432"/>
  <c r="J655" i="432"/>
  <c r="J651" i="432" s="1"/>
  <c r="J650" i="432" s="1"/>
  <c r="AB666" i="432"/>
  <c r="AB686" i="432"/>
  <c r="P693" i="432"/>
  <c r="P671" i="432" s="1"/>
  <c r="P670" i="432" s="1"/>
  <c r="P669" i="432" s="1"/>
  <c r="P668" i="432" s="1"/>
  <c r="P667" i="432" s="1"/>
  <c r="U693" i="432"/>
  <c r="U671" i="432" s="1"/>
  <c r="U670" i="432" s="1"/>
  <c r="U669" i="432" s="1"/>
  <c r="U668" i="432" s="1"/>
  <c r="U667" i="432" s="1"/>
  <c r="Y693" i="432"/>
  <c r="Y671" i="432" s="1"/>
  <c r="Y670" i="432" s="1"/>
  <c r="Y669" i="432" s="1"/>
  <c r="Y668" i="432" s="1"/>
  <c r="Y667" i="432" s="1"/>
  <c r="M706" i="432"/>
  <c r="Q706" i="432"/>
  <c r="V706" i="432"/>
  <c r="Z706" i="432"/>
  <c r="AA717" i="432"/>
  <c r="AB720" i="432"/>
  <c r="AC720" i="432" s="1"/>
  <c r="AB723" i="432"/>
  <c r="AC723" i="432" s="1"/>
  <c r="AB732" i="432"/>
  <c r="AB741" i="432"/>
  <c r="AB757" i="432"/>
  <c r="AB759" i="432"/>
  <c r="AC759" i="432" s="1"/>
  <c r="D791" i="432"/>
  <c r="D790" i="432" s="1"/>
  <c r="H796" i="432"/>
  <c r="H789" i="432" s="1"/>
  <c r="H777" i="432" s="1"/>
  <c r="H770" i="432" s="1"/>
  <c r="AB823" i="432"/>
  <c r="AC823" i="432" s="1"/>
  <c r="AB840" i="432"/>
  <c r="H842" i="432"/>
  <c r="H835" i="432" s="1"/>
  <c r="I873" i="432"/>
  <c r="I872" i="432" s="1"/>
  <c r="AA907" i="432"/>
  <c r="AB915" i="432"/>
  <c r="AB918" i="432"/>
  <c r="AC918" i="432" s="1"/>
  <c r="AB931" i="432"/>
  <c r="AB956" i="432"/>
  <c r="AC956" i="432" s="1"/>
  <c r="K94" i="432"/>
  <c r="S80" i="432"/>
  <c r="S223" i="432"/>
  <c r="AB821" i="432"/>
  <c r="AC821" i="432" s="1"/>
  <c r="AB827" i="432"/>
  <c r="AA857" i="432"/>
  <c r="K887" i="432"/>
  <c r="O873" i="432"/>
  <c r="O872" i="432" s="1"/>
  <c r="U891" i="432"/>
  <c r="U890" i="432" s="1"/>
  <c r="U889" i="432" s="1"/>
  <c r="Y891" i="432"/>
  <c r="Y890" i="432" s="1"/>
  <c r="J905" i="432"/>
  <c r="J904" i="432" s="1"/>
  <c r="O905" i="432"/>
  <c r="O904" i="432" s="1"/>
  <c r="O889" i="432" s="1"/>
  <c r="AB911" i="432"/>
  <c r="K455" i="432"/>
  <c r="K85" i="432"/>
  <c r="K49" i="432"/>
  <c r="K29" i="432"/>
  <c r="K21" i="432"/>
  <c r="J819" i="432"/>
  <c r="J818" i="432" s="1"/>
  <c r="O819" i="432"/>
  <c r="O818" i="432" s="1"/>
  <c r="T819" i="432"/>
  <c r="T818" i="432" s="1"/>
  <c r="X819" i="432"/>
  <c r="X818" i="432" s="1"/>
  <c r="AB834" i="432"/>
  <c r="AC834" i="432" s="1"/>
  <c r="AB841" i="432"/>
  <c r="AC841" i="432" s="1"/>
  <c r="AB845" i="432"/>
  <c r="K848" i="432"/>
  <c r="J843" i="432"/>
  <c r="R866" i="432"/>
  <c r="AB866" i="432" s="1"/>
  <c r="AC866" i="432" s="1"/>
  <c r="AB876" i="432"/>
  <c r="AB885" i="432"/>
  <c r="M891" i="432"/>
  <c r="M890" i="432" s="1"/>
  <c r="Q891" i="432"/>
  <c r="Q890" i="432" s="1"/>
  <c r="Q889" i="432" s="1"/>
  <c r="Z891" i="432"/>
  <c r="Z890" i="432" s="1"/>
  <c r="AB908" i="432"/>
  <c r="H905" i="432"/>
  <c r="H904" i="432" s="1"/>
  <c r="M905" i="432"/>
  <c r="M904" i="432" s="1"/>
  <c r="Q905" i="432"/>
  <c r="Q904" i="432" s="1"/>
  <c r="AB916" i="432"/>
  <c r="AB919" i="432"/>
  <c r="AC919" i="432" s="1"/>
  <c r="AB923" i="432"/>
  <c r="AC923" i="432" s="1"/>
  <c r="AB941" i="432"/>
  <c r="AB945" i="432"/>
  <c r="AB948" i="432"/>
  <c r="R968" i="432"/>
  <c r="AB974" i="432"/>
  <c r="AB987" i="432"/>
  <c r="S1004" i="432"/>
  <c r="U1004" i="432"/>
  <c r="U995" i="432" s="1"/>
  <c r="U1017" i="432" s="1"/>
  <c r="K157" i="432"/>
  <c r="AB199" i="432"/>
  <c r="AC199" i="432" s="1"/>
  <c r="S891" i="432"/>
  <c r="S890" i="432" s="1"/>
  <c r="AB898" i="432"/>
  <c r="AB858" i="432"/>
  <c r="AB855" i="432"/>
  <c r="AB851" i="432"/>
  <c r="AB838" i="432"/>
  <c r="AC838" i="432" s="1"/>
  <c r="AB829" i="432"/>
  <c r="AB817" i="432"/>
  <c r="AB815" i="432"/>
  <c r="AC815" i="432" s="1"/>
  <c r="AB792" i="432"/>
  <c r="AC792" i="432" s="1"/>
  <c r="AB782" i="432"/>
  <c r="AC782" i="432" s="1"/>
  <c r="AB780" i="432"/>
  <c r="AA771" i="432"/>
  <c r="AB729" i="432"/>
  <c r="AC729" i="432" s="1"/>
  <c r="AB726" i="432"/>
  <c r="AB728" i="432"/>
  <c r="AC728" i="432" s="1"/>
  <c r="AB731" i="432"/>
  <c r="AC731" i="432" s="1"/>
  <c r="AB734" i="432"/>
  <c r="AC734" i="432" s="1"/>
  <c r="AB739" i="432"/>
  <c r="AB762" i="432"/>
  <c r="AC762" i="432" s="1"/>
  <c r="AB764" i="432"/>
  <c r="AC764" i="432" s="1"/>
  <c r="AB733" i="432"/>
  <c r="AC733" i="432" s="1"/>
  <c r="AB746" i="432"/>
  <c r="AB749" i="432"/>
  <c r="AC749" i="432" s="1"/>
  <c r="AB752" i="432"/>
  <c r="AC752" i="432" s="1"/>
  <c r="AB710" i="432"/>
  <c r="AC710" i="432" s="1"/>
  <c r="AB700" i="432"/>
  <c r="AB692" i="432"/>
  <c r="AC692" i="432" s="1"/>
  <c r="AB688" i="432"/>
  <c r="AC688" i="432" s="1"/>
  <c r="AB684" i="432"/>
  <c r="AC684" i="432" s="1"/>
  <c r="AB680" i="432"/>
  <c r="AC680" i="432" s="1"/>
  <c r="AB676" i="432"/>
  <c r="AC676" i="432" s="1"/>
  <c r="AB623" i="432"/>
  <c r="AB289" i="432"/>
  <c r="AB305" i="432"/>
  <c r="AB288" i="432"/>
  <c r="AB296" i="432"/>
  <c r="AB307" i="432"/>
  <c r="AB315" i="432"/>
  <c r="AB218" i="432"/>
  <c r="AC218" i="432" s="1"/>
  <c r="S861" i="432"/>
  <c r="S860" i="432" s="1"/>
  <c r="AA860" i="432" s="1"/>
  <c r="N191" i="432"/>
  <c r="W191" i="432"/>
  <c r="W142" i="432" s="1"/>
  <c r="AC374" i="432"/>
  <c r="AC721" i="432"/>
  <c r="K78" i="432"/>
  <c r="AC753" i="432"/>
  <c r="K58" i="432"/>
  <c r="K158" i="432"/>
  <c r="K18" i="432"/>
  <c r="K22" i="432"/>
  <c r="AB95" i="432"/>
  <c r="AB144" i="432"/>
  <c r="AC144" i="432" s="1"/>
  <c r="AB148" i="432"/>
  <c r="K186" i="432"/>
  <c r="AB205" i="432"/>
  <c r="AC205" i="432" s="1"/>
  <c r="AB210" i="432"/>
  <c r="AC210" i="432" s="1"/>
  <c r="K477" i="432"/>
  <c r="AC666" i="432"/>
  <c r="AC788" i="432"/>
  <c r="E988" i="432"/>
  <c r="AC212" i="432"/>
  <c r="AC366" i="432"/>
  <c r="AC398" i="432"/>
  <c r="AC412" i="432"/>
  <c r="AC496" i="432"/>
  <c r="AC504" i="432"/>
  <c r="AC637" i="432"/>
  <c r="AC758" i="432"/>
  <c r="K826" i="432"/>
  <c r="K42" i="432"/>
  <c r="K166" i="432"/>
  <c r="K34" i="432"/>
  <c r="K38" i="432"/>
  <c r="K74" i="432"/>
  <c r="AB87" i="432"/>
  <c r="AC87" i="432" s="1"/>
  <c r="K110" i="432"/>
  <c r="K114" i="432"/>
  <c r="AB132" i="432"/>
  <c r="K138" i="432"/>
  <c r="AB149" i="432"/>
  <c r="AB154" i="432"/>
  <c r="AA184" i="432"/>
  <c r="AB208" i="432"/>
  <c r="AC208" i="432" s="1"/>
  <c r="K240" i="432"/>
  <c r="AC362" i="432"/>
  <c r="AC378" i="432"/>
  <c r="AC394" i="432"/>
  <c r="AC534" i="432"/>
  <c r="AC741" i="432"/>
  <c r="AB196" i="432"/>
  <c r="AB195" i="432"/>
  <c r="AC195" i="432" s="1"/>
  <c r="AB168" i="432"/>
  <c r="AC168" i="432" s="1"/>
  <c r="AB157" i="432"/>
  <c r="AB150" i="432"/>
  <c r="AB118" i="432"/>
  <c r="AC118" i="432" s="1"/>
  <c r="AB116" i="432"/>
  <c r="AC116" i="432" s="1"/>
  <c r="AB102" i="432"/>
  <c r="AB67" i="432"/>
  <c r="AB54" i="432"/>
  <c r="AC54" i="432" s="1"/>
  <c r="AB16" i="432"/>
  <c r="K813" i="432"/>
  <c r="AC977" i="432"/>
  <c r="AC937" i="432"/>
  <c r="AC776" i="432"/>
  <c r="AC840" i="432"/>
  <c r="AC875" i="432"/>
  <c r="AC929" i="432"/>
  <c r="AC793" i="432"/>
  <c r="K805" i="432"/>
  <c r="AC921" i="432"/>
  <c r="AC953" i="432"/>
  <c r="AC985" i="432"/>
  <c r="K105" i="432"/>
  <c r="AC126" i="432"/>
  <c r="AC194" i="432"/>
  <c r="AC204" i="432"/>
  <c r="K335" i="432"/>
  <c r="AC465" i="432"/>
  <c r="AC718" i="432"/>
  <c r="AC757" i="432"/>
  <c r="K89" i="432"/>
  <c r="K275" i="432"/>
  <c r="AC491" i="432"/>
  <c r="AC510" i="432"/>
  <c r="AC542" i="432"/>
  <c r="AC635" i="432"/>
  <c r="AC737" i="432"/>
  <c r="AC46" i="432"/>
  <c r="AC60" i="432"/>
  <c r="K93" i="432"/>
  <c r="K177" i="432"/>
  <c r="K189" i="432"/>
  <c r="K215" i="432"/>
  <c r="AC269" i="432"/>
  <c r="AC474" i="432"/>
  <c r="AC739" i="432"/>
  <c r="R182" i="432"/>
  <c r="F191" i="432"/>
  <c r="F142" i="432" s="1"/>
  <c r="AB77" i="432"/>
  <c r="AC77" i="432" s="1"/>
  <c r="H13" i="432"/>
  <c r="K19" i="432"/>
  <c r="R19" i="432"/>
  <c r="AA19" i="432"/>
  <c r="K20" i="432"/>
  <c r="AA24" i="432"/>
  <c r="K27" i="432"/>
  <c r="R27" i="432"/>
  <c r="AA27" i="432"/>
  <c r="K28" i="432"/>
  <c r="K33" i="432"/>
  <c r="R34" i="432"/>
  <c r="AA36" i="432"/>
  <c r="AB36" i="432" s="1"/>
  <c r="AA40" i="432"/>
  <c r="AB40" i="432" s="1"/>
  <c r="K43" i="432"/>
  <c r="R44" i="432"/>
  <c r="AB44" i="432" s="1"/>
  <c r="K47" i="432"/>
  <c r="R47" i="432"/>
  <c r="AA47" i="432"/>
  <c r="K48" i="432"/>
  <c r="AA50" i="432"/>
  <c r="AB50" i="432" s="1"/>
  <c r="K57" i="432"/>
  <c r="R58" i="432"/>
  <c r="AB58" i="432" s="1"/>
  <c r="K61" i="432"/>
  <c r="R61" i="432"/>
  <c r="AA61" i="432"/>
  <c r="K62" i="432"/>
  <c r="K65" i="432"/>
  <c r="R65" i="432"/>
  <c r="AA65" i="432"/>
  <c r="K66" i="432"/>
  <c r="R68" i="432"/>
  <c r="AB68" i="432" s="1"/>
  <c r="AC68" i="432" s="1"/>
  <c r="AA70" i="432"/>
  <c r="AB70" i="432" s="1"/>
  <c r="R72" i="432"/>
  <c r="AB73" i="432"/>
  <c r="AC73" i="432" s="1"/>
  <c r="K75" i="432"/>
  <c r="R75" i="432"/>
  <c r="AA75" i="432"/>
  <c r="K76" i="432"/>
  <c r="R89" i="432"/>
  <c r="AB89" i="432" s="1"/>
  <c r="AA90" i="432"/>
  <c r="K91" i="432"/>
  <c r="K97" i="432"/>
  <c r="R97" i="432"/>
  <c r="AA97" i="432"/>
  <c r="K98" i="432"/>
  <c r="R99" i="432"/>
  <c r="K101" i="432"/>
  <c r="R101" i="432"/>
  <c r="AA101" i="432"/>
  <c r="K103" i="432"/>
  <c r="R105" i="432"/>
  <c r="AA105" i="432"/>
  <c r="K106" i="432"/>
  <c r="K107" i="432"/>
  <c r="AB109" i="432"/>
  <c r="AC109" i="432" s="1"/>
  <c r="R111" i="432"/>
  <c r="AA111" i="432"/>
  <c r="K112" i="432"/>
  <c r="K113" i="432"/>
  <c r="R115" i="432"/>
  <c r="W30" i="432"/>
  <c r="W13" i="432" s="1"/>
  <c r="AA117" i="432"/>
  <c r="R120" i="432"/>
  <c r="AB120" i="432" s="1"/>
  <c r="AC120" i="432" s="1"/>
  <c r="AA121" i="432"/>
  <c r="AB121" i="432" s="1"/>
  <c r="K122" i="432"/>
  <c r="R124" i="432"/>
  <c r="AA125" i="432"/>
  <c r="AB125" i="432" s="1"/>
  <c r="R128" i="432"/>
  <c r="AA129" i="432"/>
  <c r="AB129" i="432" s="1"/>
  <c r="K130" i="432"/>
  <c r="AA134" i="432"/>
  <c r="AB134" i="432" s="1"/>
  <c r="R136" i="432"/>
  <c r="AB137" i="432"/>
  <c r="AC137" i="432" s="1"/>
  <c r="K139" i="432"/>
  <c r="R139" i="432"/>
  <c r="AA139" i="432"/>
  <c r="K140" i="432"/>
  <c r="R146" i="432"/>
  <c r="K155" i="432"/>
  <c r="R155" i="432"/>
  <c r="AA155" i="432"/>
  <c r="K156" i="432"/>
  <c r="K159" i="432"/>
  <c r="R159" i="432"/>
  <c r="AA159" i="432"/>
  <c r="K160" i="432"/>
  <c r="R162" i="432"/>
  <c r="AB162" i="432" s="1"/>
  <c r="AA164" i="432"/>
  <c r="AB164" i="432" s="1"/>
  <c r="K167" i="432"/>
  <c r="R167" i="432"/>
  <c r="AA167" i="432"/>
  <c r="K173" i="432"/>
  <c r="R174" i="432"/>
  <c r="R177" i="432"/>
  <c r="AA177" i="432"/>
  <c r="R186" i="432"/>
  <c r="M191" i="432"/>
  <c r="M142" i="432" s="1"/>
  <c r="U191" i="432"/>
  <c r="K211" i="432"/>
  <c r="AB214" i="432"/>
  <c r="AC214" i="432" s="1"/>
  <c r="AB217" i="432"/>
  <c r="K226" i="432"/>
  <c r="AA229" i="432"/>
  <c r="AA230" i="432"/>
  <c r="K231" i="432"/>
  <c r="K235" i="432"/>
  <c r="K236" i="432"/>
  <c r="R238" i="432"/>
  <c r="K239" i="432"/>
  <c r="R239" i="432"/>
  <c r="AB239" i="432" s="1"/>
  <c r="K243" i="432"/>
  <c r="R265" i="432"/>
  <c r="AA265" i="432"/>
  <c r="K267" i="432"/>
  <c r="AA270" i="432"/>
  <c r="K278" i="432"/>
  <c r="K280" i="432"/>
  <c r="R280" i="432"/>
  <c r="K282" i="432"/>
  <c r="AB292" i="432"/>
  <c r="AB304" i="432"/>
  <c r="AB313" i="432"/>
  <c r="AA34" i="432"/>
  <c r="R14" i="432"/>
  <c r="K15" i="432"/>
  <c r="AA15" i="432"/>
  <c r="R18" i="432"/>
  <c r="AA20" i="432"/>
  <c r="R22" i="432"/>
  <c r="AB23" i="432"/>
  <c r="AC23" i="432" s="1"/>
  <c r="K25" i="432"/>
  <c r="R26" i="432"/>
  <c r="AA28" i="432"/>
  <c r="AA33" i="432"/>
  <c r="K37" i="432"/>
  <c r="R38" i="432"/>
  <c r="AB39" i="432"/>
  <c r="AC39" i="432" s="1"/>
  <c r="K41" i="432"/>
  <c r="R42" i="432"/>
  <c r="AA43" i="432"/>
  <c r="AA48" i="432"/>
  <c r="K51" i="432"/>
  <c r="R51" i="432"/>
  <c r="AA51" i="432"/>
  <c r="K53" i="432"/>
  <c r="AA53" i="432"/>
  <c r="R56" i="432"/>
  <c r="AB56" i="432" s="1"/>
  <c r="AC56" i="432" s="1"/>
  <c r="AA57" i="432"/>
  <c r="AB57" i="432" s="1"/>
  <c r="AA62" i="432"/>
  <c r="R64" i="432"/>
  <c r="AA66" i="432"/>
  <c r="K71" i="432"/>
  <c r="R71" i="432"/>
  <c r="AA71" i="432"/>
  <c r="R74" i="432"/>
  <c r="AA76" i="432"/>
  <c r="R78" i="432"/>
  <c r="K81" i="432"/>
  <c r="AB82" i="432"/>
  <c r="AC82" i="432" s="1"/>
  <c r="K86" i="432"/>
  <c r="K88" i="432"/>
  <c r="R88" i="432"/>
  <c r="AA88" i="432"/>
  <c r="AA91" i="432"/>
  <c r="S93" i="432"/>
  <c r="AA93" i="432" s="1"/>
  <c r="AB93" i="432" s="1"/>
  <c r="K96" i="432"/>
  <c r="AA98" i="432"/>
  <c r="K100" i="432"/>
  <c r="AC102" i="432"/>
  <c r="R104" i="432"/>
  <c r="AA106" i="432"/>
  <c r="R108" i="432"/>
  <c r="R110" i="432"/>
  <c r="AA112" i="432"/>
  <c r="R114" i="432"/>
  <c r="K119" i="432"/>
  <c r="R119" i="432"/>
  <c r="AA119" i="432"/>
  <c r="AA122" i="432"/>
  <c r="K127" i="432"/>
  <c r="R127" i="432"/>
  <c r="AA127" i="432"/>
  <c r="AA130" i="432"/>
  <c r="K135" i="432"/>
  <c r="R135" i="432"/>
  <c r="AA135" i="432"/>
  <c r="R138" i="432"/>
  <c r="AB138" i="432" s="1"/>
  <c r="AC138" i="432" s="1"/>
  <c r="AA140" i="432"/>
  <c r="K145" i="432"/>
  <c r="R145" i="432"/>
  <c r="AA145" i="432"/>
  <c r="G151" i="432"/>
  <c r="P151" i="432"/>
  <c r="U151" i="432"/>
  <c r="U142" i="432" s="1"/>
  <c r="Y151" i="432"/>
  <c r="AA156" i="432"/>
  <c r="R158" i="432"/>
  <c r="AA160" i="432"/>
  <c r="K162" i="432"/>
  <c r="K165" i="432"/>
  <c r="R166" i="432"/>
  <c r="K169" i="432"/>
  <c r="R169" i="432"/>
  <c r="AA169" i="432"/>
  <c r="R171" i="432"/>
  <c r="AA173" i="432"/>
  <c r="AC175" i="432"/>
  <c r="R176" i="432"/>
  <c r="R178" i="432"/>
  <c r="AA178" i="432"/>
  <c r="S183" i="432"/>
  <c r="S182" i="432" s="1"/>
  <c r="S181" i="432" s="1"/>
  <c r="AA181" i="432" s="1"/>
  <c r="K187" i="432"/>
  <c r="R189" i="432"/>
  <c r="AA189" i="432"/>
  <c r="J191" i="432"/>
  <c r="J142" i="432" s="1"/>
  <c r="S191" i="432"/>
  <c r="AC196" i="432"/>
  <c r="AA211" i="432"/>
  <c r="K225" i="432"/>
  <c r="K228" i="432"/>
  <c r="AA233" i="432"/>
  <c r="AB233" i="432" s="1"/>
  <c r="R241" i="432"/>
  <c r="AB241" i="432" s="1"/>
  <c r="AB263" i="432"/>
  <c r="AB264" i="432"/>
  <c r="AC264" i="432" s="1"/>
  <c r="AB290" i="432"/>
  <c r="AB299" i="432"/>
  <c r="AB312" i="432"/>
  <c r="K329" i="432"/>
  <c r="T346" i="432"/>
  <c r="H346" i="432"/>
  <c r="H341" i="432" s="1"/>
  <c r="H340" i="432" s="1"/>
  <c r="K108" i="432"/>
  <c r="AA141" i="432"/>
  <c r="K193" i="432"/>
  <c r="O191" i="432"/>
  <c r="AA18" i="432"/>
  <c r="AB18" i="432" s="1"/>
  <c r="R20" i="432"/>
  <c r="AA22" i="432"/>
  <c r="K24" i="432"/>
  <c r="AA26" i="432"/>
  <c r="R28" i="432"/>
  <c r="K31" i="432"/>
  <c r="AA31" i="432"/>
  <c r="K35" i="432"/>
  <c r="R35" i="432"/>
  <c r="AA35" i="432"/>
  <c r="K36" i="432"/>
  <c r="AA38" i="432"/>
  <c r="K40" i="432"/>
  <c r="AA42" i="432"/>
  <c r="K45" i="432"/>
  <c r="R45" i="432"/>
  <c r="AA45" i="432"/>
  <c r="R48" i="432"/>
  <c r="AA49" i="432"/>
  <c r="K50" i="432"/>
  <c r="AA56" i="432"/>
  <c r="K59" i="432"/>
  <c r="R59" i="432"/>
  <c r="AA59" i="432"/>
  <c r="R62" i="432"/>
  <c r="AA64" i="432"/>
  <c r="R66" i="432"/>
  <c r="AC67" i="432"/>
  <c r="K69" i="432"/>
  <c r="R69" i="432"/>
  <c r="AA69" i="432"/>
  <c r="K70" i="432"/>
  <c r="AA74" i="432"/>
  <c r="R76" i="432"/>
  <c r="AA78" i="432"/>
  <c r="K83" i="432"/>
  <c r="K90" i="432"/>
  <c r="R91" i="432"/>
  <c r="R96" i="432"/>
  <c r="AA96" i="432"/>
  <c r="R98" i="432"/>
  <c r="R100" i="432"/>
  <c r="AA100" i="432"/>
  <c r="AA104" i="432"/>
  <c r="R106" i="432"/>
  <c r="AA108" i="432"/>
  <c r="AA110" i="432"/>
  <c r="R112" i="432"/>
  <c r="AA114" i="432"/>
  <c r="K117" i="432"/>
  <c r="K121" i="432"/>
  <c r="R122" i="432"/>
  <c r="AB122" i="432" s="1"/>
  <c r="AB123" i="432"/>
  <c r="AC123" i="432" s="1"/>
  <c r="K125" i="432"/>
  <c r="K129" i="432"/>
  <c r="R130" i="432"/>
  <c r="AB130" i="432" s="1"/>
  <c r="K133" i="432"/>
  <c r="R133" i="432"/>
  <c r="AA133" i="432"/>
  <c r="K134" i="432"/>
  <c r="AA138" i="432"/>
  <c r="R140" i="432"/>
  <c r="R152" i="432"/>
  <c r="K153" i="432"/>
  <c r="AA153" i="432"/>
  <c r="R156" i="432"/>
  <c r="AA158" i="432"/>
  <c r="R160" i="432"/>
  <c r="AC161" i="432"/>
  <c r="K163" i="432"/>
  <c r="R163" i="432"/>
  <c r="AA163" i="432"/>
  <c r="K164" i="432"/>
  <c r="AA166" i="432"/>
  <c r="AA171" i="432"/>
  <c r="K172" i="432"/>
  <c r="R173" i="432"/>
  <c r="R180" i="432"/>
  <c r="R187" i="432"/>
  <c r="AA187" i="432"/>
  <c r="K188" i="432"/>
  <c r="AB209" i="432"/>
  <c r="AC209" i="432" s="1"/>
  <c r="G191" i="432"/>
  <c r="R211" i="432"/>
  <c r="AA225" i="432"/>
  <c r="AA226" i="432"/>
  <c r="AA228" i="432"/>
  <c r="K233" i="432"/>
  <c r="S274" i="432"/>
  <c r="S276" i="432" s="1"/>
  <c r="AA276" i="432" s="1"/>
  <c r="R286" i="432"/>
  <c r="AA286" i="432"/>
  <c r="K244" i="432"/>
  <c r="AB256" i="432"/>
  <c r="AC256" i="432" s="1"/>
  <c r="K261" i="432"/>
  <c r="AB262" i="432"/>
  <c r="AC262" i="432" s="1"/>
  <c r="R278" i="432"/>
  <c r="AA278" i="432"/>
  <c r="R282" i="432"/>
  <c r="AA282" i="432"/>
  <c r="R284" i="432"/>
  <c r="K286" i="432"/>
  <c r="AB323" i="432"/>
  <c r="AB324" i="432"/>
  <c r="AC324" i="432" s="1"/>
  <c r="K342" i="432"/>
  <c r="R342" i="432"/>
  <c r="AB345" i="432"/>
  <c r="AC345" i="432" s="1"/>
  <c r="K347" i="432"/>
  <c r="R349" i="432"/>
  <c r="K352" i="432"/>
  <c r="AC360" i="432"/>
  <c r="AC368" i="432"/>
  <c r="AC376" i="432"/>
  <c r="AC380" i="432"/>
  <c r="AC404" i="432"/>
  <c r="AC410" i="432"/>
  <c r="K414" i="432"/>
  <c r="AA414" i="432"/>
  <c r="R455" i="432"/>
  <c r="AA482" i="432"/>
  <c r="K495" i="432"/>
  <c r="K499" i="432"/>
  <c r="AA499" i="432"/>
  <c r="K507" i="432"/>
  <c r="AA507" i="432"/>
  <c r="R509" i="432"/>
  <c r="K515" i="432"/>
  <c r="AA515" i="432"/>
  <c r="K523" i="432"/>
  <c r="AA523" i="432"/>
  <c r="AB523" i="432" s="1"/>
  <c r="K531" i="432"/>
  <c r="AA531" i="432"/>
  <c r="AB531" i="432" s="1"/>
  <c r="R533" i="432"/>
  <c r="K539" i="432"/>
  <c r="AA539" i="432"/>
  <c r="R541" i="432"/>
  <c r="AA547" i="432"/>
  <c r="K551" i="432"/>
  <c r="AB554" i="432"/>
  <c r="G566" i="432"/>
  <c r="L566" i="432"/>
  <c r="AA1005" i="432"/>
  <c r="AB294" i="432"/>
  <c r="AB295" i="432"/>
  <c r="AC295" i="432" s="1"/>
  <c r="AB301" i="432"/>
  <c r="AB302" i="432"/>
  <c r="AB303" i="432"/>
  <c r="AB309" i="432"/>
  <c r="AB310" i="432"/>
  <c r="AB311" i="432"/>
  <c r="AB317" i="432"/>
  <c r="AB318" i="432"/>
  <c r="AB319" i="432"/>
  <c r="AC319" i="432" s="1"/>
  <c r="K331" i="432"/>
  <c r="F346" i="432"/>
  <c r="J346" i="432"/>
  <c r="J341" i="432" s="1"/>
  <c r="J340" i="432" s="1"/>
  <c r="K349" i="432"/>
  <c r="AA349" i="432"/>
  <c r="AB349" i="432" s="1"/>
  <c r="AC349" i="432" s="1"/>
  <c r="AB355" i="432"/>
  <c r="AC355" i="432" s="1"/>
  <c r="AB359" i="432"/>
  <c r="AC359" i="432" s="1"/>
  <c r="AB363" i="432"/>
  <c r="AC363" i="432" s="1"/>
  <c r="AB367" i="432"/>
  <c r="AC367" i="432" s="1"/>
  <c r="AB371" i="432"/>
  <c r="AC371" i="432" s="1"/>
  <c r="AB375" i="432"/>
  <c r="AC375" i="432" s="1"/>
  <c r="AB379" i="432"/>
  <c r="AC379" i="432" s="1"/>
  <c r="AB383" i="432"/>
  <c r="AC383" i="432" s="1"/>
  <c r="AB387" i="432"/>
  <c r="AC387" i="432" s="1"/>
  <c r="AB391" i="432"/>
  <c r="AC391" i="432" s="1"/>
  <c r="AB395" i="432"/>
  <c r="AC395" i="432" s="1"/>
  <c r="AB399" i="432"/>
  <c r="AC399" i="432" s="1"/>
  <c r="AA403" i="432"/>
  <c r="G461" i="432"/>
  <c r="P461" i="432"/>
  <c r="P341" i="432" s="1"/>
  <c r="P340" i="432" s="1"/>
  <c r="F461" i="432"/>
  <c r="AA468" i="432"/>
  <c r="K471" i="432"/>
  <c r="AA471" i="432"/>
  <c r="AB478" i="432"/>
  <c r="AC478" i="432" s="1"/>
  <c r="AC257" i="432"/>
  <c r="R259" i="432"/>
  <c r="AA259" i="432"/>
  <c r="K265" i="432"/>
  <c r="R267" i="432"/>
  <c r="AA267" i="432"/>
  <c r="K268" i="432"/>
  <c r="R272" i="432"/>
  <c r="AA272" i="432"/>
  <c r="K279" i="432"/>
  <c r="AA281" i="432"/>
  <c r="AB283" i="432"/>
  <c r="AC283" i="432" s="1"/>
  <c r="R287" i="432"/>
  <c r="AA287" i="432"/>
  <c r="AB293" i="432"/>
  <c r="AB300" i="432"/>
  <c r="AB308" i="432"/>
  <c r="AB316" i="432"/>
  <c r="AA338" i="432"/>
  <c r="R347" i="432"/>
  <c r="Q346" i="432"/>
  <c r="V346" i="432"/>
  <c r="Z346" i="432"/>
  <c r="AB348" i="432"/>
  <c r="AC348" i="432" s="1"/>
  <c r="O346" i="432"/>
  <c r="K354" i="432"/>
  <c r="AA354" i="432"/>
  <c r="AB402" i="432"/>
  <c r="AC402" i="432" s="1"/>
  <c r="AC430" i="432"/>
  <c r="AC438" i="432"/>
  <c r="AC446" i="432"/>
  <c r="AC450" i="432"/>
  <c r="AC454" i="432"/>
  <c r="AC564" i="432"/>
  <c r="M566" i="432"/>
  <c r="AC388" i="432"/>
  <c r="K400" i="432"/>
  <c r="AA400" i="432"/>
  <c r="K403" i="432"/>
  <c r="AB405" i="432"/>
  <c r="AC405" i="432" s="1"/>
  <c r="AB415" i="432"/>
  <c r="AC415" i="432" s="1"/>
  <c r="AB419" i="432"/>
  <c r="AC419" i="432" s="1"/>
  <c r="AB423" i="432"/>
  <c r="AC423" i="432" s="1"/>
  <c r="AB427" i="432"/>
  <c r="AC427" i="432" s="1"/>
  <c r="AB431" i="432"/>
  <c r="AC431" i="432" s="1"/>
  <c r="AB435" i="432"/>
  <c r="AC435" i="432" s="1"/>
  <c r="AB439" i="432"/>
  <c r="AC439" i="432" s="1"/>
  <c r="AB443" i="432"/>
  <c r="AC443" i="432" s="1"/>
  <c r="AB447" i="432"/>
  <c r="AC447" i="432" s="1"/>
  <c r="AB451" i="432"/>
  <c r="AC451" i="432" s="1"/>
  <c r="AC456" i="432"/>
  <c r="AA462" i="432"/>
  <c r="AB466" i="432"/>
  <c r="AC466" i="432" s="1"/>
  <c r="K468" i="432"/>
  <c r="AC472" i="432"/>
  <c r="AC476" i="432"/>
  <c r="AB480" i="432"/>
  <c r="AC480" i="432" s="1"/>
  <c r="K482" i="432"/>
  <c r="R482" i="432"/>
  <c r="AB482" i="432" s="1"/>
  <c r="AB485" i="432"/>
  <c r="AC485" i="432" s="1"/>
  <c r="AB492" i="432"/>
  <c r="AC492" i="432" s="1"/>
  <c r="K493" i="432"/>
  <c r="AA495" i="432"/>
  <c r="R497" i="432"/>
  <c r="K503" i="432"/>
  <c r="AA503" i="432"/>
  <c r="R505" i="432"/>
  <c r="K511" i="432"/>
  <c r="AA511" i="432"/>
  <c r="R513" i="432"/>
  <c r="K519" i="432"/>
  <c r="AA519" i="432"/>
  <c r="AB522" i="432"/>
  <c r="AC522" i="432" s="1"/>
  <c r="K527" i="432"/>
  <c r="AA527" i="432"/>
  <c r="R529" i="432"/>
  <c r="AB530" i="432"/>
  <c r="AC530" i="432" s="1"/>
  <c r="K535" i="432"/>
  <c r="AA535" i="432"/>
  <c r="AB535" i="432" s="1"/>
  <c r="R537" i="432"/>
  <c r="AB538" i="432"/>
  <c r="AC538" i="432" s="1"/>
  <c r="K543" i="432"/>
  <c r="AA543" i="432"/>
  <c r="AB543" i="432" s="1"/>
  <c r="AC543" i="432" s="1"/>
  <c r="K545" i="432"/>
  <c r="K547" i="432"/>
  <c r="R547" i="432"/>
  <c r="R549" i="432"/>
  <c r="R551" i="432"/>
  <c r="AA551" i="432"/>
  <c r="AA558" i="432"/>
  <c r="K563" i="432"/>
  <c r="AB565" i="432"/>
  <c r="AC565" i="432" s="1"/>
  <c r="K570" i="432"/>
  <c r="I566" i="432"/>
  <c r="N577" i="432"/>
  <c r="N573" i="432" s="1"/>
  <c r="N572" i="432" s="1"/>
  <c r="W577" i="432"/>
  <c r="W573" i="432" s="1"/>
  <c r="W572" i="432" s="1"/>
  <c r="K586" i="432"/>
  <c r="R1002" i="432"/>
  <c r="M1000" i="432"/>
  <c r="M999" i="432" s="1"/>
  <c r="M998" i="432" s="1"/>
  <c r="M997" i="432" s="1"/>
  <c r="M996" i="432" s="1"/>
  <c r="O461" i="432"/>
  <c r="T461" i="432"/>
  <c r="X461" i="432"/>
  <c r="K464" i="432"/>
  <c r="AA464" i="432"/>
  <c r="AB475" i="432"/>
  <c r="AC475" i="432" s="1"/>
  <c r="AC484" i="432"/>
  <c r="K487" i="432"/>
  <c r="K490" i="432"/>
  <c r="AA490" i="432"/>
  <c r="W461" i="432"/>
  <c r="K497" i="432"/>
  <c r="AA497" i="432"/>
  <c r="K501" i="432"/>
  <c r="R501" i="432"/>
  <c r="K505" i="432"/>
  <c r="K513" i="432"/>
  <c r="R517" i="432"/>
  <c r="AB518" i="432"/>
  <c r="AC518" i="432" s="1"/>
  <c r="K521" i="432"/>
  <c r="R523" i="432"/>
  <c r="R525" i="432"/>
  <c r="AB526" i="432"/>
  <c r="AC526" i="432" s="1"/>
  <c r="K529" i="432"/>
  <c r="R531" i="432"/>
  <c r="AC532" i="432"/>
  <c r="K537" i="432"/>
  <c r="R539" i="432"/>
  <c r="AC540" i="432"/>
  <c r="R545" i="432"/>
  <c r="K549" i="432"/>
  <c r="R553" i="432"/>
  <c r="AA553" i="432"/>
  <c r="AC562" i="432"/>
  <c r="AC700" i="432"/>
  <c r="L771" i="432"/>
  <c r="R772" i="432"/>
  <c r="AC597" i="432"/>
  <c r="AB598" i="432"/>
  <c r="AC598" i="432" s="1"/>
  <c r="AC621" i="432"/>
  <c r="AB625" i="432"/>
  <c r="AC625" i="432" s="1"/>
  <c r="N651" i="432"/>
  <c r="N650" i="432" s="1"/>
  <c r="AA656" i="432"/>
  <c r="AB663" i="432"/>
  <c r="AC663" i="432" s="1"/>
  <c r="AB665" i="432"/>
  <c r="I671" i="432"/>
  <c r="I670" i="432" s="1"/>
  <c r="I669" i="432" s="1"/>
  <c r="I668" i="432" s="1"/>
  <c r="I667" i="432" s="1"/>
  <c r="Z671" i="432"/>
  <c r="Z670" i="432" s="1"/>
  <c r="Z669" i="432" s="1"/>
  <c r="Z668" i="432" s="1"/>
  <c r="Z667" i="432" s="1"/>
  <c r="R673" i="432"/>
  <c r="AB675" i="432"/>
  <c r="AC675" i="432" s="1"/>
  <c r="K677" i="432"/>
  <c r="R677" i="432"/>
  <c r="AB678" i="432"/>
  <c r="AC678" i="432" s="1"/>
  <c r="AA681" i="432"/>
  <c r="R685" i="432"/>
  <c r="K687" i="432"/>
  <c r="R689" i="432"/>
  <c r="AA689" i="432"/>
  <c r="K691" i="432"/>
  <c r="T693" i="432"/>
  <c r="X693" i="432"/>
  <c r="X671" i="432" s="1"/>
  <c r="X670" i="432" s="1"/>
  <c r="X669" i="432" s="1"/>
  <c r="X668" i="432" s="1"/>
  <c r="X667" i="432" s="1"/>
  <c r="AB695" i="432"/>
  <c r="AC695" i="432" s="1"/>
  <c r="AA697" i="432"/>
  <c r="K699" i="432"/>
  <c r="R701" i="432"/>
  <c r="AA701" i="432"/>
  <c r="O706" i="432"/>
  <c r="O671" i="432" s="1"/>
  <c r="O670" i="432" s="1"/>
  <c r="O669" i="432" s="1"/>
  <c r="O668" i="432" s="1"/>
  <c r="O667" i="432" s="1"/>
  <c r="T706" i="432"/>
  <c r="X706" i="432"/>
  <c r="AB708" i="432"/>
  <c r="AC708" i="432" s="1"/>
  <c r="N706" i="432"/>
  <c r="N671" i="432" s="1"/>
  <c r="N670" i="432" s="1"/>
  <c r="N669" i="432" s="1"/>
  <c r="N668" i="432" s="1"/>
  <c r="N667" i="432" s="1"/>
  <c r="K713" i="432"/>
  <c r="AB714" i="432"/>
  <c r="AC714" i="432" s="1"/>
  <c r="AB716" i="432"/>
  <c r="AC716" i="432" s="1"/>
  <c r="R719" i="432"/>
  <c r="AC724" i="432"/>
  <c r="AB727" i="432"/>
  <c r="AC727" i="432" s="1"/>
  <c r="AB730" i="432"/>
  <c r="AC740" i="432"/>
  <c r="AB744" i="432"/>
  <c r="AC744" i="432" s="1"/>
  <c r="AB745" i="432"/>
  <c r="AC745" i="432" s="1"/>
  <c r="AB750" i="432"/>
  <c r="AC750" i="432" s="1"/>
  <c r="AB751" i="432"/>
  <c r="AC751" i="432" s="1"/>
  <c r="AB779" i="432"/>
  <c r="AC779" i="432" s="1"/>
  <c r="AB785" i="432"/>
  <c r="AC785" i="432" s="1"/>
  <c r="AB799" i="432"/>
  <c r="AC799" i="432" s="1"/>
  <c r="N843" i="432"/>
  <c r="N842" i="432" s="1"/>
  <c r="N835" i="432" s="1"/>
  <c r="N824" i="432" s="1"/>
  <c r="W843" i="432"/>
  <c r="W842" i="432" s="1"/>
  <c r="W835" i="432" s="1"/>
  <c r="W824" i="432" s="1"/>
  <c r="R570" i="432"/>
  <c r="AB574" i="432"/>
  <c r="AB579" i="432"/>
  <c r="AB587" i="432"/>
  <c r="AB588" i="432"/>
  <c r="AC588" i="432" s="1"/>
  <c r="AB594" i="432"/>
  <c r="AC594" i="432" s="1"/>
  <c r="AB595" i="432"/>
  <c r="AC595" i="432" s="1"/>
  <c r="AB596" i="432"/>
  <c r="AC596" i="432" s="1"/>
  <c r="AB604" i="432"/>
  <c r="AC604" i="432" s="1"/>
  <c r="AB612" i="432"/>
  <c r="AC612" i="432" s="1"/>
  <c r="AB613" i="432"/>
  <c r="AC613" i="432" s="1"/>
  <c r="AB619" i="432"/>
  <c r="AC619" i="432" s="1"/>
  <c r="AB620" i="432"/>
  <c r="AC620" i="432" s="1"/>
  <c r="AB630" i="432"/>
  <c r="AB631" i="432"/>
  <c r="AC631" i="432" s="1"/>
  <c r="AB642" i="432"/>
  <c r="AB644" i="432"/>
  <c r="AC644" i="432" s="1"/>
  <c r="L651" i="432"/>
  <c r="P651" i="432"/>
  <c r="P650" i="432" s="1"/>
  <c r="AB653" i="432"/>
  <c r="AC653" i="432" s="1"/>
  <c r="AB658" i="432"/>
  <c r="AC658" i="432" s="1"/>
  <c r="AB660" i="432"/>
  <c r="AC660" i="432" s="1"/>
  <c r="AA661" i="432"/>
  <c r="R679" i="432"/>
  <c r="AC686" i="432"/>
  <c r="AC690" i="432"/>
  <c r="R694" i="432"/>
  <c r="AC698" i="432"/>
  <c r="AC702" i="432"/>
  <c r="AC704" i="432"/>
  <c r="R709" i="432"/>
  <c r="AB709" i="432" s="1"/>
  <c r="AC709" i="432" s="1"/>
  <c r="J706" i="432"/>
  <c r="J671" i="432" s="1"/>
  <c r="J670" i="432" s="1"/>
  <c r="J669" i="432" s="1"/>
  <c r="J668" i="432" s="1"/>
  <c r="J667" i="432" s="1"/>
  <c r="R715" i="432"/>
  <c r="AB715" i="432" s="1"/>
  <c r="R717" i="432"/>
  <c r="AB717" i="432" s="1"/>
  <c r="K719" i="432"/>
  <c r="AC736" i="432"/>
  <c r="AA781" i="432"/>
  <c r="O789" i="432"/>
  <c r="AC798" i="432"/>
  <c r="K802" i="432"/>
  <c r="Z796" i="432"/>
  <c r="Z789" i="432" s="1"/>
  <c r="Z777" i="432" s="1"/>
  <c r="Z770" i="432" s="1"/>
  <c r="J842" i="432"/>
  <c r="J835" i="432" s="1"/>
  <c r="U873" i="432"/>
  <c r="U872" i="432" s="1"/>
  <c r="R892" i="432"/>
  <c r="N891" i="432"/>
  <c r="N890" i="432" s="1"/>
  <c r="N889" i="432" s="1"/>
  <c r="D905" i="432"/>
  <c r="D904" i="432" s="1"/>
  <c r="AC945" i="432"/>
  <c r="AC600" i="432"/>
  <c r="AB617" i="432"/>
  <c r="AC617" i="432" s="1"/>
  <c r="AB618" i="432"/>
  <c r="AC618" i="432" s="1"/>
  <c r="AB628" i="432"/>
  <c r="AB629" i="432"/>
  <c r="AB648" i="432"/>
  <c r="AC648" i="432" s="1"/>
  <c r="AB649" i="432"/>
  <c r="U655" i="432"/>
  <c r="Y655" i="432"/>
  <c r="O655" i="432"/>
  <c r="O651" i="432" s="1"/>
  <c r="O650" i="432" s="1"/>
  <c r="V671" i="432"/>
  <c r="V670" i="432" s="1"/>
  <c r="V669" i="432" s="1"/>
  <c r="V668" i="432" s="1"/>
  <c r="V667" i="432" s="1"/>
  <c r="AA677" i="432"/>
  <c r="K681" i="432"/>
  <c r="R681" i="432"/>
  <c r="AA683" i="432"/>
  <c r="K685" i="432"/>
  <c r="R687" i="432"/>
  <c r="AA687" i="432"/>
  <c r="K689" i="432"/>
  <c r="AA691" i="432"/>
  <c r="K694" i="432"/>
  <c r="H693" i="432"/>
  <c r="M693" i="432"/>
  <c r="M671" i="432" s="1"/>
  <c r="M670" i="432" s="1"/>
  <c r="M669" i="432" s="1"/>
  <c r="M668" i="432" s="1"/>
  <c r="M667" i="432" s="1"/>
  <c r="Q693" i="432"/>
  <c r="G693" i="432"/>
  <c r="G671" i="432" s="1"/>
  <c r="G670" i="432" s="1"/>
  <c r="G669" i="432" s="1"/>
  <c r="G668" i="432" s="1"/>
  <c r="G667" i="432" s="1"/>
  <c r="R699" i="432"/>
  <c r="S693" i="432"/>
  <c r="AA693" i="432" s="1"/>
  <c r="W693" i="432"/>
  <c r="K701" i="432"/>
  <c r="AB703" i="432"/>
  <c r="AB705" i="432"/>
  <c r="AC705" i="432" s="1"/>
  <c r="H706" i="432"/>
  <c r="K709" i="432"/>
  <c r="R713" i="432"/>
  <c r="AA713" i="432"/>
  <c r="K715" i="432"/>
  <c r="K717" i="432"/>
  <c r="AB722" i="432"/>
  <c r="AC722" i="432" s="1"/>
  <c r="AC732" i="432"/>
  <c r="AB735" i="432"/>
  <c r="AC735" i="432" s="1"/>
  <c r="AB738" i="432"/>
  <c r="AC738" i="432" s="1"/>
  <c r="AC746" i="432"/>
  <c r="AB754" i="432"/>
  <c r="AC754" i="432" s="1"/>
  <c r="AB756" i="432"/>
  <c r="AC756" i="432" s="1"/>
  <c r="AB760" i="432"/>
  <c r="AC760" i="432" s="1"/>
  <c r="AB761" i="432"/>
  <c r="AC761" i="432" s="1"/>
  <c r="AC780" i="432"/>
  <c r="N796" i="432"/>
  <c r="N789" i="432" s="1"/>
  <c r="K808" i="432"/>
  <c r="AA822" i="432"/>
  <c r="S819" i="432"/>
  <c r="S818" i="432" s="1"/>
  <c r="AA818" i="432" s="1"/>
  <c r="AB902" i="432"/>
  <c r="AC902" i="432" s="1"/>
  <c r="AC935" i="432"/>
  <c r="AB972" i="432"/>
  <c r="I807" i="432"/>
  <c r="I777" i="432" s="1"/>
  <c r="I770" i="432" s="1"/>
  <c r="AC810" i="432"/>
  <c r="AC817" i="432"/>
  <c r="R837" i="432"/>
  <c r="AA848" i="432"/>
  <c r="AC850" i="432"/>
  <c r="O843" i="432"/>
  <c r="O842" i="432" s="1"/>
  <c r="AC856" i="432"/>
  <c r="AB864" i="432"/>
  <c r="AC864" i="432" s="1"/>
  <c r="AB886" i="432"/>
  <c r="AC886" i="432" s="1"/>
  <c r="J891" i="432"/>
  <c r="J890" i="432" s="1"/>
  <c r="J889" i="432" s="1"/>
  <c r="AC894" i="432"/>
  <c r="P891" i="432"/>
  <c r="P890" i="432" s="1"/>
  <c r="AB924" i="432"/>
  <c r="AC933" i="432"/>
  <c r="AC955" i="432"/>
  <c r="AC957" i="432"/>
  <c r="AC959" i="432"/>
  <c r="AC961" i="432"/>
  <c r="K968" i="432"/>
  <c r="AC980" i="432"/>
  <c r="Z1004" i="432"/>
  <c r="G1004" i="432"/>
  <c r="G995" i="432" s="1"/>
  <c r="G1017" i="432" s="1"/>
  <c r="R1009" i="432"/>
  <c r="AA1009" i="432"/>
  <c r="AB1013" i="432"/>
  <c r="AC1013" i="432" s="1"/>
  <c r="R1014" i="432"/>
  <c r="P796" i="432"/>
  <c r="P789" i="432" s="1"/>
  <c r="AB809" i="432"/>
  <c r="AC809" i="432" s="1"/>
  <c r="Q807" i="432"/>
  <c r="K822" i="432"/>
  <c r="P819" i="432"/>
  <c r="P818" i="432" s="1"/>
  <c r="AC829" i="432"/>
  <c r="K837" i="432"/>
  <c r="Z843" i="432"/>
  <c r="Z842" i="432" s="1"/>
  <c r="G843" i="432"/>
  <c r="AB854" i="432"/>
  <c r="AC854" i="432" s="1"/>
  <c r="AB862" i="432"/>
  <c r="AC862" i="432" s="1"/>
  <c r="AB878" i="432"/>
  <c r="AC878" i="432" s="1"/>
  <c r="AC881" i="432"/>
  <c r="AC885" i="432"/>
  <c r="AB893" i="432"/>
  <c r="AC893" i="432" s="1"/>
  <c r="H891" i="432"/>
  <c r="H890" i="432" s="1"/>
  <c r="AC898" i="432"/>
  <c r="T905" i="432"/>
  <c r="T904" i="432" s="1"/>
  <c r="T889" i="432" s="1"/>
  <c r="P905" i="432"/>
  <c r="P904" i="432" s="1"/>
  <c r="AA909" i="432"/>
  <c r="AB934" i="432"/>
  <c r="AC934" i="432" s="1"/>
  <c r="AC941" i="432"/>
  <c r="AB958" i="432"/>
  <c r="AC958" i="432" s="1"/>
  <c r="AB962" i="432"/>
  <c r="AC962" i="432" s="1"/>
  <c r="AC970" i="432"/>
  <c r="AC972" i="432"/>
  <c r="AC974" i="432"/>
  <c r="AC976" i="432"/>
  <c r="AB979" i="432"/>
  <c r="AC979" i="432" s="1"/>
  <c r="AB1001" i="432"/>
  <c r="AC1001" i="432" s="1"/>
  <c r="I1004" i="432"/>
  <c r="I995" i="432" s="1"/>
  <c r="I1017" i="432" s="1"/>
  <c r="R1011" i="432"/>
  <c r="AA1011" i="432"/>
  <c r="K1014" i="432"/>
  <c r="AB1016" i="432"/>
  <c r="AC1016" i="432" s="1"/>
  <c r="AB803" i="432"/>
  <c r="AC803" i="432" s="1"/>
  <c r="R811" i="432"/>
  <c r="AB812" i="432"/>
  <c r="N819" i="432"/>
  <c r="N818" i="432" s="1"/>
  <c r="AB828" i="432"/>
  <c r="AC828" i="432" s="1"/>
  <c r="AB830" i="432"/>
  <c r="AC830" i="432" s="1"/>
  <c r="AA833" i="432"/>
  <c r="AC839" i="432"/>
  <c r="AB880" i="432"/>
  <c r="AC880" i="432" s="1"/>
  <c r="AB897" i="432"/>
  <c r="V905" i="432"/>
  <c r="V904" i="432" s="1"/>
  <c r="V889" i="432" s="1"/>
  <c r="Z905" i="432"/>
  <c r="Z904" i="432" s="1"/>
  <c r="Z889" i="432" s="1"/>
  <c r="K910" i="432"/>
  <c r="AC917" i="432"/>
  <c r="AB940" i="432"/>
  <c r="AB942" i="432"/>
  <c r="AC942" i="432" s="1"/>
  <c r="AC949" i="432"/>
  <c r="R963" i="432"/>
  <c r="AB971" i="432"/>
  <c r="AC971" i="432" s="1"/>
  <c r="AB973" i="432"/>
  <c r="AC973" i="432" s="1"/>
  <c r="AB978" i="432"/>
  <c r="AC978" i="432" s="1"/>
  <c r="AC982" i="432"/>
  <c r="AC984" i="432"/>
  <c r="AC986" i="432"/>
  <c r="Y995" i="432"/>
  <c r="Y1017" i="432" s="1"/>
  <c r="Q1004" i="432"/>
  <c r="Q995" i="432" s="1"/>
  <c r="Q1017" i="432" s="1"/>
  <c r="AB1010" i="432"/>
  <c r="F1004" i="432"/>
  <c r="F995" i="432" s="1"/>
  <c r="F1017" i="432" s="1"/>
  <c r="AA1014" i="432"/>
  <c r="AC1015" i="432"/>
  <c r="AB248" i="432"/>
  <c r="AC248" i="432" s="1"/>
  <c r="N346" i="432"/>
  <c r="K580" i="432"/>
  <c r="K582" i="432"/>
  <c r="K584" i="432"/>
  <c r="K589" i="432"/>
  <c r="R591" i="432"/>
  <c r="AC607" i="432"/>
  <c r="AB610" i="432"/>
  <c r="AC610" i="432" s="1"/>
  <c r="AB611" i="432"/>
  <c r="AC611" i="432" s="1"/>
  <c r="AB626" i="432"/>
  <c r="AC626" i="432" s="1"/>
  <c r="AB647" i="432"/>
  <c r="AC647" i="432" s="1"/>
  <c r="R652" i="432"/>
  <c r="F651" i="432"/>
  <c r="F650" i="432" s="1"/>
  <c r="H1004" i="432"/>
  <c r="T1004" i="432"/>
  <c r="T995" i="432" s="1"/>
  <c r="T1017" i="432" s="1"/>
  <c r="J1004" i="432"/>
  <c r="J995" i="432" s="1"/>
  <c r="J1017" i="432" s="1"/>
  <c r="K1011" i="432"/>
  <c r="AC606" i="432"/>
  <c r="AA246" i="432"/>
  <c r="I346" i="432"/>
  <c r="J577" i="432"/>
  <c r="J573" i="432" s="1"/>
  <c r="J572" i="432" s="1"/>
  <c r="K591" i="432"/>
  <c r="AA652" i="432"/>
  <c r="U651" i="432"/>
  <c r="U650" i="432" s="1"/>
  <c r="Y651" i="432"/>
  <c r="Y650" i="432" s="1"/>
  <c r="H995" i="432"/>
  <c r="H1017" i="432" s="1"/>
  <c r="AC1003" i="432"/>
  <c r="X1004" i="432"/>
  <c r="X995" i="432" s="1"/>
  <c r="X1017" i="432" s="1"/>
  <c r="W1004" i="432"/>
  <c r="W995" i="432" s="1"/>
  <c r="W1017" i="432" s="1"/>
  <c r="K1009" i="432"/>
  <c r="AC1010" i="432"/>
  <c r="K147" i="432"/>
  <c r="AA147" i="432"/>
  <c r="AA247" i="432"/>
  <c r="K337" i="432"/>
  <c r="AB581" i="432"/>
  <c r="AC581" i="432" s="1"/>
  <c r="AB583" i="432"/>
  <c r="AC583" i="432" s="1"/>
  <c r="AB585" i="432"/>
  <c r="AC585" i="432" s="1"/>
  <c r="AB602" i="432"/>
  <c r="AC602" i="432" s="1"/>
  <c r="AB603" i="432"/>
  <c r="AC603" i="432" s="1"/>
  <c r="AB614" i="432"/>
  <c r="AC614" i="432" s="1"/>
  <c r="AB615" i="432"/>
  <c r="AC615" i="432" s="1"/>
  <c r="AB639" i="432"/>
  <c r="AC639" i="432" s="1"/>
  <c r="AB641" i="432"/>
  <c r="AC641" i="432" s="1"/>
  <c r="AB654" i="432"/>
  <c r="AC654" i="432" s="1"/>
  <c r="S651" i="432"/>
  <c r="S650" i="432" s="1"/>
  <c r="Z651" i="432"/>
  <c r="Z650" i="432" s="1"/>
  <c r="N1004" i="432"/>
  <c r="N995" i="432" s="1"/>
  <c r="N1017" i="432" s="1"/>
  <c r="P1004" i="432"/>
  <c r="P995" i="432" s="1"/>
  <c r="P1017" i="432" s="1"/>
  <c r="O995" i="432"/>
  <c r="O1017" i="432" s="1"/>
  <c r="AC1012" i="432"/>
  <c r="G13" i="432"/>
  <c r="I30" i="432"/>
  <c r="I13" i="432" s="1"/>
  <c r="AB69" i="432"/>
  <c r="AC69" i="432" s="1"/>
  <c r="AA14" i="432"/>
  <c r="AC16" i="432"/>
  <c r="F30" i="432"/>
  <c r="F13" i="432" s="1"/>
  <c r="J30" i="432"/>
  <c r="J13" i="432" s="1"/>
  <c r="AB124" i="432"/>
  <c r="AC124" i="432" s="1"/>
  <c r="AB136" i="432"/>
  <c r="AC136" i="432" s="1"/>
  <c r="AA146" i="432"/>
  <c r="V142" i="432"/>
  <c r="Z142" i="432"/>
  <c r="AC148" i="432"/>
  <c r="AC150" i="432"/>
  <c r="AB165" i="432"/>
  <c r="AB225" i="432"/>
  <c r="AC225" i="432" s="1"/>
  <c r="P13" i="432"/>
  <c r="N30" i="432"/>
  <c r="N13" i="432" s="1"/>
  <c r="K14" i="432"/>
  <c r="AB25" i="432"/>
  <c r="U30" i="432"/>
  <c r="U13" i="432" s="1"/>
  <c r="Y30" i="432"/>
  <c r="Y13" i="432" s="1"/>
  <c r="AB37" i="432"/>
  <c r="K52" i="432"/>
  <c r="AB64" i="432"/>
  <c r="AC64" i="432" s="1"/>
  <c r="AC132" i="432"/>
  <c r="K146" i="432"/>
  <c r="AC154" i="432"/>
  <c r="AC157" i="432"/>
  <c r="AC251" i="432"/>
  <c r="AC255" i="432"/>
  <c r="R15" i="432"/>
  <c r="R53" i="432"/>
  <c r="AB53" i="432" s="1"/>
  <c r="R83" i="432"/>
  <c r="K115" i="432"/>
  <c r="R147" i="432"/>
  <c r="R153" i="432"/>
  <c r="AA193" i="432"/>
  <c r="R226" i="432"/>
  <c r="K258" i="432"/>
  <c r="AA253" i="432"/>
  <c r="AA258" i="432"/>
  <c r="K661" i="432"/>
  <c r="S143" i="432"/>
  <c r="S151" i="432"/>
  <c r="AA170" i="432"/>
  <c r="AB170" i="432" s="1"/>
  <c r="K174" i="432"/>
  <c r="K176" i="432"/>
  <c r="AA180" i="432"/>
  <c r="R183" i="432"/>
  <c r="AA188" i="432"/>
  <c r="H191" i="432"/>
  <c r="H142" i="432" s="1"/>
  <c r="H12" i="432" s="1"/>
  <c r="P191" i="432"/>
  <c r="P142" i="432" s="1"/>
  <c r="X191" i="432"/>
  <c r="X142" i="432" s="1"/>
  <c r="AC197" i="432"/>
  <c r="AA200" i="432"/>
  <c r="AA201" i="432"/>
  <c r="R202" i="432"/>
  <c r="L201" i="432"/>
  <c r="R216" i="432"/>
  <c r="R229" i="432"/>
  <c r="AB229" i="432" s="1"/>
  <c r="AC229" i="432" s="1"/>
  <c r="AA231" i="432"/>
  <c r="AB231" i="432" s="1"/>
  <c r="R235" i="432"/>
  <c r="AB235" i="432" s="1"/>
  <c r="AC235" i="432" s="1"/>
  <c r="AA237" i="432"/>
  <c r="R243" i="432"/>
  <c r="AA268" i="432"/>
  <c r="AA330" i="432"/>
  <c r="S329" i="432"/>
  <c r="AA329" i="432" s="1"/>
  <c r="AA331" i="432"/>
  <c r="AA342" i="432"/>
  <c r="AB342" i="432" s="1"/>
  <c r="Q341" i="432"/>
  <c r="Q340" i="432" s="1"/>
  <c r="K462" i="432"/>
  <c r="K794" i="432"/>
  <c r="R31" i="432"/>
  <c r="R94" i="432"/>
  <c r="R578" i="432"/>
  <c r="D79" i="432"/>
  <c r="L79" i="432"/>
  <c r="D143" i="432"/>
  <c r="L143" i="432"/>
  <c r="D151" i="432"/>
  <c r="L151" i="432"/>
  <c r="R151" i="432" s="1"/>
  <c r="AA172" i="432"/>
  <c r="AB172" i="432" s="1"/>
  <c r="AC172" i="432" s="1"/>
  <c r="K178" i="432"/>
  <c r="L181" i="432"/>
  <c r="R181" i="432" s="1"/>
  <c r="R184" i="432"/>
  <c r="AA186" i="432"/>
  <c r="AB186" i="432" s="1"/>
  <c r="R190" i="432"/>
  <c r="I191" i="432"/>
  <c r="I142" i="432" s="1"/>
  <c r="Q191" i="432"/>
  <c r="Y191" i="432"/>
  <c r="K202" i="432"/>
  <c r="D201" i="432"/>
  <c r="AB203" i="432"/>
  <c r="D207" i="432"/>
  <c r="L207" i="432"/>
  <c r="AA216" i="432"/>
  <c r="K223" i="432"/>
  <c r="D222" i="432"/>
  <c r="K224" i="432"/>
  <c r="AA224" i="432"/>
  <c r="O223" i="432"/>
  <c r="O222" i="432" s="1"/>
  <c r="O221" i="432" s="1"/>
  <c r="O220" i="432" s="1"/>
  <c r="O219" i="432" s="1"/>
  <c r="K227" i="432"/>
  <c r="R228" i="432"/>
  <c r="K232" i="432"/>
  <c r="AA232" i="432"/>
  <c r="AB232" i="432" s="1"/>
  <c r="K238" i="432"/>
  <c r="AA238" i="432"/>
  <c r="AB238" i="432" s="1"/>
  <c r="K241" i="432"/>
  <c r="R242" i="432"/>
  <c r="AB242" i="432" s="1"/>
  <c r="AC242" i="432" s="1"/>
  <c r="R247" i="432"/>
  <c r="L246" i="432"/>
  <c r="R246" i="432" s="1"/>
  <c r="AB246" i="432" s="1"/>
  <c r="K249" i="432"/>
  <c r="R249" i="432"/>
  <c r="R250" i="432"/>
  <c r="S252" i="432"/>
  <c r="AB260" i="432"/>
  <c r="K263" i="432"/>
  <c r="AA266" i="432"/>
  <c r="R270" i="432"/>
  <c r="R274" i="432"/>
  <c r="AA280" i="432"/>
  <c r="K281" i="432"/>
  <c r="AA284" i="432"/>
  <c r="AB284" i="432" s="1"/>
  <c r="AC284" i="432" s="1"/>
  <c r="K287" i="432"/>
  <c r="AC322" i="432"/>
  <c r="R330" i="432"/>
  <c r="L329" i="432"/>
  <c r="R329" i="432" s="1"/>
  <c r="AB329" i="432" s="1"/>
  <c r="S346" i="432"/>
  <c r="W346" i="432"/>
  <c r="AA347" i="432"/>
  <c r="G346" i="432"/>
  <c r="I461" i="432"/>
  <c r="U461" i="432"/>
  <c r="AA477" i="432"/>
  <c r="AA487" i="432"/>
  <c r="AA493" i="432"/>
  <c r="AA115" i="432"/>
  <c r="AB115" i="432" s="1"/>
  <c r="AA192" i="432"/>
  <c r="AA206" i="432"/>
  <c r="AA207" i="432"/>
  <c r="L223" i="432"/>
  <c r="R224" i="432"/>
  <c r="R266" i="432"/>
  <c r="K338" i="432"/>
  <c r="K170" i="432"/>
  <c r="AA174" i="432"/>
  <c r="AB174" i="432" s="1"/>
  <c r="AA176" i="432"/>
  <c r="AB176" i="432" s="1"/>
  <c r="K180" i="432"/>
  <c r="AB185" i="432"/>
  <c r="AC185" i="432" s="1"/>
  <c r="R188" i="432"/>
  <c r="K190" i="432"/>
  <c r="R192" i="432"/>
  <c r="T191" i="432"/>
  <c r="T142" i="432" s="1"/>
  <c r="R193" i="432"/>
  <c r="AA202" i="432"/>
  <c r="R215" i="432"/>
  <c r="K247" i="432"/>
  <c r="D246" i="432"/>
  <c r="K246" i="432" s="1"/>
  <c r="K250" i="432"/>
  <c r="AA249" i="432"/>
  <c r="AA250" i="432"/>
  <c r="K253" i="432"/>
  <c r="D252" i="432"/>
  <c r="R253" i="432"/>
  <c r="L252" i="432"/>
  <c r="AB254" i="432"/>
  <c r="AC254" i="432" s="1"/>
  <c r="R258" i="432"/>
  <c r="K260" i="432"/>
  <c r="AB261" i="432"/>
  <c r="R268" i="432"/>
  <c r="K270" i="432"/>
  <c r="R276" i="432"/>
  <c r="AA279" i="432"/>
  <c r="K330" i="432"/>
  <c r="K336" i="432"/>
  <c r="K672" i="432"/>
  <c r="K683" i="432"/>
  <c r="K697" i="432"/>
  <c r="D274" i="432"/>
  <c r="R279" i="432"/>
  <c r="AB333" i="432"/>
  <c r="AC333" i="432" s="1"/>
  <c r="S337" i="432"/>
  <c r="R338" i="432"/>
  <c r="R352" i="432"/>
  <c r="AB401" i="432"/>
  <c r="AC401" i="432" s="1"/>
  <c r="AB407" i="432"/>
  <c r="AC407" i="432" s="1"/>
  <c r="AB411" i="432"/>
  <c r="AC411" i="432" s="1"/>
  <c r="AB457" i="432"/>
  <c r="AC457" i="432" s="1"/>
  <c r="S461" i="432"/>
  <c r="R462" i="432"/>
  <c r="AB462" i="432" s="1"/>
  <c r="R468" i="432"/>
  <c r="R477" i="432"/>
  <c r="AB481" i="432"/>
  <c r="AC481" i="432" s="1"/>
  <c r="R487" i="432"/>
  <c r="R493" i="432"/>
  <c r="AB500" i="432"/>
  <c r="AC500" i="432" s="1"/>
  <c r="AB506" i="432"/>
  <c r="AC506" i="432" s="1"/>
  <c r="AB514" i="432"/>
  <c r="AC514" i="432" s="1"/>
  <c r="K553" i="432"/>
  <c r="F577" i="432"/>
  <c r="F573" i="432" s="1"/>
  <c r="F572" i="432" s="1"/>
  <c r="K578" i="432"/>
  <c r="AA578" i="432"/>
  <c r="H577" i="432"/>
  <c r="H573" i="432" s="1"/>
  <c r="H572" i="432" s="1"/>
  <c r="AA685" i="432"/>
  <c r="AB685" i="432" s="1"/>
  <c r="AA699" i="432"/>
  <c r="R275" i="432"/>
  <c r="AB275" i="432" s="1"/>
  <c r="AB291" i="432"/>
  <c r="AB298" i="432"/>
  <c r="AB306" i="432"/>
  <c r="AB314" i="432"/>
  <c r="AB321" i="432"/>
  <c r="AB327" i="432"/>
  <c r="AC327" i="432" s="1"/>
  <c r="AB343" i="432"/>
  <c r="AC343" i="432" s="1"/>
  <c r="M346" i="432"/>
  <c r="AB351" i="432"/>
  <c r="AC351" i="432" s="1"/>
  <c r="R354" i="432"/>
  <c r="AB357" i="432"/>
  <c r="AC357" i="432" s="1"/>
  <c r="AB361" i="432"/>
  <c r="AC361" i="432" s="1"/>
  <c r="AB365" i="432"/>
  <c r="AC365" i="432" s="1"/>
  <c r="AB369" i="432"/>
  <c r="AC369" i="432" s="1"/>
  <c r="AB373" i="432"/>
  <c r="AC373" i="432" s="1"/>
  <c r="AB377" i="432"/>
  <c r="AC377" i="432" s="1"/>
  <c r="AB381" i="432"/>
  <c r="AC381" i="432" s="1"/>
  <c r="AB385" i="432"/>
  <c r="AC385" i="432" s="1"/>
  <c r="AB389" i="432"/>
  <c r="AC389" i="432" s="1"/>
  <c r="AB393" i="432"/>
  <c r="AC393" i="432" s="1"/>
  <c r="AB397" i="432"/>
  <c r="AC397" i="432" s="1"/>
  <c r="R403" i="432"/>
  <c r="AB403" i="432" s="1"/>
  <c r="R414" i="432"/>
  <c r="AB417" i="432"/>
  <c r="AC417" i="432" s="1"/>
  <c r="AB421" i="432"/>
  <c r="AC421" i="432" s="1"/>
  <c r="AB425" i="432"/>
  <c r="AC425" i="432" s="1"/>
  <c r="AB429" i="432"/>
  <c r="AC429" i="432" s="1"/>
  <c r="AB433" i="432"/>
  <c r="AC433" i="432" s="1"/>
  <c r="AB437" i="432"/>
  <c r="AC437" i="432" s="1"/>
  <c r="AB441" i="432"/>
  <c r="AC441" i="432" s="1"/>
  <c r="AB445" i="432"/>
  <c r="AC445" i="432" s="1"/>
  <c r="AB449" i="432"/>
  <c r="AC449" i="432" s="1"/>
  <c r="AB453" i="432"/>
  <c r="AC453" i="432" s="1"/>
  <c r="R464" i="432"/>
  <c r="AB467" i="432"/>
  <c r="AC467" i="432" s="1"/>
  <c r="AB473" i="432"/>
  <c r="AC473" i="432" s="1"/>
  <c r="AB483" i="432"/>
  <c r="AC483" i="432" s="1"/>
  <c r="R490" i="432"/>
  <c r="AB490" i="432" s="1"/>
  <c r="R495" i="432"/>
  <c r="AA501" i="432"/>
  <c r="AA505" i="432"/>
  <c r="R507" i="432"/>
  <c r="AB507" i="432" s="1"/>
  <c r="AA509" i="432"/>
  <c r="R511" i="432"/>
  <c r="AA513" i="432"/>
  <c r="AB513" i="432" s="1"/>
  <c r="R515" i="432"/>
  <c r="AB515" i="432" s="1"/>
  <c r="AC515" i="432" s="1"/>
  <c r="AA517" i="432"/>
  <c r="R519" i="432"/>
  <c r="AA521" i="432"/>
  <c r="AA525" i="432"/>
  <c r="AA529" i="432"/>
  <c r="AB529" i="432" s="1"/>
  <c r="AA533" i="432"/>
  <c r="AA537" i="432"/>
  <c r="AB537" i="432" s="1"/>
  <c r="AC537" i="432" s="1"/>
  <c r="AA541" i="432"/>
  <c r="AB541" i="432" s="1"/>
  <c r="AC541" i="432" s="1"/>
  <c r="AA545" i="432"/>
  <c r="AA549" i="432"/>
  <c r="AC554" i="432"/>
  <c r="R556" i="432"/>
  <c r="L555" i="432"/>
  <c r="AC574" i="432"/>
  <c r="D577" i="432"/>
  <c r="R281" i="432"/>
  <c r="AB281" i="432" s="1"/>
  <c r="R331" i="432"/>
  <c r="AB339" i="432"/>
  <c r="AC339" i="432" s="1"/>
  <c r="AB353" i="432"/>
  <c r="AC353" i="432" s="1"/>
  <c r="R400" i="432"/>
  <c r="AB400" i="432" s="1"/>
  <c r="R406" i="432"/>
  <c r="AB409" i="432"/>
  <c r="AC409" i="432" s="1"/>
  <c r="AB413" i="432"/>
  <c r="AC413" i="432" s="1"/>
  <c r="AB455" i="432"/>
  <c r="AC455" i="432" s="1"/>
  <c r="AB459" i="432"/>
  <c r="AC459" i="432" s="1"/>
  <c r="AB463" i="432"/>
  <c r="AC463" i="432" s="1"/>
  <c r="AB469" i="432"/>
  <c r="AC469" i="432" s="1"/>
  <c r="AB479" i="432"/>
  <c r="AC479" i="432" s="1"/>
  <c r="AB489" i="432"/>
  <c r="AC489" i="432" s="1"/>
  <c r="R499" i="432"/>
  <c r="AB499" i="432" s="1"/>
  <c r="AB503" i="432"/>
  <c r="AB516" i="432"/>
  <c r="AC516" i="432" s="1"/>
  <c r="AB520" i="432"/>
  <c r="AC520" i="432" s="1"/>
  <c r="AB524" i="432"/>
  <c r="AC524" i="432" s="1"/>
  <c r="AB527" i="432"/>
  <c r="AC527" i="432" s="1"/>
  <c r="AB539" i="432"/>
  <c r="AC544" i="432"/>
  <c r="AB547" i="432"/>
  <c r="AC568" i="432"/>
  <c r="T577" i="432"/>
  <c r="T573" i="432" s="1"/>
  <c r="T572" i="432" s="1"/>
  <c r="X577" i="432"/>
  <c r="X573" i="432" s="1"/>
  <c r="X572" i="432" s="1"/>
  <c r="K786" i="432"/>
  <c r="D783" i="432"/>
  <c r="K783" i="432" s="1"/>
  <c r="AA825" i="432"/>
  <c r="K556" i="432"/>
  <c r="D555" i="432"/>
  <c r="K555" i="432" s="1"/>
  <c r="AB557" i="432"/>
  <c r="AC557" i="432" s="1"/>
  <c r="K560" i="432"/>
  <c r="R560" i="432"/>
  <c r="R561" i="432"/>
  <c r="AB575" i="432"/>
  <c r="R580" i="432"/>
  <c r="AA582" i="432"/>
  <c r="R584" i="432"/>
  <c r="AA586" i="432"/>
  <c r="AA591" i="432"/>
  <c r="AB609" i="432"/>
  <c r="AC609" i="432" s="1"/>
  <c r="AC630" i="432"/>
  <c r="AC632" i="432"/>
  <c r="R661" i="432"/>
  <c r="AC703" i="432"/>
  <c r="L706" i="432"/>
  <c r="R707" i="432"/>
  <c r="R711" i="432"/>
  <c r="R820" i="432"/>
  <c r="I555" i="432"/>
  <c r="AA556" i="432"/>
  <c r="K561" i="432"/>
  <c r="AA560" i="432"/>
  <c r="AA561" i="432"/>
  <c r="R567" i="432"/>
  <c r="M577" i="432"/>
  <c r="M573" i="432" s="1"/>
  <c r="M572" i="432" s="1"/>
  <c r="Q577" i="432"/>
  <c r="Q573" i="432" s="1"/>
  <c r="Q572" i="432" s="1"/>
  <c r="AA672" i="432"/>
  <c r="AA673" i="432"/>
  <c r="K707" i="432"/>
  <c r="D706" i="432"/>
  <c r="K711" i="432"/>
  <c r="F706" i="432"/>
  <c r="F671" i="432" s="1"/>
  <c r="F670" i="432" s="1"/>
  <c r="F669" i="432" s="1"/>
  <c r="F668" i="432" s="1"/>
  <c r="F667" i="432" s="1"/>
  <c r="AA711" i="432"/>
  <c r="AC726" i="432"/>
  <c r="AC730" i="432"/>
  <c r="AC742" i="432"/>
  <c r="AA772" i="432"/>
  <c r="AB772" i="432" s="1"/>
  <c r="D772" i="432"/>
  <c r="K775" i="432"/>
  <c r="R775" i="432"/>
  <c r="K781" i="432"/>
  <c r="D778" i="432"/>
  <c r="L337" i="432"/>
  <c r="L461" i="432"/>
  <c r="T555" i="432"/>
  <c r="T341" i="432" s="1"/>
  <c r="T340" i="432" s="1"/>
  <c r="X555" i="432"/>
  <c r="K558" i="432"/>
  <c r="AB559" i="432"/>
  <c r="AC559" i="432" s="1"/>
  <c r="K567" i="432"/>
  <c r="AA567" i="432"/>
  <c r="AB569" i="432"/>
  <c r="AA570" i="432"/>
  <c r="AB570" i="432" s="1"/>
  <c r="I577" i="432"/>
  <c r="I573" i="432" s="1"/>
  <c r="I572" i="432" s="1"/>
  <c r="AA580" i="432"/>
  <c r="R582" i="432"/>
  <c r="AA584" i="432"/>
  <c r="R586" i="432"/>
  <c r="AA589" i="432"/>
  <c r="AB592" i="432"/>
  <c r="AB605" i="432"/>
  <c r="AC605" i="432" s="1"/>
  <c r="AC646" i="432"/>
  <c r="K656" i="432"/>
  <c r="M655" i="432"/>
  <c r="M651" i="432" s="1"/>
  <c r="M650" i="432" s="1"/>
  <c r="R656" i="432"/>
  <c r="Q651" i="432"/>
  <c r="Q650" i="432" s="1"/>
  <c r="AC657" i="432"/>
  <c r="AC659" i="432"/>
  <c r="AC665" i="432"/>
  <c r="K673" i="432"/>
  <c r="T671" i="432"/>
  <c r="T670" i="432" s="1"/>
  <c r="T669" i="432" s="1"/>
  <c r="T668" i="432" s="1"/>
  <c r="T667" i="432" s="1"/>
  <c r="R683" i="432"/>
  <c r="R691" i="432"/>
  <c r="AA694" i="432"/>
  <c r="R697" i="432"/>
  <c r="AA707" i="432"/>
  <c r="W706" i="432"/>
  <c r="W671" i="432" s="1"/>
  <c r="W670" i="432" s="1"/>
  <c r="W669" i="432" s="1"/>
  <c r="W668" i="432" s="1"/>
  <c r="W667" i="432" s="1"/>
  <c r="AA719" i="432"/>
  <c r="AB719" i="432" s="1"/>
  <c r="R786" i="432"/>
  <c r="L783" i="432"/>
  <c r="R783" i="432" s="1"/>
  <c r="AA791" i="432"/>
  <c r="S790" i="432"/>
  <c r="W789" i="432"/>
  <c r="W777" i="432" s="1"/>
  <c r="W770" i="432" s="1"/>
  <c r="AA794" i="432"/>
  <c r="AC795" i="432"/>
  <c r="L802" i="432"/>
  <c r="R802" i="432" s="1"/>
  <c r="R805" i="432"/>
  <c r="D860" i="432"/>
  <c r="K861" i="432"/>
  <c r="AA861" i="432"/>
  <c r="D693" i="432"/>
  <c r="L693" i="432"/>
  <c r="R771" i="432"/>
  <c r="AA775" i="432"/>
  <c r="K790" i="432"/>
  <c r="R813" i="432"/>
  <c r="AA813" i="432"/>
  <c r="AA816" i="432"/>
  <c r="AA820" i="432"/>
  <c r="R822" i="432"/>
  <c r="L819" i="432"/>
  <c r="D831" i="432"/>
  <c r="AA836" i="432"/>
  <c r="U835" i="432"/>
  <c r="G842" i="432"/>
  <c r="G835" i="432" s="1"/>
  <c r="R853" i="432"/>
  <c r="L852" i="432"/>
  <c r="R852" i="432" s="1"/>
  <c r="K869" i="432"/>
  <c r="D868" i="432"/>
  <c r="K868" i="432" s="1"/>
  <c r="K874" i="432"/>
  <c r="AA874" i="432"/>
  <c r="AA877" i="432"/>
  <c r="J873" i="432"/>
  <c r="J872" i="432" s="1"/>
  <c r="S706" i="432"/>
  <c r="AB774" i="432"/>
  <c r="AC774" i="432" s="1"/>
  <c r="L778" i="432"/>
  <c r="R781" i="432"/>
  <c r="AB781" i="432" s="1"/>
  <c r="AA783" i="432"/>
  <c r="AA786" i="432"/>
  <c r="K791" i="432"/>
  <c r="L790" i="432"/>
  <c r="R791" i="432"/>
  <c r="T789" i="432"/>
  <c r="K800" i="432"/>
  <c r="D797" i="432"/>
  <c r="AA800" i="432"/>
  <c r="D807" i="432"/>
  <c r="P807" i="432"/>
  <c r="AC812" i="432"/>
  <c r="K816" i="432"/>
  <c r="G825" i="432"/>
  <c r="R825" i="432"/>
  <c r="AA826" i="432"/>
  <c r="AC827" i="432"/>
  <c r="V835" i="432"/>
  <c r="V824" i="432" s="1"/>
  <c r="T843" i="432"/>
  <c r="T842" i="432" s="1"/>
  <c r="T835" i="432" s="1"/>
  <c r="X843" i="432"/>
  <c r="X842" i="432" s="1"/>
  <c r="X835" i="432" s="1"/>
  <c r="AC845" i="432"/>
  <c r="M873" i="432"/>
  <c r="M872" i="432" s="1"/>
  <c r="R874" i="432"/>
  <c r="X873" i="432"/>
  <c r="X872" i="432" s="1"/>
  <c r="K879" i="432"/>
  <c r="L650" i="432"/>
  <c r="L672" i="432"/>
  <c r="AC755" i="432"/>
  <c r="AC763" i="432"/>
  <c r="R794" i="432"/>
  <c r="AA797" i="432"/>
  <c r="S796" i="432"/>
  <c r="Y796" i="432"/>
  <c r="Y789" i="432" s="1"/>
  <c r="AA808" i="432"/>
  <c r="S807" i="432"/>
  <c r="AA811" i="432"/>
  <c r="S778" i="432"/>
  <c r="U796" i="432"/>
  <c r="U789" i="432" s="1"/>
  <c r="U777" i="432" s="1"/>
  <c r="U770" i="432" s="1"/>
  <c r="L797" i="432"/>
  <c r="R800" i="432"/>
  <c r="AB806" i="432"/>
  <c r="AC806" i="432" s="1"/>
  <c r="L808" i="432"/>
  <c r="X807" i="432"/>
  <c r="G807" i="432"/>
  <c r="K811" i="432"/>
  <c r="O807" i="432"/>
  <c r="R816" i="432"/>
  <c r="K819" i="432"/>
  <c r="AA837" i="432"/>
  <c r="AB837" i="432" s="1"/>
  <c r="AC837" i="432" s="1"/>
  <c r="M843" i="432"/>
  <c r="Q843" i="432"/>
  <c r="AB847" i="432"/>
  <c r="AC847" i="432" s="1"/>
  <c r="K853" i="432"/>
  <c r="D852" i="432"/>
  <c r="K852" i="432" s="1"/>
  <c r="R857" i="432"/>
  <c r="Q860" i="432"/>
  <c r="Q859" i="432" s="1"/>
  <c r="H873" i="432"/>
  <c r="H872" i="432" s="1"/>
  <c r="H824" i="432" s="1"/>
  <c r="Y873" i="432"/>
  <c r="Y872" i="432" s="1"/>
  <c r="AC876" i="432"/>
  <c r="D891" i="432"/>
  <c r="K892" i="432"/>
  <c r="AA899" i="432"/>
  <c r="K906" i="432"/>
  <c r="K907" i="432"/>
  <c r="AC927" i="432"/>
  <c r="AC943" i="432"/>
  <c r="AA966" i="432"/>
  <c r="S965" i="432"/>
  <c r="AA965" i="432" s="1"/>
  <c r="AA967" i="432"/>
  <c r="Q796" i="432"/>
  <c r="Q789" i="432" s="1"/>
  <c r="AB801" i="432"/>
  <c r="AC801" i="432" s="1"/>
  <c r="AA802" i="432"/>
  <c r="AA805" i="432"/>
  <c r="T807" i="432"/>
  <c r="AB814" i="432"/>
  <c r="AC814" i="432" s="1"/>
  <c r="K818" i="432"/>
  <c r="R826" i="432"/>
  <c r="K833" i="432"/>
  <c r="L832" i="432"/>
  <c r="R833" i="432"/>
  <c r="O835" i="432"/>
  <c r="O824" i="432" s="1"/>
  <c r="Z835" i="432"/>
  <c r="K844" i="432"/>
  <c r="I843" i="432"/>
  <c r="I842" i="432" s="1"/>
  <c r="I835" i="432" s="1"/>
  <c r="I824" i="432" s="1"/>
  <c r="AA844" i="432"/>
  <c r="R848" i="432"/>
  <c r="AB849" i="432"/>
  <c r="AC849" i="432" s="1"/>
  <c r="AA853" i="432"/>
  <c r="K857" i="432"/>
  <c r="AC858" i="432"/>
  <c r="AA868" i="432"/>
  <c r="L868" i="432"/>
  <c r="R868" i="432" s="1"/>
  <c r="R869" i="432"/>
  <c r="K870" i="432"/>
  <c r="Z873" i="432"/>
  <c r="Z872" i="432" s="1"/>
  <c r="R882" i="432"/>
  <c r="L879" i="432"/>
  <c r="R879" i="432" s="1"/>
  <c r="X889" i="432"/>
  <c r="L836" i="432"/>
  <c r="R844" i="432"/>
  <c r="S852" i="432"/>
  <c r="R865" i="432"/>
  <c r="AB865" i="432" s="1"/>
  <c r="AC865" i="432" s="1"/>
  <c r="L861" i="432"/>
  <c r="P861" i="432"/>
  <c r="P860" i="432" s="1"/>
  <c r="P859" i="432" s="1"/>
  <c r="P842" i="432" s="1"/>
  <c r="P835" i="432" s="1"/>
  <c r="P824" i="432" s="1"/>
  <c r="R870" i="432"/>
  <c r="T873" i="432"/>
  <c r="T872" i="432" s="1"/>
  <c r="K877" i="432"/>
  <c r="D884" i="432"/>
  <c r="K884" i="432" s="1"/>
  <c r="L884" i="432"/>
  <c r="R884" i="432" s="1"/>
  <c r="R887" i="432"/>
  <c r="AA892" i="432"/>
  <c r="AB892" i="432" s="1"/>
  <c r="R895" i="432"/>
  <c r="L891" i="432"/>
  <c r="AC897" i="432"/>
  <c r="S906" i="432"/>
  <c r="AC916" i="432"/>
  <c r="AC924" i="432"/>
  <c r="AC932" i="432"/>
  <c r="AC940" i="432"/>
  <c r="AC948" i="432"/>
  <c r="G832" i="432"/>
  <c r="G831" i="432" s="1"/>
  <c r="S832" i="432"/>
  <c r="D836" i="432"/>
  <c r="AB863" i="432"/>
  <c r="AC863" i="432" s="1"/>
  <c r="P873" i="432"/>
  <c r="P872" i="432" s="1"/>
  <c r="R877" i="432"/>
  <c r="AA879" i="432"/>
  <c r="AA882" i="432"/>
  <c r="AB896" i="432"/>
  <c r="AC896" i="432" s="1"/>
  <c r="G909" i="432"/>
  <c r="K909" i="432" s="1"/>
  <c r="R909" i="432"/>
  <c r="AB909" i="432" s="1"/>
  <c r="AA910" i="432"/>
  <c r="AC911" i="432"/>
  <c r="K913" i="432"/>
  <c r="D912" i="432"/>
  <c r="K912" i="432" s="1"/>
  <c r="R913" i="432"/>
  <c r="L912" i="432"/>
  <c r="R912" i="432" s="1"/>
  <c r="R914" i="432"/>
  <c r="AB922" i="432"/>
  <c r="AC922" i="432" s="1"/>
  <c r="AB930" i="432"/>
  <c r="AC930" i="432" s="1"/>
  <c r="AB938" i="432"/>
  <c r="AC938" i="432" s="1"/>
  <c r="AB946" i="432"/>
  <c r="AC946" i="432" s="1"/>
  <c r="AB954" i="432"/>
  <c r="AC954" i="432" s="1"/>
  <c r="R867" i="432"/>
  <c r="AB867" i="432" s="1"/>
  <c r="AC867" i="432" s="1"/>
  <c r="AA869" i="432"/>
  <c r="AA870" i="432"/>
  <c r="K882" i="432"/>
  <c r="AB883" i="432"/>
  <c r="AC883" i="432" s="1"/>
  <c r="AA887" i="432"/>
  <c r="AB888" i="432"/>
  <c r="AC888" i="432" s="1"/>
  <c r="AA895" i="432"/>
  <c r="AB903" i="432"/>
  <c r="AC903" i="432" s="1"/>
  <c r="R906" i="432"/>
  <c r="L905" i="432"/>
  <c r="W905" i="432"/>
  <c r="W904" i="432" s="1"/>
  <c r="W889" i="432" s="1"/>
  <c r="AC908" i="432"/>
  <c r="K914" i="432"/>
  <c r="AA913" i="432"/>
  <c r="S912" i="432"/>
  <c r="AA912" i="432" s="1"/>
  <c r="AA914" i="432"/>
  <c r="AC915" i="432"/>
  <c r="AC931" i="432"/>
  <c r="AC939" i="432"/>
  <c r="AC947" i="432"/>
  <c r="AB969" i="432"/>
  <c r="AC969" i="432" s="1"/>
  <c r="AA998" i="432"/>
  <c r="S997" i="432"/>
  <c r="AA999" i="432"/>
  <c r="D1004" i="432"/>
  <c r="K1005" i="432"/>
  <c r="S884" i="432"/>
  <c r="AA884" i="432" s="1"/>
  <c r="K900" i="432"/>
  <c r="D899" i="432"/>
  <c r="K899" i="432" s="1"/>
  <c r="R900" i="432"/>
  <c r="L899" i="432"/>
  <c r="R899" i="432" s="1"/>
  <c r="R901" i="432"/>
  <c r="AC926" i="432"/>
  <c r="AC950" i="432"/>
  <c r="AA968" i="432"/>
  <c r="L999" i="432"/>
  <c r="K901" i="432"/>
  <c r="AA900" i="432"/>
  <c r="AA901" i="432"/>
  <c r="R907" i="432"/>
  <c r="R910" i="432"/>
  <c r="AB920" i="432"/>
  <c r="AC920" i="432" s="1"/>
  <c r="AB928" i="432"/>
  <c r="AC928" i="432" s="1"/>
  <c r="AB936" i="432"/>
  <c r="AC936" i="432" s="1"/>
  <c r="AB944" i="432"/>
  <c r="AC944" i="432" s="1"/>
  <c r="AB952" i="432"/>
  <c r="AC952" i="432" s="1"/>
  <c r="AB960" i="432"/>
  <c r="AC960" i="432" s="1"/>
  <c r="AA963" i="432"/>
  <c r="AB963" i="432" s="1"/>
  <c r="AB975" i="432"/>
  <c r="AC975" i="432" s="1"/>
  <c r="Z995" i="432"/>
  <c r="Z1017" i="432" s="1"/>
  <c r="K1002" i="432"/>
  <c r="D1000" i="432"/>
  <c r="K1007" i="432"/>
  <c r="D967" i="432"/>
  <c r="L967" i="432"/>
  <c r="AC987" i="432"/>
  <c r="R1005" i="432"/>
  <c r="L1004" i="432"/>
  <c r="R1006" i="432"/>
  <c r="AB981" i="432"/>
  <c r="AC981" i="432" s="1"/>
  <c r="AA1000" i="432"/>
  <c r="AA1002" i="432"/>
  <c r="AB1002" i="432" s="1"/>
  <c r="AC1002" i="432" s="1"/>
  <c r="K1006" i="432"/>
  <c r="AB983" i="432"/>
  <c r="AC983" i="432" s="1"/>
  <c r="R992" i="432"/>
  <c r="AB991" i="432"/>
  <c r="R1007" i="432"/>
  <c r="AA1006" i="432"/>
  <c r="AA1007" i="432"/>
  <c r="Z176" i="435" l="1"/>
  <c r="AA176" i="435" s="1"/>
  <c r="AA119" i="435"/>
  <c r="R12" i="434"/>
  <c r="Z13" i="434"/>
  <c r="K13" i="434"/>
  <c r="Q14" i="434"/>
  <c r="AA14" i="434" s="1"/>
  <c r="AB14" i="434" s="1"/>
  <c r="C30" i="434"/>
  <c r="J31" i="434"/>
  <c r="Q31" i="434"/>
  <c r="AA31" i="434" s="1"/>
  <c r="AB31" i="434" s="1"/>
  <c r="K30" i="434"/>
  <c r="J12" i="434"/>
  <c r="N142" i="432"/>
  <c r="AB589" i="432"/>
  <c r="M995" i="432"/>
  <c r="M1017" i="432" s="1"/>
  <c r="AB1005" i="432"/>
  <c r="AC1005" i="432" s="1"/>
  <c r="Y777" i="432"/>
  <c r="Y770" i="432" s="1"/>
  <c r="AB673" i="432"/>
  <c r="AB661" i="432"/>
  <c r="AC661" i="432" s="1"/>
  <c r="AB591" i="432"/>
  <c r="AA183" i="432"/>
  <c r="AB94" i="432"/>
  <c r="AC94" i="432" s="1"/>
  <c r="AB237" i="432"/>
  <c r="AC237" i="432" s="1"/>
  <c r="R80" i="432"/>
  <c r="AB713" i="432"/>
  <c r="H671" i="432"/>
  <c r="H670" i="432" s="1"/>
  <c r="H669" i="432" s="1"/>
  <c r="H668" i="432" s="1"/>
  <c r="H667" i="432" s="1"/>
  <c r="AB687" i="432"/>
  <c r="AC687" i="432" s="1"/>
  <c r="AB681" i="432"/>
  <c r="AC681" i="432" s="1"/>
  <c r="AC717" i="432"/>
  <c r="AB558" i="432"/>
  <c r="V341" i="432"/>
  <c r="V340" i="432" s="1"/>
  <c r="V245" i="432" s="1"/>
  <c r="AB286" i="432"/>
  <c r="AB49" i="432"/>
  <c r="AC49" i="432" s="1"/>
  <c r="AB104" i="432"/>
  <c r="AC104" i="432" s="1"/>
  <c r="AB99" i="432"/>
  <c r="AC58" i="432"/>
  <c r="Y341" i="432"/>
  <c r="Y340" i="432" s="1"/>
  <c r="Y245" i="432" s="1"/>
  <c r="AB43" i="432"/>
  <c r="AC43" i="432" s="1"/>
  <c r="AC558" i="432"/>
  <c r="AB907" i="432"/>
  <c r="T245" i="432"/>
  <c r="AB509" i="432"/>
  <c r="AC509" i="432" s="1"/>
  <c r="AB414" i="432"/>
  <c r="AC414" i="432" s="1"/>
  <c r="AB493" i="432"/>
  <c r="AB338" i="432"/>
  <c r="G341" i="432"/>
  <c r="G340" i="432" s="1"/>
  <c r="G245" i="432" s="1"/>
  <c r="AB270" i="432"/>
  <c r="AB228" i="432"/>
  <c r="AB190" i="432"/>
  <c r="AA182" i="432"/>
  <c r="AB182" i="432" s="1"/>
  <c r="P889" i="432"/>
  <c r="R566" i="432"/>
  <c r="K566" i="432"/>
  <c r="AC531" i="432"/>
  <c r="AB72" i="432"/>
  <c r="AC72" i="432" s="1"/>
  <c r="Y889" i="432"/>
  <c r="Q777" i="432"/>
  <c r="Q770" i="432" s="1"/>
  <c r="AB771" i="432"/>
  <c r="AC539" i="432"/>
  <c r="AB406" i="432"/>
  <c r="AC406" i="432" s="1"/>
  <c r="AB331" i="432"/>
  <c r="AC331" i="432" s="1"/>
  <c r="AB525" i="432"/>
  <c r="AC525" i="432" s="1"/>
  <c r="AC403" i="432"/>
  <c r="AB354" i="432"/>
  <c r="Y142" i="432"/>
  <c r="AC186" i="432"/>
  <c r="J12" i="432"/>
  <c r="H889" i="432"/>
  <c r="AB679" i="432"/>
  <c r="AC679" i="432" s="1"/>
  <c r="AB701" i="432"/>
  <c r="AC701" i="432" s="1"/>
  <c r="AB689" i="432"/>
  <c r="AC689" i="432" s="1"/>
  <c r="AB347" i="432"/>
  <c r="AB141" i="432"/>
  <c r="AC141" i="432" s="1"/>
  <c r="AB14" i="432"/>
  <c r="AB230" i="432"/>
  <c r="AC230" i="432" s="1"/>
  <c r="AB128" i="432"/>
  <c r="AC128" i="432" s="1"/>
  <c r="M889" i="432"/>
  <c r="AB131" i="432"/>
  <c r="AC131" i="432" s="1"/>
  <c r="AB63" i="432"/>
  <c r="AC63" i="432" s="1"/>
  <c r="AB24" i="432"/>
  <c r="AC17" i="432"/>
  <c r="R52" i="432"/>
  <c r="Q30" i="432"/>
  <c r="Q13" i="432" s="1"/>
  <c r="AB92" i="432"/>
  <c r="AC92" i="432" s="1"/>
  <c r="AA1004" i="432"/>
  <c r="AA891" i="432"/>
  <c r="S859" i="432"/>
  <c r="AA859" i="432" s="1"/>
  <c r="AB521" i="432"/>
  <c r="AC521" i="432" s="1"/>
  <c r="AB505" i="432"/>
  <c r="AC505" i="432" s="1"/>
  <c r="AB247" i="432"/>
  <c r="X12" i="432"/>
  <c r="J245" i="432"/>
  <c r="Z341" i="432"/>
  <c r="Z340" i="432" s="1"/>
  <c r="Z245" i="432" s="1"/>
  <c r="AB173" i="432"/>
  <c r="AC173" i="432" s="1"/>
  <c r="AB133" i="432"/>
  <c r="AC133" i="432" s="1"/>
  <c r="AB189" i="432"/>
  <c r="AC189" i="432" s="1"/>
  <c r="AB166" i="432"/>
  <c r="AC166" i="432" s="1"/>
  <c r="AB135" i="432"/>
  <c r="AC135" i="432" s="1"/>
  <c r="AB110" i="432"/>
  <c r="AC110" i="432" s="1"/>
  <c r="O30" i="432"/>
  <c r="O13" i="432" s="1"/>
  <c r="AB90" i="432"/>
  <c r="AC90" i="432" s="1"/>
  <c r="AC21" i="432"/>
  <c r="AB55" i="432"/>
  <c r="AC55" i="432" s="1"/>
  <c r="M30" i="432"/>
  <c r="M13" i="432" s="1"/>
  <c r="AB968" i="432"/>
  <c r="AC968" i="432" s="1"/>
  <c r="G777" i="432"/>
  <c r="G770" i="432" s="1"/>
  <c r="AA461" i="432"/>
  <c r="AB461" i="432" s="1"/>
  <c r="AC461" i="432" s="1"/>
  <c r="T12" i="432"/>
  <c r="AB848" i="432"/>
  <c r="AC848" i="432" s="1"/>
  <c r="AB857" i="432"/>
  <c r="AC857" i="432" s="1"/>
  <c r="X777" i="432"/>
  <c r="X770" i="432" s="1"/>
  <c r="X769" i="432" s="1"/>
  <c r="X768" i="432" s="1"/>
  <c r="X988" i="432" s="1"/>
  <c r="AB811" i="432"/>
  <c r="U824" i="432"/>
  <c r="U769" i="432" s="1"/>
  <c r="U768" i="432" s="1"/>
  <c r="U988" i="432" s="1"/>
  <c r="R693" i="432"/>
  <c r="AB694" i="432"/>
  <c r="AC694" i="432" s="1"/>
  <c r="AB656" i="432"/>
  <c r="AC656" i="432" s="1"/>
  <c r="X341" i="432"/>
  <c r="X340" i="432" s="1"/>
  <c r="AA655" i="432"/>
  <c r="AB549" i="432"/>
  <c r="AC549" i="432" s="1"/>
  <c r="AB533" i="432"/>
  <c r="AC533" i="432" s="1"/>
  <c r="AB519" i="432"/>
  <c r="AC519" i="432" s="1"/>
  <c r="AB501" i="432"/>
  <c r="AC501" i="432" s="1"/>
  <c r="M341" i="432"/>
  <c r="M340" i="432" s="1"/>
  <c r="H245" i="432"/>
  <c r="H11" i="432" s="1"/>
  <c r="AC563" i="432"/>
  <c r="AB477" i="432"/>
  <c r="AB352" i="432"/>
  <c r="AC352" i="432" s="1"/>
  <c r="AB215" i="432"/>
  <c r="AC215" i="432" s="1"/>
  <c r="W341" i="432"/>
  <c r="W340" i="432" s="1"/>
  <c r="W245" i="432" s="1"/>
  <c r="AB280" i="432"/>
  <c r="AC280" i="432" s="1"/>
  <c r="AC263" i="432"/>
  <c r="O142" i="432"/>
  <c r="Q142" i="432"/>
  <c r="AB184" i="432"/>
  <c r="AB243" i="432"/>
  <c r="AC243" i="432" s="1"/>
  <c r="AB180" i="432"/>
  <c r="AC180" i="432" s="1"/>
  <c r="AA151" i="432"/>
  <c r="AB146" i="432"/>
  <c r="AA52" i="432"/>
  <c r="Q671" i="432"/>
  <c r="Q670" i="432" s="1"/>
  <c r="Q669" i="432" s="1"/>
  <c r="Q668" i="432" s="1"/>
  <c r="Q667" i="432" s="1"/>
  <c r="AB497" i="432"/>
  <c r="AC497" i="432" s="1"/>
  <c r="AB211" i="432"/>
  <c r="AC211" i="432" s="1"/>
  <c r="AB114" i="432"/>
  <c r="AC114" i="432" s="1"/>
  <c r="AB106" i="432"/>
  <c r="AC106" i="432" s="1"/>
  <c r="AB98" i="432"/>
  <c r="G142" i="432"/>
  <c r="G12" i="432" s="1"/>
  <c r="AB108" i="432"/>
  <c r="AC108" i="432" s="1"/>
  <c r="AB33" i="432"/>
  <c r="AC89" i="432"/>
  <c r="AC44" i="432"/>
  <c r="AB34" i="432"/>
  <c r="AC34" i="432" s="1"/>
  <c r="M777" i="432"/>
  <c r="M770" i="432" s="1"/>
  <c r="R1000" i="432"/>
  <c r="K1004" i="432"/>
  <c r="O777" i="432"/>
  <c r="O770" i="432" s="1"/>
  <c r="O769" i="432" s="1"/>
  <c r="O768" i="432" s="1"/>
  <c r="O988" i="432" s="1"/>
  <c r="K693" i="432"/>
  <c r="K655" i="432"/>
  <c r="R706" i="432"/>
  <c r="AA650" i="432"/>
  <c r="R555" i="432"/>
  <c r="AB545" i="432"/>
  <c r="AC545" i="432" s="1"/>
  <c r="AB517" i="432"/>
  <c r="AC517" i="432" s="1"/>
  <c r="AB495" i="432"/>
  <c r="AC495" i="432" s="1"/>
  <c r="AB468" i="432"/>
  <c r="AC468" i="432" s="1"/>
  <c r="AC241" i="432"/>
  <c r="N341" i="432"/>
  <c r="N340" i="432" s="1"/>
  <c r="N245" i="432" s="1"/>
  <c r="S671" i="432"/>
  <c r="S670" i="432" s="1"/>
  <c r="N777" i="432"/>
  <c r="N770" i="432" s="1"/>
  <c r="N769" i="432" s="1"/>
  <c r="N768" i="432" s="1"/>
  <c r="N988" i="432" s="1"/>
  <c r="AB152" i="432"/>
  <c r="AC152" i="432" s="1"/>
  <c r="AB112" i="432"/>
  <c r="AC112" i="432" s="1"/>
  <c r="AB38" i="432"/>
  <c r="AC38" i="432" s="1"/>
  <c r="AB26" i="432"/>
  <c r="AC26" i="432" s="1"/>
  <c r="AC57" i="432"/>
  <c r="AB117" i="432"/>
  <c r="AB1014" i="432"/>
  <c r="AC1014" i="432" s="1"/>
  <c r="S668" i="433"/>
  <c r="AA669" i="433"/>
  <c r="R669" i="433"/>
  <c r="L668" i="433"/>
  <c r="R777" i="433"/>
  <c r="AB777" i="433" s="1"/>
  <c r="L770" i="433"/>
  <c r="AA770" i="433"/>
  <c r="AC1004" i="433"/>
  <c r="D1017" i="433"/>
  <c r="K995" i="433"/>
  <c r="K1017" i="433" s="1"/>
  <c r="AB245" i="433"/>
  <c r="AC245" i="433" s="1"/>
  <c r="R995" i="433"/>
  <c r="L1017" i="433"/>
  <c r="R13" i="433"/>
  <c r="AC340" i="433"/>
  <c r="AA219" i="433"/>
  <c r="S142" i="433"/>
  <c r="AA142" i="433" s="1"/>
  <c r="D11" i="433"/>
  <c r="K12" i="433"/>
  <c r="AA842" i="433"/>
  <c r="AB842" i="433" s="1"/>
  <c r="AC842" i="433" s="1"/>
  <c r="S835" i="433"/>
  <c r="AA13" i="433"/>
  <c r="D770" i="433"/>
  <c r="K777" i="433"/>
  <c r="K669" i="433"/>
  <c r="D668" i="433"/>
  <c r="AB30" i="433"/>
  <c r="AC30" i="433" s="1"/>
  <c r="R220" i="433"/>
  <c r="AB220" i="433" s="1"/>
  <c r="AC220" i="433" s="1"/>
  <c r="L219" i="433"/>
  <c r="AB900" i="432"/>
  <c r="AB826" i="432"/>
  <c r="AC826" i="432" s="1"/>
  <c r="M842" i="432"/>
  <c r="M835" i="432" s="1"/>
  <c r="M824" i="432" s="1"/>
  <c r="AB816" i="432"/>
  <c r="AC816" i="432" s="1"/>
  <c r="AB791" i="432"/>
  <c r="D873" i="432"/>
  <c r="D872" i="432" s="1"/>
  <c r="K872" i="432" s="1"/>
  <c r="AB697" i="432"/>
  <c r="AB582" i="432"/>
  <c r="AC582" i="432" s="1"/>
  <c r="R461" i="432"/>
  <c r="AB511" i="432"/>
  <c r="AC511" i="432" s="1"/>
  <c r="AB487" i="432"/>
  <c r="AC487" i="432" s="1"/>
  <c r="AC115" i="432"/>
  <c r="K151" i="432"/>
  <c r="AB1009" i="432"/>
  <c r="AC1009" i="432" s="1"/>
  <c r="AB551" i="432"/>
  <c r="AC551" i="432" s="1"/>
  <c r="O341" i="432"/>
  <c r="O340" i="432" s="1"/>
  <c r="O245" i="432" s="1"/>
  <c r="AB287" i="432"/>
  <c r="AB259" i="432"/>
  <c r="AC259" i="432" s="1"/>
  <c r="P245" i="432"/>
  <c r="AB78" i="432"/>
  <c r="AC78" i="432" s="1"/>
  <c r="AB59" i="432"/>
  <c r="AC59" i="432" s="1"/>
  <c r="AB113" i="432"/>
  <c r="AC113" i="432" s="1"/>
  <c r="AB107" i="432"/>
  <c r="AC107" i="432" s="1"/>
  <c r="J824" i="432"/>
  <c r="AB699" i="432"/>
  <c r="AC699" i="432" s="1"/>
  <c r="AC53" i="432"/>
  <c r="K461" i="432"/>
  <c r="AB91" i="432"/>
  <c r="AC91" i="432" s="1"/>
  <c r="AB42" i="432"/>
  <c r="AC42" i="432" s="1"/>
  <c r="AB244" i="432"/>
  <c r="AC244" i="432" s="1"/>
  <c r="Z824" i="432"/>
  <c r="AB820" i="432"/>
  <c r="AC820" i="432" s="1"/>
  <c r="AB464" i="432"/>
  <c r="AC464" i="432" s="1"/>
  <c r="AB171" i="432"/>
  <c r="AC171" i="432" s="1"/>
  <c r="AB158" i="432"/>
  <c r="AC158" i="432" s="1"/>
  <c r="AA223" i="432"/>
  <c r="S222" i="432"/>
  <c r="AB236" i="432"/>
  <c r="AC236" i="432" s="1"/>
  <c r="AB179" i="432"/>
  <c r="AC179" i="432" s="1"/>
  <c r="AB103" i="432"/>
  <c r="AC103" i="432" s="1"/>
  <c r="AB29" i="432"/>
  <c r="AC29" i="432" s="1"/>
  <c r="AB240" i="432"/>
  <c r="AC240" i="432" s="1"/>
  <c r="AB833" i="432"/>
  <c r="AC833" i="432" s="1"/>
  <c r="AA819" i="432"/>
  <c r="AB822" i="432"/>
  <c r="AC822" i="432" s="1"/>
  <c r="AB805" i="432"/>
  <c r="AC805" i="432" s="1"/>
  <c r="AB794" i="432"/>
  <c r="AC794" i="432" s="1"/>
  <c r="AB693" i="432"/>
  <c r="AC693" i="432" s="1"/>
  <c r="AB691" i="432"/>
  <c r="AC691" i="432" s="1"/>
  <c r="AB683" i="432"/>
  <c r="AB279" i="432"/>
  <c r="AB278" i="432"/>
  <c r="AC278" i="432" s="1"/>
  <c r="AB276" i="432"/>
  <c r="AA274" i="432"/>
  <c r="AB266" i="432"/>
  <c r="AC266" i="432" s="1"/>
  <c r="AB226" i="432"/>
  <c r="AC226" i="432" s="1"/>
  <c r="W12" i="432"/>
  <c r="W11" i="432" s="1"/>
  <c r="W765" i="432" s="1"/>
  <c r="AC719" i="432"/>
  <c r="AC477" i="432"/>
  <c r="AC535" i="432"/>
  <c r="AC523" i="432"/>
  <c r="AC513" i="432"/>
  <c r="AC493" i="432"/>
  <c r="AC482" i="432"/>
  <c r="AC165" i="432"/>
  <c r="AC122" i="432"/>
  <c r="AC33" i="432"/>
  <c r="AC164" i="432"/>
  <c r="AC781" i="432"/>
  <c r="AC713" i="432"/>
  <c r="AC347" i="432"/>
  <c r="AC462" i="432"/>
  <c r="AC233" i="432"/>
  <c r="AC18" i="432"/>
  <c r="AC125" i="432"/>
  <c r="AC503" i="432"/>
  <c r="AC400" i="432"/>
  <c r="AC507" i="432"/>
  <c r="AC490" i="432"/>
  <c r="AC354" i="432"/>
  <c r="AC279" i="432"/>
  <c r="AB74" i="432"/>
  <c r="AC74" i="432" s="1"/>
  <c r="AB28" i="432"/>
  <c r="AC28" i="432" s="1"/>
  <c r="AB51" i="432"/>
  <c r="AC51" i="432" s="1"/>
  <c r="AC117" i="432"/>
  <c r="AB27" i="432"/>
  <c r="AC27" i="432" s="1"/>
  <c r="AC547" i="432"/>
  <c r="AC281" i="432"/>
  <c r="AC261" i="432"/>
  <c r="AC329" i="432"/>
  <c r="AC238" i="432"/>
  <c r="AB31" i="432"/>
  <c r="AB52" i="432"/>
  <c r="AC52" i="432" s="1"/>
  <c r="AB156" i="432"/>
  <c r="AC156" i="432" s="1"/>
  <c r="AB100" i="432"/>
  <c r="AB96" i="432"/>
  <c r="AB145" i="432"/>
  <c r="AC145" i="432" s="1"/>
  <c r="AB88" i="432"/>
  <c r="AC88" i="432" s="1"/>
  <c r="AC129" i="432"/>
  <c r="AC529" i="432"/>
  <c r="AC176" i="432"/>
  <c r="AB76" i="432"/>
  <c r="AC76" i="432" s="1"/>
  <c r="AB22" i="432"/>
  <c r="AC22" i="432" s="1"/>
  <c r="AB65" i="432"/>
  <c r="AC65" i="432" s="1"/>
  <c r="AB61" i="432"/>
  <c r="AC61" i="432" s="1"/>
  <c r="AC36" i="432"/>
  <c r="AB193" i="432"/>
  <c r="AC193" i="432" s="1"/>
  <c r="AB187" i="432"/>
  <c r="AC187" i="432" s="1"/>
  <c r="AB178" i="432"/>
  <c r="AC178" i="432" s="1"/>
  <c r="AB153" i="432"/>
  <c r="AC153" i="432" s="1"/>
  <c r="AB159" i="432"/>
  <c r="AC159" i="432" s="1"/>
  <c r="AB155" i="432"/>
  <c r="AC155" i="432" s="1"/>
  <c r="AB160" i="432"/>
  <c r="AB140" i="432"/>
  <c r="AC140" i="432" s="1"/>
  <c r="AB127" i="432"/>
  <c r="AC127" i="432" s="1"/>
  <c r="AB119" i="432"/>
  <c r="AC119" i="432" s="1"/>
  <c r="AB75" i="432"/>
  <c r="AC75" i="432" s="1"/>
  <c r="AB66" i="432"/>
  <c r="AC66" i="432" s="1"/>
  <c r="AB71" i="432"/>
  <c r="AC71" i="432" s="1"/>
  <c r="AB48" i="432"/>
  <c r="AC48" i="432" s="1"/>
  <c r="AB45" i="432"/>
  <c r="AC45" i="432" s="1"/>
  <c r="AB15" i="432"/>
  <c r="AC15" i="432" s="1"/>
  <c r="AB20" i="432"/>
  <c r="AC20" i="432" s="1"/>
  <c r="F12" i="432"/>
  <c r="AC499" i="432"/>
  <c r="AC685" i="432"/>
  <c r="AC174" i="432"/>
  <c r="AC170" i="432"/>
  <c r="AC130" i="432"/>
  <c r="AC93" i="432"/>
  <c r="AC683" i="432"/>
  <c r="AC589" i="432"/>
  <c r="AC275" i="432"/>
  <c r="AC31" i="432"/>
  <c r="AC50" i="432"/>
  <c r="AC121" i="432"/>
  <c r="AC471" i="432"/>
  <c r="AC342" i="432"/>
  <c r="AC231" i="432"/>
  <c r="AC37" i="432"/>
  <c r="AC25" i="432"/>
  <c r="AC715" i="432"/>
  <c r="AC160" i="432"/>
  <c r="AC162" i="432"/>
  <c r="AC134" i="432"/>
  <c r="AC40" i="432"/>
  <c r="Y12" i="432"/>
  <c r="AB884" i="432"/>
  <c r="AC884" i="432" s="1"/>
  <c r="AB913" i="432"/>
  <c r="AC913" i="432" s="1"/>
  <c r="AC811" i="432"/>
  <c r="X824" i="432"/>
  <c r="T777" i="432"/>
  <c r="T770" i="432" s="1"/>
  <c r="AB910" i="432"/>
  <c r="AC910" i="432" s="1"/>
  <c r="AB901" i="432"/>
  <c r="AC892" i="432"/>
  <c r="AB869" i="432"/>
  <c r="L843" i="432"/>
  <c r="R843" i="432" s="1"/>
  <c r="AB825" i="432"/>
  <c r="AC791" i="432"/>
  <c r="AC673" i="432"/>
  <c r="AC338" i="432"/>
  <c r="U245" i="432"/>
  <c r="AB224" i="432"/>
  <c r="AC224" i="432" s="1"/>
  <c r="O12" i="432"/>
  <c r="AC70" i="432"/>
  <c r="AC239" i="432"/>
  <c r="AB914" i="432"/>
  <c r="Z769" i="432"/>
  <c r="Z768" i="432" s="1"/>
  <c r="Z988" i="432" s="1"/>
  <c r="AA191" i="432"/>
  <c r="P777" i="432"/>
  <c r="P770" i="432" s="1"/>
  <c r="P769" i="432" s="1"/>
  <c r="P768" i="432" s="1"/>
  <c r="P988" i="432" s="1"/>
  <c r="AB813" i="432"/>
  <c r="AC813" i="432" s="1"/>
  <c r="W769" i="432"/>
  <c r="AB586" i="432"/>
  <c r="AC586" i="432" s="1"/>
  <c r="AB707" i="432"/>
  <c r="AC707" i="432" s="1"/>
  <c r="AB258" i="432"/>
  <c r="AC258" i="432" s="1"/>
  <c r="AC190" i="432"/>
  <c r="AB151" i="432"/>
  <c r="AC151" i="432" s="1"/>
  <c r="U12" i="432"/>
  <c r="I341" i="432"/>
  <c r="I340" i="432" s="1"/>
  <c r="I245" i="432" s="1"/>
  <c r="AB553" i="432"/>
  <c r="AC553" i="432" s="1"/>
  <c r="AB267" i="432"/>
  <c r="AC267" i="432" s="1"/>
  <c r="AB163" i="432"/>
  <c r="AC163" i="432" s="1"/>
  <c r="AC24" i="432"/>
  <c r="AB265" i="432"/>
  <c r="AC265" i="432" s="1"/>
  <c r="AB177" i="432"/>
  <c r="AC177" i="432" s="1"/>
  <c r="AB167" i="432"/>
  <c r="AC167" i="432" s="1"/>
  <c r="AB139" i="432"/>
  <c r="AC139" i="432" s="1"/>
  <c r="AB111" i="432"/>
  <c r="AC111" i="432" s="1"/>
  <c r="AB101" i="432"/>
  <c r="AB19" i="432"/>
  <c r="AC19" i="432" s="1"/>
  <c r="AA796" i="432"/>
  <c r="K706" i="432"/>
  <c r="AB561" i="432"/>
  <c r="AC561" i="432" s="1"/>
  <c r="AB268" i="432"/>
  <c r="AC268" i="432" s="1"/>
  <c r="AA651" i="432"/>
  <c r="AB1011" i="432"/>
  <c r="AC1011" i="432" s="1"/>
  <c r="AB677" i="432"/>
  <c r="AC677" i="432" s="1"/>
  <c r="AB272" i="432"/>
  <c r="AC272" i="432" s="1"/>
  <c r="F341" i="432"/>
  <c r="F340" i="432" s="1"/>
  <c r="F245" i="432" s="1"/>
  <c r="AB282" i="432"/>
  <c r="AC282" i="432" s="1"/>
  <c r="AB62" i="432"/>
  <c r="AC62" i="432" s="1"/>
  <c r="AB35" i="432"/>
  <c r="AC35" i="432" s="1"/>
  <c r="AB169" i="432"/>
  <c r="AC169" i="432" s="1"/>
  <c r="AB105" i="432"/>
  <c r="AC105" i="432" s="1"/>
  <c r="AB97" i="432"/>
  <c r="AB47" i="432"/>
  <c r="AC47" i="432" s="1"/>
  <c r="V12" i="432"/>
  <c r="R1004" i="432"/>
  <c r="AB1004" i="432" s="1"/>
  <c r="R650" i="432"/>
  <c r="M245" i="432"/>
  <c r="N12" i="432"/>
  <c r="AC146" i="432"/>
  <c r="X245" i="432"/>
  <c r="AB147" i="432"/>
  <c r="AC147" i="432" s="1"/>
  <c r="AB652" i="432"/>
  <c r="W768" i="432"/>
  <c r="W988" i="432" s="1"/>
  <c r="K252" i="432"/>
  <c r="L222" i="432"/>
  <c r="R223" i="432"/>
  <c r="AA252" i="432"/>
  <c r="R79" i="432"/>
  <c r="L30" i="432"/>
  <c r="AA573" i="432"/>
  <c r="S572" i="432"/>
  <c r="AA572" i="432" s="1"/>
  <c r="L200" i="432"/>
  <c r="R201" i="432"/>
  <c r="AB201" i="432" s="1"/>
  <c r="P12" i="432"/>
  <c r="P11" i="432" s="1"/>
  <c r="P765" i="432" s="1"/>
  <c r="AB1007" i="432"/>
  <c r="AC1007" i="432" s="1"/>
  <c r="AC907" i="432"/>
  <c r="AB899" i="432"/>
  <c r="AC899" i="432" s="1"/>
  <c r="S996" i="432"/>
  <c r="AA997" i="432"/>
  <c r="AC909" i="432"/>
  <c r="AB877" i="432"/>
  <c r="AC877" i="432" s="1"/>
  <c r="AA832" i="432"/>
  <c r="S831" i="432"/>
  <c r="AB895" i="432"/>
  <c r="AC895" i="432" s="1"/>
  <c r="AB844" i="432"/>
  <c r="AC844" i="432" s="1"/>
  <c r="D843" i="432"/>
  <c r="Q842" i="432"/>
  <c r="Q835" i="432" s="1"/>
  <c r="Q824" i="432" s="1"/>
  <c r="Q769" i="432" s="1"/>
  <c r="Q768" i="432" s="1"/>
  <c r="Q988" i="432" s="1"/>
  <c r="L807" i="432"/>
  <c r="R807" i="432" s="1"/>
  <c r="R808" i="432"/>
  <c r="AB808" i="432" s="1"/>
  <c r="AC808" i="432" s="1"/>
  <c r="AB874" i="432"/>
  <c r="AC874" i="432" s="1"/>
  <c r="T824" i="432"/>
  <c r="G824" i="432"/>
  <c r="G769" i="432" s="1"/>
  <c r="K825" i="432"/>
  <c r="AC825" i="432" s="1"/>
  <c r="K797" i="432"/>
  <c r="D796" i="432"/>
  <c r="R790" i="432"/>
  <c r="S873" i="432"/>
  <c r="K831" i="432"/>
  <c r="AB802" i="432"/>
  <c r="AC802" i="432" s="1"/>
  <c r="AA790" i="432"/>
  <c r="S789" i="432"/>
  <c r="AA789" i="432" s="1"/>
  <c r="AB786" i="432"/>
  <c r="AC786" i="432" s="1"/>
  <c r="K778" i="432"/>
  <c r="AB775" i="432"/>
  <c r="AC775" i="432" s="1"/>
  <c r="D771" i="432"/>
  <c r="K772" i="432"/>
  <c r="AC772" i="432" s="1"/>
  <c r="R651" i="432"/>
  <c r="AB651" i="432" s="1"/>
  <c r="AB556" i="432"/>
  <c r="AC556" i="432" s="1"/>
  <c r="AB330" i="432"/>
  <c r="AC330" i="432" s="1"/>
  <c r="AB250" i="432"/>
  <c r="AC250" i="432" s="1"/>
  <c r="AC247" i="432"/>
  <c r="K222" i="432"/>
  <c r="D221" i="432"/>
  <c r="D206" i="432"/>
  <c r="K206" i="432" s="1"/>
  <c r="K207" i="432"/>
  <c r="AB181" i="432"/>
  <c r="K79" i="432"/>
  <c r="D30" i="432"/>
  <c r="AB578" i="432"/>
  <c r="AB202" i="432"/>
  <c r="AC202" i="432" s="1"/>
  <c r="AB183" i="432"/>
  <c r="AA555" i="432"/>
  <c r="D341" i="432"/>
  <c r="I12" i="432"/>
  <c r="K346" i="432"/>
  <c r="AC901" i="432"/>
  <c r="K836" i="432"/>
  <c r="L890" i="432"/>
  <c r="R891" i="432"/>
  <c r="AB870" i="432"/>
  <c r="AA852" i="432"/>
  <c r="S843" i="432"/>
  <c r="L831" i="432"/>
  <c r="R832" i="432"/>
  <c r="AB832" i="432" s="1"/>
  <c r="L796" i="432"/>
  <c r="R796" i="432" s="1"/>
  <c r="R797" i="432"/>
  <c r="AB797" i="432" s="1"/>
  <c r="AB853" i="432"/>
  <c r="AC853" i="432" s="1"/>
  <c r="AB711" i="432"/>
  <c r="AC711" i="432" s="1"/>
  <c r="R577" i="432"/>
  <c r="D573" i="432"/>
  <c r="K577" i="432"/>
  <c r="R346" i="432"/>
  <c r="R252" i="432"/>
  <c r="AB249" i="432"/>
  <c r="AC249" i="432" s="1"/>
  <c r="R143" i="432"/>
  <c r="M12" i="432"/>
  <c r="AB783" i="432"/>
  <c r="AC783" i="432" s="1"/>
  <c r="V769" i="432"/>
  <c r="V768" i="432" s="1"/>
  <c r="V988" i="432" s="1"/>
  <c r="AB584" i="432"/>
  <c r="AC584" i="432" s="1"/>
  <c r="AA337" i="432"/>
  <c r="S336" i="432"/>
  <c r="AC246" i="432"/>
  <c r="R207" i="432"/>
  <c r="AB207" i="432" s="1"/>
  <c r="L206" i="432"/>
  <c r="R206" i="432" s="1"/>
  <c r="AB206" i="432" s="1"/>
  <c r="AC991" i="432"/>
  <c r="AB992" i="432"/>
  <c r="AC992" i="432" s="1"/>
  <c r="AB1006" i="432"/>
  <c r="AC1006" i="432" s="1"/>
  <c r="R967" i="432"/>
  <c r="AB967" i="432" s="1"/>
  <c r="L966" i="432"/>
  <c r="R999" i="432"/>
  <c r="AB999" i="432" s="1"/>
  <c r="L998" i="432"/>
  <c r="AC900" i="432"/>
  <c r="AC914" i="432"/>
  <c r="AA890" i="432"/>
  <c r="S905" i="432"/>
  <c r="AA906" i="432"/>
  <c r="AB906" i="432" s="1"/>
  <c r="AC906" i="432" s="1"/>
  <c r="R861" i="432"/>
  <c r="AB861" i="432" s="1"/>
  <c r="AC861" i="432" s="1"/>
  <c r="L860" i="432"/>
  <c r="R836" i="432"/>
  <c r="AB836" i="432" s="1"/>
  <c r="AB879" i="432"/>
  <c r="AC879" i="432" s="1"/>
  <c r="G905" i="432"/>
  <c r="D890" i="432"/>
  <c r="K891" i="432"/>
  <c r="AA778" i="432"/>
  <c r="AA706" i="432"/>
  <c r="AB706" i="432" s="1"/>
  <c r="Y824" i="432"/>
  <c r="Y769" i="432" s="1"/>
  <c r="Y768" i="432" s="1"/>
  <c r="Y988" i="432" s="1"/>
  <c r="K832" i="432"/>
  <c r="K860" i="432"/>
  <c r="D859" i="432"/>
  <c r="K859" i="432" s="1"/>
  <c r="AC697" i="432"/>
  <c r="R655" i="432"/>
  <c r="L341" i="432"/>
  <c r="AB567" i="432"/>
  <c r="AC567" i="432" s="1"/>
  <c r="H769" i="432"/>
  <c r="H768" i="432" s="1"/>
  <c r="H988" i="432" s="1"/>
  <c r="AB580" i="432"/>
  <c r="AC580" i="432" s="1"/>
  <c r="D966" i="432"/>
  <c r="K967" i="432"/>
  <c r="K1000" i="432"/>
  <c r="D999" i="432"/>
  <c r="AB1000" i="432"/>
  <c r="L904" i="432"/>
  <c r="R904" i="432" s="1"/>
  <c r="R905" i="432"/>
  <c r="L873" i="432"/>
  <c r="AB912" i="432"/>
  <c r="AC912" i="432" s="1"/>
  <c r="AB887" i="432"/>
  <c r="AC887" i="432" s="1"/>
  <c r="AB882" i="432"/>
  <c r="AC882" i="432" s="1"/>
  <c r="AB868" i="432"/>
  <c r="AB800" i="432"/>
  <c r="AC800" i="432" s="1"/>
  <c r="AA807" i="432"/>
  <c r="R672" i="432"/>
  <c r="AB672" i="432" s="1"/>
  <c r="L671" i="432"/>
  <c r="K807" i="432"/>
  <c r="R778" i="432"/>
  <c r="AB852" i="432"/>
  <c r="AC852" i="432" s="1"/>
  <c r="R819" i="432"/>
  <c r="L818" i="432"/>
  <c r="R818" i="432" s="1"/>
  <c r="AB818" i="432" s="1"/>
  <c r="AC818" i="432" s="1"/>
  <c r="J769" i="432"/>
  <c r="J768" i="432" s="1"/>
  <c r="J988" i="432" s="1"/>
  <c r="R337" i="432"/>
  <c r="L336" i="432"/>
  <c r="I769" i="432"/>
  <c r="I768" i="432" s="1"/>
  <c r="I988" i="432" s="1"/>
  <c r="AB566" i="432"/>
  <c r="AC566" i="432" s="1"/>
  <c r="L572" i="432"/>
  <c r="R572" i="432" s="1"/>
  <c r="R573" i="432"/>
  <c r="AB560" i="432"/>
  <c r="AC560" i="432" s="1"/>
  <c r="D276" i="432"/>
  <c r="K276" i="432" s="1"/>
  <c r="K274" i="432"/>
  <c r="D671" i="432"/>
  <c r="AB253" i="432"/>
  <c r="AC253" i="432" s="1"/>
  <c r="AB192" i="432"/>
  <c r="AB188" i="432"/>
  <c r="AC188" i="432" s="1"/>
  <c r="S341" i="432"/>
  <c r="AA346" i="432"/>
  <c r="AB274" i="432"/>
  <c r="AC260" i="432"/>
  <c r="D200" i="432"/>
  <c r="K201" i="432"/>
  <c r="K143" i="432"/>
  <c r="AA577" i="432"/>
  <c r="Q245" i="432"/>
  <c r="AB216" i="432"/>
  <c r="AC216" i="432" s="1"/>
  <c r="AA143" i="432"/>
  <c r="AC14" i="432"/>
  <c r="Z12" i="432"/>
  <c r="AC232" i="432"/>
  <c r="K12" i="434" l="1"/>
  <c r="Q13" i="434"/>
  <c r="AA13" i="434" s="1"/>
  <c r="AB13" i="434" s="1"/>
  <c r="Q30" i="434"/>
  <c r="AA30" i="434" s="1"/>
  <c r="AB30" i="434" s="1"/>
  <c r="K29" i="434"/>
  <c r="Q29" i="434" s="1"/>
  <c r="AA29" i="434" s="1"/>
  <c r="J30" i="434"/>
  <c r="C29" i="434"/>
  <c r="Z12" i="434"/>
  <c r="R11" i="434"/>
  <c r="T11" i="432"/>
  <c r="T765" i="432" s="1"/>
  <c r="U11" i="432"/>
  <c r="U765" i="432" s="1"/>
  <c r="G11" i="432"/>
  <c r="G765" i="432" s="1"/>
  <c r="Y11" i="432"/>
  <c r="Y765" i="432" s="1"/>
  <c r="J11" i="432"/>
  <c r="J765" i="432" s="1"/>
  <c r="J1018" i="432" s="1"/>
  <c r="AC276" i="432"/>
  <c r="K873" i="432"/>
  <c r="AB655" i="432"/>
  <c r="AC655" i="432" s="1"/>
  <c r="X11" i="432"/>
  <c r="X765" i="432" s="1"/>
  <c r="X1018" i="432" s="1"/>
  <c r="AC1004" i="432"/>
  <c r="AB555" i="432"/>
  <c r="AC555" i="432" s="1"/>
  <c r="Q12" i="432"/>
  <c r="Q11" i="432" s="1"/>
  <c r="Q765" i="432" s="1"/>
  <c r="Q1018" i="432" s="1"/>
  <c r="P1018" i="432"/>
  <c r="AB223" i="432"/>
  <c r="AC223" i="432" s="1"/>
  <c r="V11" i="432"/>
  <c r="V765" i="432" s="1"/>
  <c r="V1018" i="432" s="1"/>
  <c r="H765" i="432"/>
  <c r="H1018" i="432" s="1"/>
  <c r="AB891" i="432"/>
  <c r="M769" i="432"/>
  <c r="M768" i="432" s="1"/>
  <c r="M988" i="432" s="1"/>
  <c r="Z11" i="432"/>
  <c r="Z765" i="432" s="1"/>
  <c r="Z1018" i="432" s="1"/>
  <c r="AB796" i="432"/>
  <c r="N11" i="432"/>
  <c r="N765" i="432" s="1"/>
  <c r="AB650" i="432"/>
  <c r="AB669" i="433"/>
  <c r="AC669" i="433" s="1"/>
  <c r="AA668" i="433"/>
  <c r="S667" i="433"/>
  <c r="AA667" i="433" s="1"/>
  <c r="K668" i="433"/>
  <c r="D667" i="433"/>
  <c r="K667" i="433" s="1"/>
  <c r="S12" i="433"/>
  <c r="R1017" i="433"/>
  <c r="AB995" i="433"/>
  <c r="AC777" i="433"/>
  <c r="R219" i="433"/>
  <c r="AB219" i="433" s="1"/>
  <c r="AC219" i="433" s="1"/>
  <c r="L142" i="433"/>
  <c r="D765" i="433"/>
  <c r="K11" i="433"/>
  <c r="K765" i="433" s="1"/>
  <c r="AA835" i="433"/>
  <c r="AB835" i="433" s="1"/>
  <c r="AC835" i="433" s="1"/>
  <c r="S824" i="433"/>
  <c r="AB13" i="433"/>
  <c r="AC13" i="433" s="1"/>
  <c r="R668" i="433"/>
  <c r="L667" i="433"/>
  <c r="R667" i="433" s="1"/>
  <c r="AB667" i="433" s="1"/>
  <c r="AC667" i="433" s="1"/>
  <c r="D769" i="433"/>
  <c r="K770" i="433"/>
  <c r="L769" i="433"/>
  <c r="R770" i="433"/>
  <c r="AB770" i="433" s="1"/>
  <c r="I11" i="432"/>
  <c r="I765" i="432" s="1"/>
  <c r="I1018" i="432" s="1"/>
  <c r="S221" i="432"/>
  <c r="AA222" i="432"/>
  <c r="T769" i="432"/>
  <c r="T768" i="432" s="1"/>
  <c r="T988" i="432" s="1"/>
  <c r="T1018" i="432" s="1"/>
  <c r="AB819" i="432"/>
  <c r="AC819" i="432" s="1"/>
  <c r="AC672" i="432"/>
  <c r="AA671" i="432"/>
  <c r="AB573" i="432"/>
  <c r="F11" i="432"/>
  <c r="F765" i="432" s="1"/>
  <c r="F1018" i="432" s="1"/>
  <c r="AC207" i="432"/>
  <c r="AC836" i="432"/>
  <c r="AC274" i="432"/>
  <c r="AC706" i="432"/>
  <c r="AC206" i="432"/>
  <c r="AB778" i="432"/>
  <c r="AC778" i="432" s="1"/>
  <c r="S777" i="432"/>
  <c r="AA777" i="432" s="1"/>
  <c r="M11" i="432"/>
  <c r="M765" i="432" s="1"/>
  <c r="M1018" i="432" s="1"/>
  <c r="AC201" i="432"/>
  <c r="O11" i="432"/>
  <c r="O765" i="432" s="1"/>
  <c r="O1018" i="432" s="1"/>
  <c r="AC967" i="432"/>
  <c r="AC832" i="432"/>
  <c r="AC891" i="432"/>
  <c r="AB790" i="432"/>
  <c r="AC790" i="432" s="1"/>
  <c r="AC797" i="432"/>
  <c r="L789" i="432"/>
  <c r="R789" i="432" s="1"/>
  <c r="AB789" i="432" s="1"/>
  <c r="AB807" i="432"/>
  <c r="N1018" i="432"/>
  <c r="AB572" i="432"/>
  <c r="AB143" i="432"/>
  <c r="AC143" i="432" s="1"/>
  <c r="AB346" i="432"/>
  <c r="AC346" i="432" s="1"/>
  <c r="D670" i="432"/>
  <c r="K671" i="432"/>
  <c r="L872" i="432"/>
  <c r="R872" i="432" s="1"/>
  <c r="R873" i="432"/>
  <c r="K890" i="432"/>
  <c r="D889" i="432"/>
  <c r="AA996" i="432"/>
  <c r="S995" i="432"/>
  <c r="L221" i="432"/>
  <c r="R222" i="432"/>
  <c r="R671" i="432"/>
  <c r="L670" i="432"/>
  <c r="R341" i="432"/>
  <c r="L340" i="432"/>
  <c r="G904" i="432"/>
  <c r="K905" i="432"/>
  <c r="R860" i="432"/>
  <c r="AB860" i="432" s="1"/>
  <c r="AC860" i="432" s="1"/>
  <c r="L859" i="432"/>
  <c r="R998" i="432"/>
  <c r="AB998" i="432" s="1"/>
  <c r="L997" i="432"/>
  <c r="R831" i="432"/>
  <c r="AC807" i="432"/>
  <c r="AA670" i="432"/>
  <c r="S669" i="432"/>
  <c r="AA905" i="432"/>
  <c r="AB905" i="432" s="1"/>
  <c r="S904" i="432"/>
  <c r="AB337" i="432"/>
  <c r="AC337" i="432" s="1"/>
  <c r="AB252" i="432"/>
  <c r="AC252" i="432" s="1"/>
  <c r="K573" i="432"/>
  <c r="D572" i="432"/>
  <c r="K572" i="432" s="1"/>
  <c r="S842" i="432"/>
  <c r="AA843" i="432"/>
  <c r="AB843" i="432" s="1"/>
  <c r="R890" i="432"/>
  <c r="AB890" i="432" s="1"/>
  <c r="L889" i="432"/>
  <c r="R889" i="432" s="1"/>
  <c r="D340" i="432"/>
  <c r="K341" i="432"/>
  <c r="K796" i="432"/>
  <c r="D789" i="432"/>
  <c r="R200" i="432"/>
  <c r="AB200" i="432" s="1"/>
  <c r="L191" i="432"/>
  <c r="K999" i="432"/>
  <c r="AC999" i="432" s="1"/>
  <c r="D998" i="432"/>
  <c r="K221" i="432"/>
  <c r="D220" i="432"/>
  <c r="K771" i="432"/>
  <c r="AC771" i="432" s="1"/>
  <c r="K843" i="432"/>
  <c r="D842" i="432"/>
  <c r="Y1018" i="432"/>
  <c r="R336" i="432"/>
  <c r="L335" i="432"/>
  <c r="R335" i="432" s="1"/>
  <c r="K200" i="432"/>
  <c r="D191" i="432"/>
  <c r="AA341" i="432"/>
  <c r="S340" i="432"/>
  <c r="L777" i="432"/>
  <c r="AC1000" i="432"/>
  <c r="K966" i="432"/>
  <c r="D965" i="432"/>
  <c r="K965" i="432" s="1"/>
  <c r="R966" i="432"/>
  <c r="AB966" i="432" s="1"/>
  <c r="L965" i="432"/>
  <c r="R965" i="432" s="1"/>
  <c r="AB965" i="432" s="1"/>
  <c r="AA336" i="432"/>
  <c r="S335" i="432"/>
  <c r="AA335" i="432" s="1"/>
  <c r="AB577" i="432"/>
  <c r="K30" i="432"/>
  <c r="D13" i="432"/>
  <c r="S872" i="432"/>
  <c r="AA872" i="432" s="1"/>
  <c r="AA873" i="432"/>
  <c r="AA831" i="432"/>
  <c r="R30" i="432"/>
  <c r="L13" i="432"/>
  <c r="U1018" i="432"/>
  <c r="W1018" i="432"/>
  <c r="O652" i="5"/>
  <c r="O653" i="5"/>
  <c r="O654" i="5"/>
  <c r="O655" i="5"/>
  <c r="D651" i="5"/>
  <c r="D650" i="5" s="1"/>
  <c r="F651" i="5"/>
  <c r="F650" i="5" s="1"/>
  <c r="J651" i="5"/>
  <c r="J650" i="5" s="1"/>
  <c r="L651" i="5"/>
  <c r="L650" i="5" s="1"/>
  <c r="N651" i="5"/>
  <c r="N650" i="5" s="1"/>
  <c r="D652" i="5"/>
  <c r="E652" i="5"/>
  <c r="E651" i="5" s="1"/>
  <c r="E650" i="5" s="1"/>
  <c r="F652" i="5"/>
  <c r="G652" i="5"/>
  <c r="G651" i="5" s="1"/>
  <c r="G650" i="5" s="1"/>
  <c r="H652" i="5"/>
  <c r="H651" i="5" s="1"/>
  <c r="H650" i="5" s="1"/>
  <c r="I652" i="5"/>
  <c r="J652" i="5"/>
  <c r="K652" i="5"/>
  <c r="K651" i="5" s="1"/>
  <c r="K650" i="5" s="1"/>
  <c r="L652" i="5"/>
  <c r="M652" i="5"/>
  <c r="M651" i="5" s="1"/>
  <c r="M650" i="5" s="1"/>
  <c r="N652" i="5"/>
  <c r="C652" i="5"/>
  <c r="C651" i="5" s="1"/>
  <c r="O576" i="5"/>
  <c r="D573" i="5"/>
  <c r="E573" i="5"/>
  <c r="F573" i="5"/>
  <c r="G573" i="5"/>
  <c r="H573" i="5"/>
  <c r="I573" i="5"/>
  <c r="J573" i="5"/>
  <c r="K573" i="5"/>
  <c r="L573" i="5"/>
  <c r="M573" i="5"/>
  <c r="N573" i="5"/>
  <c r="C573" i="5"/>
  <c r="R45" i="434" l="1"/>
  <c r="Z11" i="434"/>
  <c r="Z45" i="434" s="1"/>
  <c r="J29" i="434"/>
  <c r="AB29" i="434" s="1"/>
  <c r="C11" i="434"/>
  <c r="Q12" i="434"/>
  <c r="AA12" i="434" s="1"/>
  <c r="AB12" i="434" s="1"/>
  <c r="K11" i="434"/>
  <c r="AC796" i="432"/>
  <c r="AB222" i="432"/>
  <c r="AC222" i="432" s="1"/>
  <c r="AC770" i="433"/>
  <c r="AB668" i="433"/>
  <c r="AC668" i="433" s="1"/>
  <c r="D768" i="433"/>
  <c r="K769" i="433"/>
  <c r="AA824" i="433"/>
  <c r="AB824" i="433" s="1"/>
  <c r="AC824" i="433" s="1"/>
  <c r="S769" i="433"/>
  <c r="R142" i="433"/>
  <c r="AB142" i="433" s="1"/>
  <c r="AC142" i="433" s="1"/>
  <c r="L12" i="433"/>
  <c r="S11" i="433"/>
  <c r="AA12" i="433"/>
  <c r="L768" i="433"/>
  <c r="R769" i="433"/>
  <c r="AC995" i="433"/>
  <c r="AB1017" i="433"/>
  <c r="AC1017" i="433" s="1"/>
  <c r="S220" i="432"/>
  <c r="AA221" i="432"/>
  <c r="S770" i="432"/>
  <c r="AA770" i="432" s="1"/>
  <c r="AB671" i="432"/>
  <c r="AC905" i="432"/>
  <c r="AC671" i="432"/>
  <c r="I651" i="5"/>
  <c r="E652" i="432"/>
  <c r="K652" i="432" s="1"/>
  <c r="AC652" i="432" s="1"/>
  <c r="AC965" i="432"/>
  <c r="AC890" i="432"/>
  <c r="AC843" i="432"/>
  <c r="AB831" i="432"/>
  <c r="AC831" i="432" s="1"/>
  <c r="R670" i="432"/>
  <c r="AB670" i="432" s="1"/>
  <c r="L669" i="432"/>
  <c r="AC966" i="432"/>
  <c r="L770" i="432"/>
  <c r="R777" i="432"/>
  <c r="AB777" i="432" s="1"/>
  <c r="K998" i="432"/>
  <c r="AC998" i="432" s="1"/>
  <c r="D997" i="432"/>
  <c r="AC200" i="432"/>
  <c r="K340" i="432"/>
  <c r="D245" i="432"/>
  <c r="AA842" i="432"/>
  <c r="S835" i="432"/>
  <c r="R997" i="432"/>
  <c r="AB997" i="432" s="1"/>
  <c r="L996" i="432"/>
  <c r="R340" i="432"/>
  <c r="L245" i="432"/>
  <c r="R245" i="432" s="1"/>
  <c r="AB872" i="432"/>
  <c r="AC872" i="432" s="1"/>
  <c r="R13" i="432"/>
  <c r="R191" i="432"/>
  <c r="AB191" i="432" s="1"/>
  <c r="AB873" i="432"/>
  <c r="AC873" i="432" s="1"/>
  <c r="K13" i="432"/>
  <c r="AA340" i="432"/>
  <c r="S245" i="432"/>
  <c r="AA245" i="432" s="1"/>
  <c r="AB335" i="432"/>
  <c r="AC335" i="432" s="1"/>
  <c r="K789" i="432"/>
  <c r="AC789" i="432" s="1"/>
  <c r="D777" i="432"/>
  <c r="S668" i="432"/>
  <c r="AA669" i="432"/>
  <c r="G889" i="432"/>
  <c r="G768" i="432" s="1"/>
  <c r="G988" i="432" s="1"/>
  <c r="G1018" i="432" s="1"/>
  <c r="K904" i="432"/>
  <c r="AB341" i="432"/>
  <c r="AC341" i="432" s="1"/>
  <c r="S1017" i="432"/>
  <c r="AA995" i="432"/>
  <c r="AA1017" i="432" s="1"/>
  <c r="AB336" i="432"/>
  <c r="AC336" i="432" s="1"/>
  <c r="K842" i="432"/>
  <c r="D835" i="432"/>
  <c r="D219" i="432"/>
  <c r="K219" i="432" s="1"/>
  <c r="K220" i="432"/>
  <c r="AA904" i="432"/>
  <c r="AB904" i="432" s="1"/>
  <c r="S889" i="432"/>
  <c r="AA889" i="432" s="1"/>
  <c r="AB889" i="432" s="1"/>
  <c r="R859" i="432"/>
  <c r="AB859" i="432" s="1"/>
  <c r="AC859" i="432" s="1"/>
  <c r="L842" i="432"/>
  <c r="R221" i="432"/>
  <c r="AB221" i="432" s="1"/>
  <c r="AC221" i="432" s="1"/>
  <c r="L220" i="432"/>
  <c r="K670" i="432"/>
  <c r="D669" i="432"/>
  <c r="D835" i="5"/>
  <c r="E835" i="5"/>
  <c r="F835" i="5"/>
  <c r="G835" i="5"/>
  <c r="I835" i="5"/>
  <c r="J835" i="5"/>
  <c r="K835" i="5"/>
  <c r="L835" i="5"/>
  <c r="M835" i="5"/>
  <c r="N835" i="5"/>
  <c r="C835" i="5"/>
  <c r="O870" i="5"/>
  <c r="O871" i="5"/>
  <c r="F868" i="5"/>
  <c r="G868" i="5"/>
  <c r="J868" i="5"/>
  <c r="K868" i="5"/>
  <c r="N868" i="5"/>
  <c r="D869" i="5"/>
  <c r="D868" i="5" s="1"/>
  <c r="F869" i="5"/>
  <c r="G869" i="5"/>
  <c r="J869" i="5"/>
  <c r="K869" i="5"/>
  <c r="L869" i="5"/>
  <c r="L868" i="5" s="1"/>
  <c r="N869" i="5"/>
  <c r="D870" i="5"/>
  <c r="E870" i="5"/>
  <c r="E869" i="5" s="1"/>
  <c r="E868" i="5" s="1"/>
  <c r="F870" i="5"/>
  <c r="G870" i="5"/>
  <c r="H870" i="5"/>
  <c r="I870" i="5"/>
  <c r="I869" i="5" s="1"/>
  <c r="I868" i="5" s="1"/>
  <c r="J870" i="5"/>
  <c r="K870" i="5"/>
  <c r="L870" i="5"/>
  <c r="M870" i="5"/>
  <c r="M869" i="5" s="1"/>
  <c r="M868" i="5" s="1"/>
  <c r="N870" i="5"/>
  <c r="C868" i="5"/>
  <c r="C869" i="5"/>
  <c r="C870" i="5"/>
  <c r="O851" i="5"/>
  <c r="D848" i="5"/>
  <c r="E848" i="5"/>
  <c r="F848" i="5"/>
  <c r="G848" i="5"/>
  <c r="H848" i="5"/>
  <c r="I848" i="5"/>
  <c r="J848" i="5"/>
  <c r="K848" i="5"/>
  <c r="L848" i="5"/>
  <c r="M848" i="5"/>
  <c r="N848" i="5"/>
  <c r="C848" i="5"/>
  <c r="D555" i="5"/>
  <c r="E555" i="5"/>
  <c r="F555" i="5"/>
  <c r="G555" i="5"/>
  <c r="H555" i="5"/>
  <c r="I555" i="5"/>
  <c r="J555" i="5"/>
  <c r="K555" i="5"/>
  <c r="L555" i="5"/>
  <c r="M555" i="5"/>
  <c r="N555" i="5"/>
  <c r="C555" i="5"/>
  <c r="O372" i="5"/>
  <c r="D253" i="5"/>
  <c r="E253" i="5"/>
  <c r="F253" i="5"/>
  <c r="G253" i="5"/>
  <c r="H253" i="5"/>
  <c r="I253" i="5"/>
  <c r="J253" i="5"/>
  <c r="K253" i="5"/>
  <c r="L253" i="5"/>
  <c r="M253" i="5"/>
  <c r="N253" i="5"/>
  <c r="C253" i="5"/>
  <c r="O327" i="5"/>
  <c r="O328" i="5"/>
  <c r="K45" i="434" l="1"/>
  <c r="Q11" i="434"/>
  <c r="C45" i="434"/>
  <c r="J11" i="434"/>
  <c r="J45" i="434" s="1"/>
  <c r="AA769" i="433"/>
  <c r="S768" i="433"/>
  <c r="S765" i="433"/>
  <c r="AA11" i="433"/>
  <c r="AA765" i="433" s="1"/>
  <c r="AB769" i="433"/>
  <c r="AC769" i="433" s="1"/>
  <c r="R12" i="433"/>
  <c r="AB12" i="433" s="1"/>
  <c r="AC12" i="433" s="1"/>
  <c r="L11" i="433"/>
  <c r="L988" i="433"/>
  <c r="R768" i="433"/>
  <c r="D988" i="433"/>
  <c r="D1018" i="433" s="1"/>
  <c r="K768" i="433"/>
  <c r="K988" i="433" s="1"/>
  <c r="K1018" i="433" s="1"/>
  <c r="S219" i="432"/>
  <c r="AA220" i="432"/>
  <c r="I650" i="5"/>
  <c r="E650" i="432" s="1"/>
  <c r="K650" i="432" s="1"/>
  <c r="AC650" i="432" s="1"/>
  <c r="E651" i="432"/>
  <c r="K651" i="432" s="1"/>
  <c r="AC651" i="432" s="1"/>
  <c r="AC904" i="432"/>
  <c r="K889" i="432"/>
  <c r="AC889" i="432" s="1"/>
  <c r="K997" i="432"/>
  <c r="AC997" i="432" s="1"/>
  <c r="D996" i="432"/>
  <c r="AA668" i="432"/>
  <c r="S667" i="432"/>
  <c r="AA667" i="432" s="1"/>
  <c r="D142" i="432"/>
  <c r="R669" i="432"/>
  <c r="AB669" i="432" s="1"/>
  <c r="L668" i="432"/>
  <c r="K777" i="432"/>
  <c r="AC777" i="432" s="1"/>
  <c r="D770" i="432"/>
  <c r="AB340" i="432"/>
  <c r="AC340" i="432" s="1"/>
  <c r="D668" i="432"/>
  <c r="K669" i="432"/>
  <c r="R996" i="432"/>
  <c r="AB996" i="432" s="1"/>
  <c r="L995" i="432"/>
  <c r="R220" i="432"/>
  <c r="AB220" i="432" s="1"/>
  <c r="AC220" i="432" s="1"/>
  <c r="L219" i="432"/>
  <c r="R842" i="432"/>
  <c r="AB842" i="432" s="1"/>
  <c r="AC842" i="432" s="1"/>
  <c r="L835" i="432"/>
  <c r="K835" i="432"/>
  <c r="D824" i="432"/>
  <c r="K824" i="432" s="1"/>
  <c r="AB245" i="432"/>
  <c r="AA835" i="432"/>
  <c r="S824" i="432"/>
  <c r="R770" i="432"/>
  <c r="AB770" i="432" s="1"/>
  <c r="AC670" i="432"/>
  <c r="H869" i="5"/>
  <c r="Q45" i="434" l="1"/>
  <c r="AA11" i="434"/>
  <c r="L765" i="433"/>
  <c r="L1018" i="433" s="1"/>
  <c r="R11" i="433"/>
  <c r="S988" i="433"/>
  <c r="S1018" i="433" s="1"/>
  <c r="AA768" i="433"/>
  <c r="AA988" i="433" s="1"/>
  <c r="AA1018" i="433" s="1"/>
  <c r="R988" i="433"/>
  <c r="AA219" i="432"/>
  <c r="S142" i="432"/>
  <c r="AA142" i="432" s="1"/>
  <c r="AC669" i="432"/>
  <c r="AA824" i="432"/>
  <c r="S769" i="432"/>
  <c r="R219" i="432"/>
  <c r="L142" i="432"/>
  <c r="K770" i="432"/>
  <c r="AC770" i="432" s="1"/>
  <c r="D769" i="432"/>
  <c r="K996" i="432"/>
  <c r="AC996" i="432" s="1"/>
  <c r="D995" i="432"/>
  <c r="R835" i="432"/>
  <c r="AB835" i="432" s="1"/>
  <c r="AC835" i="432" s="1"/>
  <c r="L824" i="432"/>
  <c r="R995" i="432"/>
  <c r="L1017" i="432"/>
  <c r="K668" i="432"/>
  <c r="D667" i="432"/>
  <c r="K667" i="432" s="1"/>
  <c r="R668" i="432"/>
  <c r="AB668" i="432" s="1"/>
  <c r="L667" i="432"/>
  <c r="R667" i="432" s="1"/>
  <c r="AB667" i="432" s="1"/>
  <c r="D12" i="432"/>
  <c r="H868" i="5"/>
  <c r="O869" i="5"/>
  <c r="AA45" i="434" l="1"/>
  <c r="AB45" i="434" s="1"/>
  <c r="AB11" i="434"/>
  <c r="AB768" i="433"/>
  <c r="R765" i="433"/>
  <c r="R1018" i="433" s="1"/>
  <c r="AB11" i="433"/>
  <c r="AB219" i="432"/>
  <c r="AC219" i="432" s="1"/>
  <c r="AC667" i="432"/>
  <c r="AC668" i="432"/>
  <c r="R1017" i="432"/>
  <c r="AB995" i="432"/>
  <c r="D768" i="432"/>
  <c r="K769" i="432"/>
  <c r="D11" i="432"/>
  <c r="R824" i="432"/>
  <c r="AB824" i="432" s="1"/>
  <c r="AC824" i="432" s="1"/>
  <c r="L769" i="432"/>
  <c r="R142" i="432"/>
  <c r="AB142" i="432" s="1"/>
  <c r="L12" i="432"/>
  <c r="AA769" i="432"/>
  <c r="S768" i="432"/>
  <c r="D1017" i="432"/>
  <c r="K995" i="432"/>
  <c r="K1017" i="432" s="1"/>
  <c r="O868" i="5"/>
  <c r="C861" i="5"/>
  <c r="O903" i="5"/>
  <c r="D901" i="5"/>
  <c r="E901" i="5"/>
  <c r="F901" i="5"/>
  <c r="G901" i="5"/>
  <c r="H901" i="5"/>
  <c r="I901" i="5"/>
  <c r="J901" i="5"/>
  <c r="K901" i="5"/>
  <c r="L901" i="5"/>
  <c r="M901" i="5"/>
  <c r="N901" i="5"/>
  <c r="C901" i="5"/>
  <c r="D354" i="5"/>
  <c r="E354" i="5"/>
  <c r="F354" i="5"/>
  <c r="G354" i="5"/>
  <c r="H354" i="5"/>
  <c r="I354" i="5"/>
  <c r="J354" i="5"/>
  <c r="K354" i="5"/>
  <c r="L354" i="5"/>
  <c r="M354" i="5"/>
  <c r="N354" i="5"/>
  <c r="C354" i="5"/>
  <c r="O334" i="5"/>
  <c r="D331" i="5"/>
  <c r="E331" i="5"/>
  <c r="F331" i="5"/>
  <c r="G331" i="5"/>
  <c r="H331" i="5"/>
  <c r="I331" i="5"/>
  <c r="J331" i="5"/>
  <c r="K331" i="5"/>
  <c r="L331" i="5"/>
  <c r="M331" i="5"/>
  <c r="N331" i="5"/>
  <c r="C331" i="5"/>
  <c r="AB765" i="433" l="1"/>
  <c r="AC11" i="433"/>
  <c r="AB988" i="433"/>
  <c r="AC988" i="433" s="1"/>
  <c r="AC768" i="433"/>
  <c r="D988" i="432"/>
  <c r="K768" i="432"/>
  <c r="K988" i="432" s="1"/>
  <c r="R12" i="432"/>
  <c r="L11" i="432"/>
  <c r="D765" i="432"/>
  <c r="D1018" i="432" s="1"/>
  <c r="AC995" i="432"/>
  <c r="AB1017" i="432"/>
  <c r="AC1017" i="432" s="1"/>
  <c r="S988" i="432"/>
  <c r="AA768" i="432"/>
  <c r="AA988" i="432" s="1"/>
  <c r="L768" i="432"/>
  <c r="R769" i="432"/>
  <c r="AB769" i="432" s="1"/>
  <c r="AC769" i="432" s="1"/>
  <c r="AB1018" i="433" l="1"/>
  <c r="AC1018" i="433" s="1"/>
  <c r="AC765" i="433"/>
  <c r="L988" i="432"/>
  <c r="R768" i="432"/>
  <c r="L765" i="432"/>
  <c r="R11" i="432"/>
  <c r="L1018" i="432" l="1"/>
  <c r="R988" i="432"/>
  <c r="AB768" i="432"/>
  <c r="R765" i="432"/>
  <c r="R1018" i="432" l="1"/>
  <c r="AB988" i="432"/>
  <c r="AC988" i="432" s="1"/>
  <c r="AC768" i="432"/>
  <c r="C914" i="5"/>
  <c r="D914" i="5"/>
  <c r="D913" i="5" s="1"/>
  <c r="D912" i="5" s="1"/>
  <c r="E914" i="5"/>
  <c r="E913" i="5" s="1"/>
  <c r="E912" i="5" s="1"/>
  <c r="F914" i="5"/>
  <c r="F913" i="5" s="1"/>
  <c r="F912" i="5" s="1"/>
  <c r="G914" i="5"/>
  <c r="G913" i="5" s="1"/>
  <c r="G912" i="5" s="1"/>
  <c r="H914" i="5"/>
  <c r="H913" i="5" s="1"/>
  <c r="H912" i="5" s="1"/>
  <c r="I914" i="5"/>
  <c r="I913" i="5" s="1"/>
  <c r="I912" i="5" s="1"/>
  <c r="J914" i="5"/>
  <c r="J913" i="5" s="1"/>
  <c r="J912" i="5" s="1"/>
  <c r="K914" i="5"/>
  <c r="K913" i="5" s="1"/>
  <c r="K912" i="5" s="1"/>
  <c r="L914" i="5"/>
  <c r="L913" i="5" s="1"/>
  <c r="L912" i="5" s="1"/>
  <c r="M914" i="5"/>
  <c r="M913" i="5" s="1"/>
  <c r="M912" i="5" s="1"/>
  <c r="N914" i="5"/>
  <c r="N913" i="5" s="1"/>
  <c r="N912" i="5" s="1"/>
  <c r="D963" i="5"/>
  <c r="E963" i="5"/>
  <c r="F963" i="5"/>
  <c r="G963" i="5"/>
  <c r="H963" i="5"/>
  <c r="I963" i="5"/>
  <c r="J963" i="5"/>
  <c r="K963" i="5"/>
  <c r="L963" i="5"/>
  <c r="M963" i="5"/>
  <c r="N963" i="5"/>
  <c r="C963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4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D968" i="5"/>
  <c r="D967" i="5" s="1"/>
  <c r="D966" i="5" s="1"/>
  <c r="D965" i="5" s="1"/>
  <c r="E968" i="5"/>
  <c r="E967" i="5" s="1"/>
  <c r="E966" i="5" s="1"/>
  <c r="E965" i="5" s="1"/>
  <c r="F968" i="5"/>
  <c r="F967" i="5" s="1"/>
  <c r="F966" i="5" s="1"/>
  <c r="F965" i="5" s="1"/>
  <c r="G968" i="5"/>
  <c r="G967" i="5" s="1"/>
  <c r="G966" i="5" s="1"/>
  <c r="G965" i="5" s="1"/>
  <c r="H968" i="5"/>
  <c r="H967" i="5" s="1"/>
  <c r="H966" i="5" s="1"/>
  <c r="H965" i="5" s="1"/>
  <c r="I968" i="5"/>
  <c r="I967" i="5" s="1"/>
  <c r="I966" i="5" s="1"/>
  <c r="I965" i="5" s="1"/>
  <c r="J968" i="5"/>
  <c r="J967" i="5" s="1"/>
  <c r="J966" i="5" s="1"/>
  <c r="J965" i="5" s="1"/>
  <c r="K968" i="5"/>
  <c r="K967" i="5" s="1"/>
  <c r="K966" i="5" s="1"/>
  <c r="K965" i="5" s="1"/>
  <c r="L968" i="5"/>
  <c r="L967" i="5" s="1"/>
  <c r="L966" i="5" s="1"/>
  <c r="L965" i="5" s="1"/>
  <c r="M968" i="5"/>
  <c r="M967" i="5" s="1"/>
  <c r="M966" i="5" s="1"/>
  <c r="M965" i="5" s="1"/>
  <c r="N968" i="5"/>
  <c r="N967" i="5" s="1"/>
  <c r="N966" i="5" s="1"/>
  <c r="N965" i="5" s="1"/>
  <c r="C968" i="5"/>
  <c r="O915" i="5"/>
  <c r="O916" i="5"/>
  <c r="O917" i="5"/>
  <c r="O918" i="5"/>
  <c r="C967" i="5" l="1"/>
  <c r="O963" i="5"/>
  <c r="O968" i="5"/>
  <c r="C966" i="5" l="1"/>
  <c r="O967" i="5"/>
  <c r="O966" i="5"/>
  <c r="G503" i="5"/>
  <c r="G501" i="5"/>
  <c r="G499" i="5"/>
  <c r="G497" i="5"/>
  <c r="G495" i="5"/>
  <c r="G493" i="5"/>
  <c r="G490" i="5"/>
  <c r="G487" i="5"/>
  <c r="G482" i="5"/>
  <c r="G477" i="5"/>
  <c r="G471" i="5"/>
  <c r="G468" i="5"/>
  <c r="G464" i="5"/>
  <c r="G462" i="5"/>
  <c r="G455" i="5"/>
  <c r="G414" i="5"/>
  <c r="G406" i="5"/>
  <c r="G403" i="5"/>
  <c r="G400" i="5"/>
  <c r="G352" i="5"/>
  <c r="G349" i="5"/>
  <c r="D349" i="5"/>
  <c r="E349" i="5"/>
  <c r="F349" i="5"/>
  <c r="H349" i="5"/>
  <c r="I349" i="5"/>
  <c r="J349" i="5"/>
  <c r="K349" i="5"/>
  <c r="L349" i="5"/>
  <c r="M349" i="5"/>
  <c r="N349" i="5"/>
  <c r="C349" i="5"/>
  <c r="G342" i="5"/>
  <c r="N719" i="5"/>
  <c r="M719" i="5"/>
  <c r="L719" i="5"/>
  <c r="K719" i="5"/>
  <c r="J719" i="5"/>
  <c r="I719" i="5"/>
  <c r="H719" i="5"/>
  <c r="G719" i="5"/>
  <c r="F719" i="5"/>
  <c r="E719" i="5"/>
  <c r="D719" i="5"/>
  <c r="N717" i="5"/>
  <c r="M717" i="5"/>
  <c r="L717" i="5"/>
  <c r="K717" i="5"/>
  <c r="J717" i="5"/>
  <c r="I717" i="5"/>
  <c r="H717" i="5"/>
  <c r="G717" i="5"/>
  <c r="F717" i="5"/>
  <c r="E717" i="5"/>
  <c r="D717" i="5"/>
  <c r="N715" i="5"/>
  <c r="M715" i="5"/>
  <c r="L715" i="5"/>
  <c r="K715" i="5"/>
  <c r="J715" i="5"/>
  <c r="I715" i="5"/>
  <c r="H715" i="5"/>
  <c r="G715" i="5"/>
  <c r="F715" i="5"/>
  <c r="E715" i="5"/>
  <c r="D715" i="5"/>
  <c r="N713" i="5"/>
  <c r="M713" i="5"/>
  <c r="L713" i="5"/>
  <c r="K713" i="5"/>
  <c r="J713" i="5"/>
  <c r="I713" i="5"/>
  <c r="H713" i="5"/>
  <c r="G713" i="5"/>
  <c r="F713" i="5"/>
  <c r="E713" i="5"/>
  <c r="D713" i="5"/>
  <c r="N711" i="5"/>
  <c r="M711" i="5"/>
  <c r="L711" i="5"/>
  <c r="K711" i="5"/>
  <c r="J711" i="5"/>
  <c r="I711" i="5"/>
  <c r="H711" i="5"/>
  <c r="G711" i="5"/>
  <c r="F711" i="5"/>
  <c r="E711" i="5"/>
  <c r="D711" i="5"/>
  <c r="N709" i="5"/>
  <c r="M709" i="5"/>
  <c r="L709" i="5"/>
  <c r="K709" i="5"/>
  <c r="J709" i="5"/>
  <c r="I709" i="5"/>
  <c r="H709" i="5"/>
  <c r="G709" i="5"/>
  <c r="F709" i="5"/>
  <c r="E709" i="5"/>
  <c r="D709" i="5"/>
  <c r="N707" i="5"/>
  <c r="M707" i="5"/>
  <c r="L707" i="5"/>
  <c r="K707" i="5"/>
  <c r="J707" i="5"/>
  <c r="I707" i="5"/>
  <c r="H707" i="5"/>
  <c r="G707" i="5"/>
  <c r="F707" i="5"/>
  <c r="E707" i="5"/>
  <c r="D707" i="5"/>
  <c r="N701" i="5"/>
  <c r="M701" i="5"/>
  <c r="L701" i="5"/>
  <c r="K701" i="5"/>
  <c r="J701" i="5"/>
  <c r="I701" i="5"/>
  <c r="H701" i="5"/>
  <c r="G701" i="5"/>
  <c r="F701" i="5"/>
  <c r="E701" i="5"/>
  <c r="D701" i="5"/>
  <c r="N699" i="5"/>
  <c r="M699" i="5"/>
  <c r="L699" i="5"/>
  <c r="K699" i="5"/>
  <c r="J699" i="5"/>
  <c r="I699" i="5"/>
  <c r="H699" i="5"/>
  <c r="G699" i="5"/>
  <c r="F699" i="5"/>
  <c r="E699" i="5"/>
  <c r="D699" i="5"/>
  <c r="N697" i="5"/>
  <c r="M697" i="5"/>
  <c r="L697" i="5"/>
  <c r="K697" i="5"/>
  <c r="J697" i="5"/>
  <c r="I697" i="5"/>
  <c r="H697" i="5"/>
  <c r="G697" i="5"/>
  <c r="F697" i="5"/>
  <c r="E697" i="5"/>
  <c r="D697" i="5"/>
  <c r="N694" i="5"/>
  <c r="M694" i="5"/>
  <c r="L694" i="5"/>
  <c r="K694" i="5"/>
  <c r="J694" i="5"/>
  <c r="I694" i="5"/>
  <c r="H694" i="5"/>
  <c r="G694" i="5"/>
  <c r="F694" i="5"/>
  <c r="E694" i="5"/>
  <c r="D694" i="5"/>
  <c r="N691" i="5"/>
  <c r="M691" i="5"/>
  <c r="L691" i="5"/>
  <c r="K691" i="5"/>
  <c r="J691" i="5"/>
  <c r="I691" i="5"/>
  <c r="H691" i="5"/>
  <c r="G691" i="5"/>
  <c r="F691" i="5"/>
  <c r="E691" i="5"/>
  <c r="D691" i="5"/>
  <c r="N689" i="5"/>
  <c r="M689" i="5"/>
  <c r="L689" i="5"/>
  <c r="K689" i="5"/>
  <c r="J689" i="5"/>
  <c r="I689" i="5"/>
  <c r="H689" i="5"/>
  <c r="G689" i="5"/>
  <c r="F689" i="5"/>
  <c r="E689" i="5"/>
  <c r="D689" i="5"/>
  <c r="N687" i="5"/>
  <c r="M687" i="5"/>
  <c r="L687" i="5"/>
  <c r="K687" i="5"/>
  <c r="J687" i="5"/>
  <c r="I687" i="5"/>
  <c r="H687" i="5"/>
  <c r="G687" i="5"/>
  <c r="F687" i="5"/>
  <c r="E687" i="5"/>
  <c r="D687" i="5"/>
  <c r="N685" i="5"/>
  <c r="M685" i="5"/>
  <c r="L685" i="5"/>
  <c r="K685" i="5"/>
  <c r="J685" i="5"/>
  <c r="I685" i="5"/>
  <c r="H685" i="5"/>
  <c r="G685" i="5"/>
  <c r="F685" i="5"/>
  <c r="E685" i="5"/>
  <c r="D685" i="5"/>
  <c r="N683" i="5"/>
  <c r="M683" i="5"/>
  <c r="L683" i="5"/>
  <c r="K683" i="5"/>
  <c r="J683" i="5"/>
  <c r="I683" i="5"/>
  <c r="H683" i="5"/>
  <c r="G683" i="5"/>
  <c r="F683" i="5"/>
  <c r="E683" i="5"/>
  <c r="D683" i="5"/>
  <c r="N681" i="5"/>
  <c r="M681" i="5"/>
  <c r="L681" i="5"/>
  <c r="K681" i="5"/>
  <c r="J681" i="5"/>
  <c r="I681" i="5"/>
  <c r="H681" i="5"/>
  <c r="G681" i="5"/>
  <c r="F681" i="5"/>
  <c r="E681" i="5"/>
  <c r="D681" i="5"/>
  <c r="N679" i="5"/>
  <c r="M679" i="5"/>
  <c r="L679" i="5"/>
  <c r="K679" i="5"/>
  <c r="J679" i="5"/>
  <c r="I679" i="5"/>
  <c r="H679" i="5"/>
  <c r="G679" i="5"/>
  <c r="F679" i="5"/>
  <c r="E679" i="5"/>
  <c r="D679" i="5"/>
  <c r="N677" i="5"/>
  <c r="M677" i="5"/>
  <c r="L677" i="5"/>
  <c r="K677" i="5"/>
  <c r="J677" i="5"/>
  <c r="I677" i="5"/>
  <c r="H677" i="5"/>
  <c r="G677" i="5"/>
  <c r="F677" i="5"/>
  <c r="E677" i="5"/>
  <c r="D677" i="5"/>
  <c r="N673" i="5"/>
  <c r="N672" i="5" s="1"/>
  <c r="M673" i="5"/>
  <c r="M672" i="5" s="1"/>
  <c r="L673" i="5"/>
  <c r="L672" i="5" s="1"/>
  <c r="K673" i="5"/>
  <c r="K672" i="5" s="1"/>
  <c r="J673" i="5"/>
  <c r="J672" i="5" s="1"/>
  <c r="I673" i="5"/>
  <c r="I672" i="5" s="1"/>
  <c r="H673" i="5"/>
  <c r="H672" i="5" s="1"/>
  <c r="G673" i="5"/>
  <c r="G672" i="5" s="1"/>
  <c r="F673" i="5"/>
  <c r="F672" i="5" s="1"/>
  <c r="E673" i="5"/>
  <c r="E672" i="5" s="1"/>
  <c r="D673" i="5"/>
  <c r="D672" i="5" s="1"/>
  <c r="N661" i="5"/>
  <c r="M661" i="5"/>
  <c r="L661" i="5"/>
  <c r="K661" i="5"/>
  <c r="J661" i="5"/>
  <c r="I661" i="5"/>
  <c r="H661" i="5"/>
  <c r="G661" i="5"/>
  <c r="F661" i="5"/>
  <c r="E661" i="5"/>
  <c r="D661" i="5"/>
  <c r="N656" i="5"/>
  <c r="M656" i="5"/>
  <c r="L656" i="5"/>
  <c r="K656" i="5"/>
  <c r="J656" i="5"/>
  <c r="I656" i="5"/>
  <c r="H656" i="5"/>
  <c r="G656" i="5"/>
  <c r="F656" i="5"/>
  <c r="E656" i="5"/>
  <c r="D656" i="5"/>
  <c r="C719" i="5"/>
  <c r="C717" i="5"/>
  <c r="C715" i="5"/>
  <c r="C713" i="5"/>
  <c r="C711" i="5"/>
  <c r="C709" i="5"/>
  <c r="C707" i="5"/>
  <c r="C701" i="5"/>
  <c r="C699" i="5"/>
  <c r="C697" i="5"/>
  <c r="C694" i="5"/>
  <c r="C691" i="5"/>
  <c r="C689" i="5"/>
  <c r="C687" i="5"/>
  <c r="C685" i="5"/>
  <c r="C683" i="5"/>
  <c r="C681" i="5"/>
  <c r="C679" i="5"/>
  <c r="C677" i="5"/>
  <c r="C673" i="5"/>
  <c r="C656" i="5"/>
  <c r="C661" i="5"/>
  <c r="O648" i="5"/>
  <c r="Q648" i="5" s="1"/>
  <c r="O649" i="5"/>
  <c r="Q649" i="5" s="1"/>
  <c r="O657" i="5"/>
  <c r="Q657" i="5" s="1"/>
  <c r="O658" i="5"/>
  <c r="Q658" i="5" s="1"/>
  <c r="O659" i="5"/>
  <c r="Q659" i="5" s="1"/>
  <c r="O660" i="5"/>
  <c r="Q660" i="5" s="1"/>
  <c r="O662" i="5"/>
  <c r="Q662" i="5" s="1"/>
  <c r="O663" i="5"/>
  <c r="Q663" i="5" s="1"/>
  <c r="O664" i="5"/>
  <c r="Q664" i="5" s="1"/>
  <c r="O665" i="5"/>
  <c r="Q665" i="5" s="1"/>
  <c r="O666" i="5"/>
  <c r="Q666" i="5" s="1"/>
  <c r="O674" i="5"/>
  <c r="Q674" i="5" s="1"/>
  <c r="O675" i="5"/>
  <c r="Q675" i="5" s="1"/>
  <c r="O676" i="5"/>
  <c r="Q676" i="5" s="1"/>
  <c r="O678" i="5"/>
  <c r="Q678" i="5" s="1"/>
  <c r="O680" i="5"/>
  <c r="Q680" i="5" s="1"/>
  <c r="O682" i="5"/>
  <c r="Q682" i="5" s="1"/>
  <c r="O684" i="5"/>
  <c r="Q684" i="5" s="1"/>
  <c r="O686" i="5"/>
  <c r="Q686" i="5" s="1"/>
  <c r="O688" i="5"/>
  <c r="Q688" i="5" s="1"/>
  <c r="O690" i="5"/>
  <c r="Q690" i="5" s="1"/>
  <c r="O692" i="5"/>
  <c r="Q692" i="5" s="1"/>
  <c r="O695" i="5"/>
  <c r="Q695" i="5" s="1"/>
  <c r="O696" i="5"/>
  <c r="Q696" i="5" s="1"/>
  <c r="O698" i="5"/>
  <c r="Q698" i="5" s="1"/>
  <c r="O700" i="5"/>
  <c r="Q700" i="5" s="1"/>
  <c r="O702" i="5"/>
  <c r="Q702" i="5" s="1"/>
  <c r="O703" i="5"/>
  <c r="Q703" i="5" s="1"/>
  <c r="O704" i="5"/>
  <c r="Q704" i="5" s="1"/>
  <c r="O705" i="5"/>
  <c r="Q705" i="5" s="1"/>
  <c r="O708" i="5"/>
  <c r="Q708" i="5" s="1"/>
  <c r="O710" i="5"/>
  <c r="Q710" i="5" s="1"/>
  <c r="O712" i="5"/>
  <c r="Q712" i="5" s="1"/>
  <c r="O714" i="5"/>
  <c r="Q714" i="5" s="1"/>
  <c r="O716" i="5"/>
  <c r="Q716" i="5" s="1"/>
  <c r="O718" i="5"/>
  <c r="Q718" i="5" s="1"/>
  <c r="O720" i="5"/>
  <c r="Q720" i="5" s="1"/>
  <c r="O721" i="5"/>
  <c r="Q721" i="5" s="1"/>
  <c r="O722" i="5"/>
  <c r="Q722" i="5" s="1"/>
  <c r="O723" i="5"/>
  <c r="Q723" i="5" s="1"/>
  <c r="O724" i="5"/>
  <c r="Q724" i="5" s="1"/>
  <c r="O725" i="5"/>
  <c r="Q725" i="5" s="1"/>
  <c r="O726" i="5"/>
  <c r="Q726" i="5" s="1"/>
  <c r="O727" i="5"/>
  <c r="Q727" i="5" s="1"/>
  <c r="O728" i="5"/>
  <c r="Q728" i="5" s="1"/>
  <c r="O729" i="5"/>
  <c r="Q729" i="5" s="1"/>
  <c r="O730" i="5"/>
  <c r="Q730" i="5" s="1"/>
  <c r="O731" i="5"/>
  <c r="Q731" i="5" s="1"/>
  <c r="O732" i="5"/>
  <c r="Q732" i="5" s="1"/>
  <c r="O733" i="5"/>
  <c r="Q733" i="5" s="1"/>
  <c r="O734" i="5"/>
  <c r="Q734" i="5" s="1"/>
  <c r="O735" i="5"/>
  <c r="Q735" i="5" s="1"/>
  <c r="O736" i="5"/>
  <c r="Q736" i="5" s="1"/>
  <c r="O737" i="5"/>
  <c r="Q737" i="5" s="1"/>
  <c r="O738" i="5"/>
  <c r="Q738" i="5" s="1"/>
  <c r="O739" i="5"/>
  <c r="Q739" i="5" s="1"/>
  <c r="O740" i="5"/>
  <c r="Q740" i="5" s="1"/>
  <c r="O741" i="5"/>
  <c r="Q741" i="5" s="1"/>
  <c r="O742" i="5"/>
  <c r="Q742" i="5" s="1"/>
  <c r="O743" i="5"/>
  <c r="Q743" i="5" s="1"/>
  <c r="O744" i="5"/>
  <c r="Q744" i="5" s="1"/>
  <c r="O745" i="5"/>
  <c r="Q745" i="5" s="1"/>
  <c r="O746" i="5"/>
  <c r="Q746" i="5" s="1"/>
  <c r="O747" i="5"/>
  <c r="Q747" i="5" s="1"/>
  <c r="O748" i="5"/>
  <c r="Q748" i="5" s="1"/>
  <c r="O749" i="5"/>
  <c r="Q749" i="5" s="1"/>
  <c r="O750" i="5"/>
  <c r="Q750" i="5" s="1"/>
  <c r="O751" i="5"/>
  <c r="Q751" i="5" s="1"/>
  <c r="O752" i="5"/>
  <c r="Q752" i="5" s="1"/>
  <c r="O753" i="5"/>
  <c r="Q753" i="5" s="1"/>
  <c r="O754" i="5"/>
  <c r="Q754" i="5" s="1"/>
  <c r="O755" i="5"/>
  <c r="Q755" i="5" s="1"/>
  <c r="O756" i="5"/>
  <c r="Q756" i="5" s="1"/>
  <c r="O757" i="5"/>
  <c r="Q757" i="5" s="1"/>
  <c r="O758" i="5"/>
  <c r="Q758" i="5" s="1"/>
  <c r="O759" i="5"/>
  <c r="Q759" i="5" s="1"/>
  <c r="O760" i="5"/>
  <c r="Q760" i="5" s="1"/>
  <c r="O761" i="5"/>
  <c r="Q761" i="5" s="1"/>
  <c r="O762" i="5"/>
  <c r="Q762" i="5" s="1"/>
  <c r="O763" i="5"/>
  <c r="Q763" i="5" s="1"/>
  <c r="O764" i="5"/>
  <c r="Q764" i="5" s="1"/>
  <c r="E563" i="5"/>
  <c r="E561" i="5"/>
  <c r="E560" i="5" s="1"/>
  <c r="E558" i="5"/>
  <c r="E556" i="5"/>
  <c r="E553" i="5"/>
  <c r="E551" i="5"/>
  <c r="E549" i="5"/>
  <c r="E547" i="5"/>
  <c r="E545" i="5"/>
  <c r="E543" i="5"/>
  <c r="E541" i="5"/>
  <c r="E539" i="5"/>
  <c r="E537" i="5"/>
  <c r="E535" i="5"/>
  <c r="E533" i="5"/>
  <c r="E531" i="5"/>
  <c r="E529" i="5"/>
  <c r="E527" i="5"/>
  <c r="E525" i="5"/>
  <c r="E523" i="5"/>
  <c r="E521" i="5"/>
  <c r="E519" i="5"/>
  <c r="E517" i="5"/>
  <c r="E515" i="5"/>
  <c r="E513" i="5"/>
  <c r="E511" i="5"/>
  <c r="E509" i="5"/>
  <c r="E507" i="5"/>
  <c r="E505" i="5"/>
  <c r="E503" i="5"/>
  <c r="E501" i="5"/>
  <c r="E499" i="5"/>
  <c r="E497" i="5"/>
  <c r="E495" i="5"/>
  <c r="E493" i="5"/>
  <c r="E490" i="5"/>
  <c r="E487" i="5"/>
  <c r="E482" i="5"/>
  <c r="E477" i="5"/>
  <c r="E471" i="5"/>
  <c r="E468" i="5"/>
  <c r="E464" i="5"/>
  <c r="E462" i="5"/>
  <c r="E455" i="5"/>
  <c r="E414" i="5"/>
  <c r="N563" i="5"/>
  <c r="M563" i="5"/>
  <c r="L563" i="5"/>
  <c r="K563" i="5"/>
  <c r="J563" i="5"/>
  <c r="I563" i="5"/>
  <c r="H563" i="5"/>
  <c r="G563" i="5"/>
  <c r="F563" i="5"/>
  <c r="N561" i="5"/>
  <c r="N560" i="5" s="1"/>
  <c r="M561" i="5"/>
  <c r="M560" i="5" s="1"/>
  <c r="L561" i="5"/>
  <c r="L560" i="5" s="1"/>
  <c r="K561" i="5"/>
  <c r="K560" i="5" s="1"/>
  <c r="J561" i="5"/>
  <c r="J560" i="5" s="1"/>
  <c r="I561" i="5"/>
  <c r="I560" i="5" s="1"/>
  <c r="H561" i="5"/>
  <c r="H560" i="5" s="1"/>
  <c r="G561" i="5"/>
  <c r="G560" i="5" s="1"/>
  <c r="F561" i="5"/>
  <c r="F560" i="5" s="1"/>
  <c r="N558" i="5"/>
  <c r="M558" i="5"/>
  <c r="L558" i="5"/>
  <c r="K558" i="5"/>
  <c r="J558" i="5"/>
  <c r="I558" i="5"/>
  <c r="H558" i="5"/>
  <c r="G558" i="5"/>
  <c r="F558" i="5"/>
  <c r="N556" i="5"/>
  <c r="M556" i="5"/>
  <c r="L556" i="5"/>
  <c r="K556" i="5"/>
  <c r="J556" i="5"/>
  <c r="I556" i="5"/>
  <c r="H556" i="5"/>
  <c r="G556" i="5"/>
  <c r="F556" i="5"/>
  <c r="N553" i="5"/>
  <c r="M553" i="5"/>
  <c r="L553" i="5"/>
  <c r="K553" i="5"/>
  <c r="J553" i="5"/>
  <c r="I553" i="5"/>
  <c r="H553" i="5"/>
  <c r="G553" i="5"/>
  <c r="F553" i="5"/>
  <c r="N551" i="5"/>
  <c r="M551" i="5"/>
  <c r="L551" i="5"/>
  <c r="K551" i="5"/>
  <c r="J551" i="5"/>
  <c r="I551" i="5"/>
  <c r="H551" i="5"/>
  <c r="G551" i="5"/>
  <c r="F551" i="5"/>
  <c r="N549" i="5"/>
  <c r="M549" i="5"/>
  <c r="L549" i="5"/>
  <c r="K549" i="5"/>
  <c r="J549" i="5"/>
  <c r="I549" i="5"/>
  <c r="H549" i="5"/>
  <c r="G549" i="5"/>
  <c r="F549" i="5"/>
  <c r="N547" i="5"/>
  <c r="M547" i="5"/>
  <c r="L547" i="5"/>
  <c r="K547" i="5"/>
  <c r="J547" i="5"/>
  <c r="I547" i="5"/>
  <c r="H547" i="5"/>
  <c r="G547" i="5"/>
  <c r="F547" i="5"/>
  <c r="N545" i="5"/>
  <c r="M545" i="5"/>
  <c r="L545" i="5"/>
  <c r="K545" i="5"/>
  <c r="J545" i="5"/>
  <c r="I545" i="5"/>
  <c r="H545" i="5"/>
  <c r="G545" i="5"/>
  <c r="F545" i="5"/>
  <c r="N543" i="5"/>
  <c r="M543" i="5"/>
  <c r="L543" i="5"/>
  <c r="K543" i="5"/>
  <c r="J543" i="5"/>
  <c r="I543" i="5"/>
  <c r="H543" i="5"/>
  <c r="G543" i="5"/>
  <c r="F543" i="5"/>
  <c r="N541" i="5"/>
  <c r="M541" i="5"/>
  <c r="L541" i="5"/>
  <c r="K541" i="5"/>
  <c r="J541" i="5"/>
  <c r="I541" i="5"/>
  <c r="H541" i="5"/>
  <c r="G541" i="5"/>
  <c r="F541" i="5"/>
  <c r="N539" i="5"/>
  <c r="M539" i="5"/>
  <c r="L539" i="5"/>
  <c r="K539" i="5"/>
  <c r="J539" i="5"/>
  <c r="I539" i="5"/>
  <c r="H539" i="5"/>
  <c r="G539" i="5"/>
  <c r="F539" i="5"/>
  <c r="N537" i="5"/>
  <c r="M537" i="5"/>
  <c r="L537" i="5"/>
  <c r="K537" i="5"/>
  <c r="J537" i="5"/>
  <c r="I537" i="5"/>
  <c r="H537" i="5"/>
  <c r="G537" i="5"/>
  <c r="F537" i="5"/>
  <c r="N535" i="5"/>
  <c r="M535" i="5"/>
  <c r="L535" i="5"/>
  <c r="K535" i="5"/>
  <c r="J535" i="5"/>
  <c r="I535" i="5"/>
  <c r="H535" i="5"/>
  <c r="G535" i="5"/>
  <c r="F535" i="5"/>
  <c r="N533" i="5"/>
  <c r="M533" i="5"/>
  <c r="L533" i="5"/>
  <c r="K533" i="5"/>
  <c r="J533" i="5"/>
  <c r="I533" i="5"/>
  <c r="H533" i="5"/>
  <c r="G533" i="5"/>
  <c r="F533" i="5"/>
  <c r="N531" i="5"/>
  <c r="M531" i="5"/>
  <c r="L531" i="5"/>
  <c r="K531" i="5"/>
  <c r="J531" i="5"/>
  <c r="I531" i="5"/>
  <c r="H531" i="5"/>
  <c r="G531" i="5"/>
  <c r="F531" i="5"/>
  <c r="N529" i="5"/>
  <c r="M529" i="5"/>
  <c r="L529" i="5"/>
  <c r="K529" i="5"/>
  <c r="J529" i="5"/>
  <c r="I529" i="5"/>
  <c r="H529" i="5"/>
  <c r="G529" i="5"/>
  <c r="F529" i="5"/>
  <c r="N527" i="5"/>
  <c r="M527" i="5"/>
  <c r="L527" i="5"/>
  <c r="K527" i="5"/>
  <c r="J527" i="5"/>
  <c r="I527" i="5"/>
  <c r="H527" i="5"/>
  <c r="G527" i="5"/>
  <c r="F527" i="5"/>
  <c r="N525" i="5"/>
  <c r="M525" i="5"/>
  <c r="L525" i="5"/>
  <c r="K525" i="5"/>
  <c r="J525" i="5"/>
  <c r="I525" i="5"/>
  <c r="H525" i="5"/>
  <c r="G525" i="5"/>
  <c r="F525" i="5"/>
  <c r="N523" i="5"/>
  <c r="M523" i="5"/>
  <c r="L523" i="5"/>
  <c r="K523" i="5"/>
  <c r="J523" i="5"/>
  <c r="I523" i="5"/>
  <c r="H523" i="5"/>
  <c r="G523" i="5"/>
  <c r="F523" i="5"/>
  <c r="N521" i="5"/>
  <c r="M521" i="5"/>
  <c r="L521" i="5"/>
  <c r="K521" i="5"/>
  <c r="J521" i="5"/>
  <c r="I521" i="5"/>
  <c r="H521" i="5"/>
  <c r="G521" i="5"/>
  <c r="F521" i="5"/>
  <c r="N519" i="5"/>
  <c r="M519" i="5"/>
  <c r="L519" i="5"/>
  <c r="K519" i="5"/>
  <c r="J519" i="5"/>
  <c r="I519" i="5"/>
  <c r="H519" i="5"/>
  <c r="G519" i="5"/>
  <c r="F519" i="5"/>
  <c r="N517" i="5"/>
  <c r="M517" i="5"/>
  <c r="L517" i="5"/>
  <c r="K517" i="5"/>
  <c r="J517" i="5"/>
  <c r="I517" i="5"/>
  <c r="H517" i="5"/>
  <c r="G517" i="5"/>
  <c r="F517" i="5"/>
  <c r="N515" i="5"/>
  <c r="M515" i="5"/>
  <c r="L515" i="5"/>
  <c r="K515" i="5"/>
  <c r="J515" i="5"/>
  <c r="I515" i="5"/>
  <c r="H515" i="5"/>
  <c r="G515" i="5"/>
  <c r="F515" i="5"/>
  <c r="N513" i="5"/>
  <c r="M513" i="5"/>
  <c r="L513" i="5"/>
  <c r="K513" i="5"/>
  <c r="J513" i="5"/>
  <c r="I513" i="5"/>
  <c r="H513" i="5"/>
  <c r="G513" i="5"/>
  <c r="F513" i="5"/>
  <c r="N511" i="5"/>
  <c r="M511" i="5"/>
  <c r="L511" i="5"/>
  <c r="K511" i="5"/>
  <c r="J511" i="5"/>
  <c r="I511" i="5"/>
  <c r="H511" i="5"/>
  <c r="G511" i="5"/>
  <c r="F511" i="5"/>
  <c r="N509" i="5"/>
  <c r="M509" i="5"/>
  <c r="L509" i="5"/>
  <c r="K509" i="5"/>
  <c r="J509" i="5"/>
  <c r="I509" i="5"/>
  <c r="H509" i="5"/>
  <c r="G509" i="5"/>
  <c r="F509" i="5"/>
  <c r="N507" i="5"/>
  <c r="M507" i="5"/>
  <c r="L507" i="5"/>
  <c r="K507" i="5"/>
  <c r="J507" i="5"/>
  <c r="I507" i="5"/>
  <c r="H507" i="5"/>
  <c r="G507" i="5"/>
  <c r="F507" i="5"/>
  <c r="N505" i="5"/>
  <c r="M505" i="5"/>
  <c r="L505" i="5"/>
  <c r="K505" i="5"/>
  <c r="J505" i="5"/>
  <c r="I505" i="5"/>
  <c r="H505" i="5"/>
  <c r="G505" i="5"/>
  <c r="F505" i="5"/>
  <c r="N503" i="5"/>
  <c r="M503" i="5"/>
  <c r="L503" i="5"/>
  <c r="K503" i="5"/>
  <c r="J503" i="5"/>
  <c r="I503" i="5"/>
  <c r="H503" i="5"/>
  <c r="F503" i="5"/>
  <c r="N501" i="5"/>
  <c r="M501" i="5"/>
  <c r="L501" i="5"/>
  <c r="K501" i="5"/>
  <c r="J501" i="5"/>
  <c r="I501" i="5"/>
  <c r="H501" i="5"/>
  <c r="F501" i="5"/>
  <c r="N499" i="5"/>
  <c r="M499" i="5"/>
  <c r="L499" i="5"/>
  <c r="K499" i="5"/>
  <c r="J499" i="5"/>
  <c r="I499" i="5"/>
  <c r="H499" i="5"/>
  <c r="F499" i="5"/>
  <c r="N497" i="5"/>
  <c r="M497" i="5"/>
  <c r="L497" i="5"/>
  <c r="K497" i="5"/>
  <c r="J497" i="5"/>
  <c r="I497" i="5"/>
  <c r="H497" i="5"/>
  <c r="F497" i="5"/>
  <c r="N495" i="5"/>
  <c r="M495" i="5"/>
  <c r="L495" i="5"/>
  <c r="K495" i="5"/>
  <c r="J495" i="5"/>
  <c r="I495" i="5"/>
  <c r="H495" i="5"/>
  <c r="F495" i="5"/>
  <c r="N493" i="5"/>
  <c r="M493" i="5"/>
  <c r="L493" i="5"/>
  <c r="K493" i="5"/>
  <c r="J493" i="5"/>
  <c r="I493" i="5"/>
  <c r="H493" i="5"/>
  <c r="F493" i="5"/>
  <c r="N490" i="5"/>
  <c r="M490" i="5"/>
  <c r="L490" i="5"/>
  <c r="K490" i="5"/>
  <c r="J490" i="5"/>
  <c r="I490" i="5"/>
  <c r="H490" i="5"/>
  <c r="F490" i="5"/>
  <c r="N487" i="5"/>
  <c r="M487" i="5"/>
  <c r="L487" i="5"/>
  <c r="K487" i="5"/>
  <c r="J487" i="5"/>
  <c r="I487" i="5"/>
  <c r="H487" i="5"/>
  <c r="F487" i="5"/>
  <c r="N482" i="5"/>
  <c r="M482" i="5"/>
  <c r="L482" i="5"/>
  <c r="K482" i="5"/>
  <c r="J482" i="5"/>
  <c r="I482" i="5"/>
  <c r="H482" i="5"/>
  <c r="F482" i="5"/>
  <c r="N477" i="5"/>
  <c r="M477" i="5"/>
  <c r="L477" i="5"/>
  <c r="K477" i="5"/>
  <c r="J477" i="5"/>
  <c r="I477" i="5"/>
  <c r="H477" i="5"/>
  <c r="F477" i="5"/>
  <c r="N471" i="5"/>
  <c r="M471" i="5"/>
  <c r="L471" i="5"/>
  <c r="K471" i="5"/>
  <c r="J471" i="5"/>
  <c r="I471" i="5"/>
  <c r="H471" i="5"/>
  <c r="F471" i="5"/>
  <c r="N468" i="5"/>
  <c r="M468" i="5"/>
  <c r="L468" i="5"/>
  <c r="K468" i="5"/>
  <c r="J468" i="5"/>
  <c r="I468" i="5"/>
  <c r="H468" i="5"/>
  <c r="F468" i="5"/>
  <c r="N464" i="5"/>
  <c r="M464" i="5"/>
  <c r="L464" i="5"/>
  <c r="K464" i="5"/>
  <c r="J464" i="5"/>
  <c r="I464" i="5"/>
  <c r="H464" i="5"/>
  <c r="F464" i="5"/>
  <c r="N462" i="5"/>
  <c r="N461" i="5" s="1"/>
  <c r="M462" i="5"/>
  <c r="L462" i="5"/>
  <c r="K462" i="5"/>
  <c r="K461" i="5" s="1"/>
  <c r="J462" i="5"/>
  <c r="I462" i="5"/>
  <c r="H462" i="5"/>
  <c r="F462" i="5"/>
  <c r="N455" i="5"/>
  <c r="M455" i="5"/>
  <c r="L455" i="5"/>
  <c r="K455" i="5"/>
  <c r="J455" i="5"/>
  <c r="I455" i="5"/>
  <c r="H455" i="5"/>
  <c r="F455" i="5"/>
  <c r="N414" i="5"/>
  <c r="M414" i="5"/>
  <c r="L414" i="5"/>
  <c r="K414" i="5"/>
  <c r="J414" i="5"/>
  <c r="I414" i="5"/>
  <c r="H414" i="5"/>
  <c r="F414" i="5"/>
  <c r="D563" i="5"/>
  <c r="D561" i="5"/>
  <c r="D560" i="5" s="1"/>
  <c r="D558" i="5"/>
  <c r="D556" i="5"/>
  <c r="D553" i="5"/>
  <c r="D551" i="5"/>
  <c r="D549" i="5"/>
  <c r="D547" i="5"/>
  <c r="D545" i="5"/>
  <c r="D543" i="5"/>
  <c r="D541" i="5"/>
  <c r="D539" i="5"/>
  <c r="D537" i="5"/>
  <c r="D535" i="5"/>
  <c r="D533" i="5"/>
  <c r="D531" i="5"/>
  <c r="D529" i="5"/>
  <c r="D527" i="5"/>
  <c r="D525" i="5"/>
  <c r="D523" i="5"/>
  <c r="D521" i="5"/>
  <c r="D519" i="5"/>
  <c r="D517" i="5"/>
  <c r="D515" i="5"/>
  <c r="D513" i="5"/>
  <c r="D511" i="5"/>
  <c r="D509" i="5"/>
  <c r="D507" i="5"/>
  <c r="D505" i="5"/>
  <c r="D503" i="5"/>
  <c r="D501" i="5"/>
  <c r="D499" i="5"/>
  <c r="D497" i="5"/>
  <c r="D495" i="5"/>
  <c r="D493" i="5"/>
  <c r="D490" i="5"/>
  <c r="D487" i="5"/>
  <c r="D482" i="5"/>
  <c r="D477" i="5"/>
  <c r="D471" i="5"/>
  <c r="D468" i="5"/>
  <c r="D464" i="5"/>
  <c r="D462" i="5"/>
  <c r="D455" i="5"/>
  <c r="D414" i="5"/>
  <c r="C563" i="5"/>
  <c r="C561" i="5"/>
  <c r="C558" i="5"/>
  <c r="C556" i="5"/>
  <c r="C553" i="5"/>
  <c r="C551" i="5"/>
  <c r="C549" i="5"/>
  <c r="C547" i="5"/>
  <c r="C545" i="5"/>
  <c r="C543" i="5"/>
  <c r="C541" i="5"/>
  <c r="C539" i="5"/>
  <c r="C537" i="5"/>
  <c r="C535" i="5"/>
  <c r="C533" i="5"/>
  <c r="C531" i="5"/>
  <c r="C529" i="5"/>
  <c r="C527" i="5"/>
  <c r="C525" i="5"/>
  <c r="C523" i="5"/>
  <c r="C521" i="5"/>
  <c r="C519" i="5"/>
  <c r="C517" i="5"/>
  <c r="C515" i="5"/>
  <c r="C513" i="5"/>
  <c r="C511" i="5"/>
  <c r="C509" i="5"/>
  <c r="C507" i="5"/>
  <c r="C505" i="5"/>
  <c r="C503" i="5"/>
  <c r="C501" i="5"/>
  <c r="C499" i="5"/>
  <c r="C497" i="5"/>
  <c r="C495" i="5"/>
  <c r="C493" i="5"/>
  <c r="C490" i="5"/>
  <c r="C487" i="5"/>
  <c r="C482" i="5"/>
  <c r="C477" i="5"/>
  <c r="C471" i="5"/>
  <c r="C468" i="5"/>
  <c r="C464" i="5"/>
  <c r="C462" i="5"/>
  <c r="C455" i="5"/>
  <c r="C414" i="5"/>
  <c r="O416" i="5"/>
  <c r="Q416" i="5" s="1"/>
  <c r="O417" i="5"/>
  <c r="Q417" i="5" s="1"/>
  <c r="O418" i="5"/>
  <c r="Q418" i="5" s="1"/>
  <c r="O419" i="5"/>
  <c r="Q419" i="5" s="1"/>
  <c r="O420" i="5"/>
  <c r="Q420" i="5" s="1"/>
  <c r="O421" i="5"/>
  <c r="Q421" i="5" s="1"/>
  <c r="O422" i="5"/>
  <c r="Q422" i="5" s="1"/>
  <c r="O423" i="5"/>
  <c r="Q423" i="5" s="1"/>
  <c r="O424" i="5"/>
  <c r="Q424" i="5" s="1"/>
  <c r="O425" i="5"/>
  <c r="Q425" i="5" s="1"/>
  <c r="O426" i="5"/>
  <c r="Q426" i="5" s="1"/>
  <c r="O427" i="5"/>
  <c r="Q427" i="5" s="1"/>
  <c r="O428" i="5"/>
  <c r="Q428" i="5" s="1"/>
  <c r="O429" i="5"/>
  <c r="Q429" i="5" s="1"/>
  <c r="O430" i="5"/>
  <c r="Q430" i="5" s="1"/>
  <c r="O431" i="5"/>
  <c r="Q431" i="5" s="1"/>
  <c r="O432" i="5"/>
  <c r="Q432" i="5" s="1"/>
  <c r="O433" i="5"/>
  <c r="Q433" i="5" s="1"/>
  <c r="O434" i="5"/>
  <c r="Q434" i="5" s="1"/>
  <c r="O435" i="5"/>
  <c r="Q435" i="5" s="1"/>
  <c r="O436" i="5"/>
  <c r="Q436" i="5" s="1"/>
  <c r="O437" i="5"/>
  <c r="Q437" i="5" s="1"/>
  <c r="O438" i="5"/>
  <c r="Q438" i="5" s="1"/>
  <c r="O439" i="5"/>
  <c r="Q439" i="5" s="1"/>
  <c r="O440" i="5"/>
  <c r="Q440" i="5" s="1"/>
  <c r="O441" i="5"/>
  <c r="Q441" i="5" s="1"/>
  <c r="O442" i="5"/>
  <c r="Q442" i="5" s="1"/>
  <c r="O443" i="5"/>
  <c r="Q443" i="5" s="1"/>
  <c r="O444" i="5"/>
  <c r="Q444" i="5" s="1"/>
  <c r="O445" i="5"/>
  <c r="Q445" i="5" s="1"/>
  <c r="O446" i="5"/>
  <c r="Q446" i="5" s="1"/>
  <c r="O447" i="5"/>
  <c r="Q447" i="5" s="1"/>
  <c r="O448" i="5"/>
  <c r="Q448" i="5" s="1"/>
  <c r="O449" i="5"/>
  <c r="Q449" i="5" s="1"/>
  <c r="O450" i="5"/>
  <c r="Q450" i="5" s="1"/>
  <c r="O451" i="5"/>
  <c r="Q451" i="5" s="1"/>
  <c r="O452" i="5"/>
  <c r="Q452" i="5" s="1"/>
  <c r="O453" i="5"/>
  <c r="Q453" i="5" s="1"/>
  <c r="O454" i="5"/>
  <c r="Q454" i="5" s="1"/>
  <c r="O456" i="5"/>
  <c r="Q456" i="5" s="1"/>
  <c r="O457" i="5"/>
  <c r="Q457" i="5" s="1"/>
  <c r="O458" i="5"/>
  <c r="Q458" i="5" s="1"/>
  <c r="O459" i="5"/>
  <c r="Q459" i="5" s="1"/>
  <c r="O460" i="5"/>
  <c r="Q460" i="5" s="1"/>
  <c r="O463" i="5"/>
  <c r="Q463" i="5" s="1"/>
  <c r="O465" i="5"/>
  <c r="Q465" i="5" s="1"/>
  <c r="O466" i="5"/>
  <c r="Q466" i="5" s="1"/>
  <c r="O467" i="5"/>
  <c r="Q467" i="5" s="1"/>
  <c r="O469" i="5"/>
  <c r="Q469" i="5" s="1"/>
  <c r="O470" i="5"/>
  <c r="Q470" i="5" s="1"/>
  <c r="O472" i="5"/>
  <c r="Q472" i="5" s="1"/>
  <c r="O473" i="5"/>
  <c r="Q473" i="5" s="1"/>
  <c r="O474" i="5"/>
  <c r="Q474" i="5" s="1"/>
  <c r="O475" i="5"/>
  <c r="Q475" i="5" s="1"/>
  <c r="O476" i="5"/>
  <c r="Q476" i="5" s="1"/>
  <c r="O478" i="5"/>
  <c r="Q478" i="5" s="1"/>
  <c r="O479" i="5"/>
  <c r="Q479" i="5" s="1"/>
  <c r="O480" i="5"/>
  <c r="Q480" i="5" s="1"/>
  <c r="O481" i="5"/>
  <c r="Q481" i="5" s="1"/>
  <c r="O483" i="5"/>
  <c r="Q483" i="5" s="1"/>
  <c r="O484" i="5"/>
  <c r="Q484" i="5" s="1"/>
  <c r="O485" i="5"/>
  <c r="Q485" i="5" s="1"/>
  <c r="O486" i="5"/>
  <c r="Q486" i="5" s="1"/>
  <c r="O488" i="5"/>
  <c r="Q488" i="5" s="1"/>
  <c r="O489" i="5"/>
  <c r="Q489" i="5" s="1"/>
  <c r="O491" i="5"/>
  <c r="Q491" i="5" s="1"/>
  <c r="O492" i="5"/>
  <c r="Q492" i="5" s="1"/>
  <c r="O494" i="5"/>
  <c r="Q494" i="5" s="1"/>
  <c r="O496" i="5"/>
  <c r="Q496" i="5" s="1"/>
  <c r="O498" i="5"/>
  <c r="Q498" i="5" s="1"/>
  <c r="O500" i="5"/>
  <c r="Q500" i="5" s="1"/>
  <c r="O502" i="5"/>
  <c r="Q502" i="5" s="1"/>
  <c r="O504" i="5"/>
  <c r="Q504" i="5" s="1"/>
  <c r="O506" i="5"/>
  <c r="Q506" i="5" s="1"/>
  <c r="O508" i="5"/>
  <c r="Q508" i="5" s="1"/>
  <c r="O510" i="5"/>
  <c r="Q510" i="5" s="1"/>
  <c r="O512" i="5"/>
  <c r="Q512" i="5" s="1"/>
  <c r="O514" i="5"/>
  <c r="Q514" i="5" s="1"/>
  <c r="O516" i="5"/>
  <c r="Q516" i="5" s="1"/>
  <c r="O518" i="5"/>
  <c r="Q518" i="5" s="1"/>
  <c r="O520" i="5"/>
  <c r="Q520" i="5" s="1"/>
  <c r="O522" i="5"/>
  <c r="Q522" i="5" s="1"/>
  <c r="O524" i="5"/>
  <c r="Q524" i="5" s="1"/>
  <c r="O526" i="5"/>
  <c r="Q526" i="5" s="1"/>
  <c r="O528" i="5"/>
  <c r="Q528" i="5" s="1"/>
  <c r="O530" i="5"/>
  <c r="Q530" i="5" s="1"/>
  <c r="O532" i="5"/>
  <c r="Q532" i="5" s="1"/>
  <c r="O534" i="5"/>
  <c r="Q534" i="5" s="1"/>
  <c r="O536" i="5"/>
  <c r="Q536" i="5" s="1"/>
  <c r="O538" i="5"/>
  <c r="Q538" i="5" s="1"/>
  <c r="O540" i="5"/>
  <c r="Q540" i="5" s="1"/>
  <c r="O542" i="5"/>
  <c r="Q542" i="5" s="1"/>
  <c r="O544" i="5"/>
  <c r="Q544" i="5" s="1"/>
  <c r="O546" i="5"/>
  <c r="Q546" i="5" s="1"/>
  <c r="O548" i="5"/>
  <c r="Q548" i="5" s="1"/>
  <c r="O550" i="5"/>
  <c r="Q550" i="5" s="1"/>
  <c r="O552" i="5"/>
  <c r="Q552" i="5" s="1"/>
  <c r="O554" i="5"/>
  <c r="Q554" i="5" s="1"/>
  <c r="O557" i="5"/>
  <c r="Q557" i="5" s="1"/>
  <c r="O559" i="5"/>
  <c r="Q559" i="5" s="1"/>
  <c r="O562" i="5"/>
  <c r="Q562" i="5" s="1"/>
  <c r="O564" i="5"/>
  <c r="Q564" i="5" s="1"/>
  <c r="O565" i="5"/>
  <c r="Q565" i="5" s="1"/>
  <c r="O568" i="5"/>
  <c r="Q568" i="5" s="1"/>
  <c r="O569" i="5"/>
  <c r="Q569" i="5" s="1"/>
  <c r="O571" i="5"/>
  <c r="Q571" i="5" s="1"/>
  <c r="O574" i="5"/>
  <c r="Q574" i="5" s="1"/>
  <c r="O575" i="5"/>
  <c r="Q575" i="5" s="1"/>
  <c r="O579" i="5"/>
  <c r="Q579" i="5" s="1"/>
  <c r="O581" i="5"/>
  <c r="Q581" i="5" s="1"/>
  <c r="O413" i="5"/>
  <c r="Q413" i="5" s="1"/>
  <c r="O415" i="5"/>
  <c r="Q415" i="5" s="1"/>
  <c r="D406" i="5"/>
  <c r="E406" i="5"/>
  <c r="F406" i="5"/>
  <c r="H406" i="5"/>
  <c r="I406" i="5"/>
  <c r="J406" i="5"/>
  <c r="K406" i="5"/>
  <c r="L406" i="5"/>
  <c r="M406" i="5"/>
  <c r="N406" i="5"/>
  <c r="C406" i="5"/>
  <c r="D400" i="5"/>
  <c r="E400" i="5"/>
  <c r="F400" i="5"/>
  <c r="H400" i="5"/>
  <c r="I400" i="5"/>
  <c r="J400" i="5"/>
  <c r="K400" i="5"/>
  <c r="L400" i="5"/>
  <c r="M400" i="5"/>
  <c r="N400" i="5"/>
  <c r="C400" i="5"/>
  <c r="D403" i="5"/>
  <c r="E403" i="5"/>
  <c r="F403" i="5"/>
  <c r="H403" i="5"/>
  <c r="I403" i="5"/>
  <c r="J403" i="5"/>
  <c r="K403" i="5"/>
  <c r="L403" i="5"/>
  <c r="M403" i="5"/>
  <c r="N403" i="5"/>
  <c r="C403" i="5"/>
  <c r="O401" i="5"/>
  <c r="Q401" i="5" s="1"/>
  <c r="O402" i="5"/>
  <c r="Q402" i="5" s="1"/>
  <c r="O404" i="5"/>
  <c r="Q404" i="5" s="1"/>
  <c r="O405" i="5"/>
  <c r="Q405" i="5" s="1"/>
  <c r="O355" i="5"/>
  <c r="Q355" i="5" s="1"/>
  <c r="O356" i="5"/>
  <c r="Q356" i="5" s="1"/>
  <c r="O357" i="5"/>
  <c r="Q357" i="5" s="1"/>
  <c r="O358" i="5"/>
  <c r="Q358" i="5" s="1"/>
  <c r="O359" i="5"/>
  <c r="Q359" i="5" s="1"/>
  <c r="O360" i="5"/>
  <c r="Q360" i="5" s="1"/>
  <c r="O361" i="5"/>
  <c r="Q361" i="5" s="1"/>
  <c r="O362" i="5"/>
  <c r="Q362" i="5" s="1"/>
  <c r="O363" i="5"/>
  <c r="Q363" i="5" s="1"/>
  <c r="O364" i="5"/>
  <c r="Q364" i="5" s="1"/>
  <c r="O365" i="5"/>
  <c r="Q365" i="5" s="1"/>
  <c r="O366" i="5"/>
  <c r="Q366" i="5" s="1"/>
  <c r="O367" i="5"/>
  <c r="Q367" i="5" s="1"/>
  <c r="O368" i="5"/>
  <c r="Q368" i="5" s="1"/>
  <c r="O369" i="5"/>
  <c r="Q369" i="5" s="1"/>
  <c r="O370" i="5"/>
  <c r="Q370" i="5" s="1"/>
  <c r="O373" i="5"/>
  <c r="Q373" i="5" s="1"/>
  <c r="O371" i="5"/>
  <c r="Q371" i="5" s="1"/>
  <c r="O374" i="5"/>
  <c r="Q374" i="5" s="1"/>
  <c r="O375" i="5"/>
  <c r="Q375" i="5" s="1"/>
  <c r="O376" i="5"/>
  <c r="Q376" i="5" s="1"/>
  <c r="O377" i="5"/>
  <c r="Q377" i="5" s="1"/>
  <c r="O378" i="5"/>
  <c r="Q378" i="5" s="1"/>
  <c r="O379" i="5"/>
  <c r="Q379" i="5" s="1"/>
  <c r="O380" i="5"/>
  <c r="Q380" i="5" s="1"/>
  <c r="O381" i="5"/>
  <c r="Q381" i="5" s="1"/>
  <c r="O382" i="5"/>
  <c r="Q382" i="5" s="1"/>
  <c r="O383" i="5"/>
  <c r="Q383" i="5" s="1"/>
  <c r="O384" i="5"/>
  <c r="Q384" i="5" s="1"/>
  <c r="O385" i="5"/>
  <c r="Q385" i="5" s="1"/>
  <c r="O386" i="5"/>
  <c r="Q386" i="5" s="1"/>
  <c r="O387" i="5"/>
  <c r="Q387" i="5" s="1"/>
  <c r="O388" i="5"/>
  <c r="Q388" i="5" s="1"/>
  <c r="O389" i="5"/>
  <c r="Q389" i="5" s="1"/>
  <c r="O390" i="5"/>
  <c r="Q390" i="5" s="1"/>
  <c r="O391" i="5"/>
  <c r="Q391" i="5" s="1"/>
  <c r="O392" i="5"/>
  <c r="Q392" i="5" s="1"/>
  <c r="O393" i="5"/>
  <c r="Q393" i="5" s="1"/>
  <c r="O394" i="5"/>
  <c r="Q394" i="5" s="1"/>
  <c r="O395" i="5"/>
  <c r="Q395" i="5" s="1"/>
  <c r="O396" i="5"/>
  <c r="Q396" i="5" s="1"/>
  <c r="O397" i="5"/>
  <c r="Q397" i="5" s="1"/>
  <c r="O398" i="5"/>
  <c r="Q398" i="5" s="1"/>
  <c r="O399" i="5"/>
  <c r="Q399" i="5" s="1"/>
  <c r="O407" i="5"/>
  <c r="Q407" i="5" s="1"/>
  <c r="O408" i="5"/>
  <c r="Q408" i="5" s="1"/>
  <c r="O409" i="5"/>
  <c r="Q409" i="5" s="1"/>
  <c r="O410" i="5"/>
  <c r="Q410" i="5" s="1"/>
  <c r="O411" i="5"/>
  <c r="Q411" i="5" s="1"/>
  <c r="O412" i="5"/>
  <c r="Q412" i="5" s="1"/>
  <c r="O583" i="5"/>
  <c r="Q583" i="5" s="1"/>
  <c r="O585" i="5"/>
  <c r="Q585" i="5" s="1"/>
  <c r="O587" i="5"/>
  <c r="Q587" i="5" s="1"/>
  <c r="O588" i="5"/>
  <c r="Q588" i="5" s="1"/>
  <c r="O590" i="5"/>
  <c r="Q590" i="5" s="1"/>
  <c r="O592" i="5"/>
  <c r="Q592" i="5" s="1"/>
  <c r="O593" i="5"/>
  <c r="Q593" i="5" s="1"/>
  <c r="O594" i="5"/>
  <c r="Q594" i="5" s="1"/>
  <c r="O595" i="5"/>
  <c r="Q595" i="5" s="1"/>
  <c r="O596" i="5"/>
  <c r="Q596" i="5" s="1"/>
  <c r="O597" i="5"/>
  <c r="Q597" i="5" s="1"/>
  <c r="O598" i="5"/>
  <c r="Q598" i="5" s="1"/>
  <c r="O599" i="5"/>
  <c r="Q599" i="5" s="1"/>
  <c r="O600" i="5"/>
  <c r="Q600" i="5" s="1"/>
  <c r="O601" i="5"/>
  <c r="Q601" i="5" s="1"/>
  <c r="O602" i="5"/>
  <c r="Q602" i="5" s="1"/>
  <c r="O603" i="5"/>
  <c r="Q603" i="5" s="1"/>
  <c r="O604" i="5"/>
  <c r="Q604" i="5" s="1"/>
  <c r="O605" i="5"/>
  <c r="Q605" i="5" s="1"/>
  <c r="O606" i="5"/>
  <c r="Q606" i="5" s="1"/>
  <c r="O607" i="5"/>
  <c r="Q607" i="5" s="1"/>
  <c r="O608" i="5"/>
  <c r="Q608" i="5" s="1"/>
  <c r="O609" i="5"/>
  <c r="Q609" i="5" s="1"/>
  <c r="O610" i="5"/>
  <c r="Q610" i="5" s="1"/>
  <c r="O611" i="5"/>
  <c r="Q611" i="5" s="1"/>
  <c r="O612" i="5"/>
  <c r="Q612" i="5" s="1"/>
  <c r="O613" i="5"/>
  <c r="Q613" i="5" s="1"/>
  <c r="O614" i="5"/>
  <c r="Q614" i="5" s="1"/>
  <c r="O615" i="5"/>
  <c r="Q615" i="5" s="1"/>
  <c r="O616" i="5"/>
  <c r="Q616" i="5" s="1"/>
  <c r="O617" i="5"/>
  <c r="Q617" i="5" s="1"/>
  <c r="O618" i="5"/>
  <c r="Q618" i="5" s="1"/>
  <c r="O619" i="5"/>
  <c r="Q619" i="5" s="1"/>
  <c r="O620" i="5"/>
  <c r="Q620" i="5" s="1"/>
  <c r="O350" i="5"/>
  <c r="Q350" i="5" s="1"/>
  <c r="C965" i="5" l="1"/>
  <c r="K655" i="5"/>
  <c r="G655" i="5"/>
  <c r="E693" i="5"/>
  <c r="M693" i="5"/>
  <c r="K693" i="5"/>
  <c r="O689" i="5"/>
  <c r="Q689" i="5" s="1"/>
  <c r="D655" i="5"/>
  <c r="L655" i="5"/>
  <c r="F693" i="5"/>
  <c r="J693" i="5"/>
  <c r="N693" i="5"/>
  <c r="O545" i="5"/>
  <c r="Q545" i="5" s="1"/>
  <c r="O699" i="5"/>
  <c r="Q699" i="5" s="1"/>
  <c r="O677" i="5"/>
  <c r="Q677" i="5" s="1"/>
  <c r="O681" i="5"/>
  <c r="Q681" i="5" s="1"/>
  <c r="O685" i="5"/>
  <c r="Q685" i="5" s="1"/>
  <c r="N706" i="5"/>
  <c r="G706" i="5"/>
  <c r="K706" i="5"/>
  <c r="C560" i="5"/>
  <c r="C693" i="5"/>
  <c r="C706" i="5"/>
  <c r="O505" i="5"/>
  <c r="Q505" i="5" s="1"/>
  <c r="O529" i="5"/>
  <c r="Q529" i="5" s="1"/>
  <c r="O553" i="5"/>
  <c r="Q553" i="5" s="1"/>
  <c r="G693" i="5"/>
  <c r="C672" i="5"/>
  <c r="I693" i="5"/>
  <c r="D706" i="5"/>
  <c r="H706" i="5"/>
  <c r="L706" i="5"/>
  <c r="O679" i="5"/>
  <c r="Q679" i="5" s="1"/>
  <c r="O683" i="5"/>
  <c r="Q683" i="5" s="1"/>
  <c r="O687" i="5"/>
  <c r="Q687" i="5" s="1"/>
  <c r="O691" i="5"/>
  <c r="Q691" i="5" s="1"/>
  <c r="O464" i="5"/>
  <c r="Q464" i="5" s="1"/>
  <c r="O711" i="5"/>
  <c r="Q711" i="5" s="1"/>
  <c r="F706" i="5"/>
  <c r="J706" i="5"/>
  <c r="O717" i="5"/>
  <c r="Q717" i="5" s="1"/>
  <c r="O719" i="5"/>
  <c r="Q719" i="5" s="1"/>
  <c r="C655" i="5"/>
  <c r="O513" i="5"/>
  <c r="Q513" i="5" s="1"/>
  <c r="I461" i="5"/>
  <c r="E461" i="5"/>
  <c r="O656" i="5"/>
  <c r="Q656" i="5" s="1"/>
  <c r="F655" i="5"/>
  <c r="J655" i="5"/>
  <c r="N655" i="5"/>
  <c r="O497" i="5"/>
  <c r="Q497" i="5" s="1"/>
  <c r="C461" i="5"/>
  <c r="O493" i="5"/>
  <c r="Q493" i="5" s="1"/>
  <c r="O501" i="5"/>
  <c r="Q501" i="5" s="1"/>
  <c r="O509" i="5"/>
  <c r="Q509" i="5" s="1"/>
  <c r="O525" i="5"/>
  <c r="Q525" i="5" s="1"/>
  <c r="O541" i="5"/>
  <c r="Q541" i="5" s="1"/>
  <c r="O701" i="5"/>
  <c r="Q701" i="5" s="1"/>
  <c r="O697" i="5"/>
  <c r="Q697" i="5" s="1"/>
  <c r="H693" i="5"/>
  <c r="L693" i="5"/>
  <c r="E706" i="5"/>
  <c r="I706" i="5"/>
  <c r="M706" i="5"/>
  <c r="O713" i="5"/>
  <c r="Q713" i="5" s="1"/>
  <c r="O715" i="5"/>
  <c r="Q715" i="5" s="1"/>
  <c r="I655" i="5"/>
  <c r="M655" i="5"/>
  <c r="G461" i="5"/>
  <c r="H655" i="5"/>
  <c r="O661" i="5"/>
  <c r="Q661" i="5" s="1"/>
  <c r="O709" i="5"/>
  <c r="Q709" i="5" s="1"/>
  <c r="O707" i="5"/>
  <c r="Q707" i="5" s="1"/>
  <c r="E655" i="5"/>
  <c r="D693" i="5"/>
  <c r="O694" i="5"/>
  <c r="Q694" i="5" s="1"/>
  <c r="O673" i="5"/>
  <c r="O477" i="5"/>
  <c r="Q477" i="5" s="1"/>
  <c r="O468" i="5"/>
  <c r="Q468" i="5" s="1"/>
  <c r="O462" i="5"/>
  <c r="Q462" i="5" s="1"/>
  <c r="D461" i="5"/>
  <c r="M461" i="5"/>
  <c r="F461" i="5"/>
  <c r="H461" i="5"/>
  <c r="J461" i="5"/>
  <c r="L461" i="5"/>
  <c r="O455" i="5"/>
  <c r="Q455" i="5" s="1"/>
  <c r="O558" i="5"/>
  <c r="Q558" i="5" s="1"/>
  <c r="O487" i="5"/>
  <c r="Q487" i="5" s="1"/>
  <c r="O517" i="5"/>
  <c r="Q517" i="5" s="1"/>
  <c r="O521" i="5"/>
  <c r="Q521" i="5" s="1"/>
  <c r="O533" i="5"/>
  <c r="Q533" i="5" s="1"/>
  <c r="O537" i="5"/>
  <c r="Q537" i="5" s="1"/>
  <c r="O549" i="5"/>
  <c r="Q549" i="5" s="1"/>
  <c r="O563" i="5"/>
  <c r="Q563" i="5" s="1"/>
  <c r="O490" i="5"/>
  <c r="Q490" i="5" s="1"/>
  <c r="O561" i="5"/>
  <c r="Q561" i="5" s="1"/>
  <c r="O556" i="5"/>
  <c r="Q556" i="5" s="1"/>
  <c r="O482" i="5"/>
  <c r="Q482" i="5" s="1"/>
  <c r="O471" i="5"/>
  <c r="Q471" i="5" s="1"/>
  <c r="O495" i="5"/>
  <c r="Q495" i="5" s="1"/>
  <c r="O499" i="5"/>
  <c r="Q499" i="5" s="1"/>
  <c r="O503" i="5"/>
  <c r="Q503" i="5" s="1"/>
  <c r="O507" i="5"/>
  <c r="Q507" i="5" s="1"/>
  <c r="O511" i="5"/>
  <c r="Q511" i="5" s="1"/>
  <c r="O515" i="5"/>
  <c r="Q515" i="5" s="1"/>
  <c r="O519" i="5"/>
  <c r="Q519" i="5" s="1"/>
  <c r="O523" i="5"/>
  <c r="Q523" i="5" s="1"/>
  <c r="O527" i="5"/>
  <c r="Q527" i="5" s="1"/>
  <c r="O531" i="5"/>
  <c r="Q531" i="5" s="1"/>
  <c r="O535" i="5"/>
  <c r="Q535" i="5" s="1"/>
  <c r="O539" i="5"/>
  <c r="Q539" i="5" s="1"/>
  <c r="O543" i="5"/>
  <c r="Q543" i="5" s="1"/>
  <c r="O547" i="5"/>
  <c r="Q547" i="5" s="1"/>
  <c r="O551" i="5"/>
  <c r="Q551" i="5" s="1"/>
  <c r="O354" i="5"/>
  <c r="Q354" i="5" s="1"/>
  <c r="O403" i="5"/>
  <c r="Q403" i="5" s="1"/>
  <c r="O406" i="5"/>
  <c r="Q406" i="5" s="1"/>
  <c r="O965" i="5" l="1"/>
  <c r="F671" i="5"/>
  <c r="F670" i="5" s="1"/>
  <c r="F669" i="5" s="1"/>
  <c r="F668" i="5" s="1"/>
  <c r="F667" i="5" s="1"/>
  <c r="O560" i="5"/>
  <c r="Q560" i="5" s="1"/>
  <c r="E671" i="5"/>
  <c r="E670" i="5" s="1"/>
  <c r="E669" i="5" s="1"/>
  <c r="E668" i="5" s="1"/>
  <c r="E667" i="5" s="1"/>
  <c r="O672" i="5"/>
  <c r="Q672" i="5" s="1"/>
  <c r="M671" i="5"/>
  <c r="M670" i="5" s="1"/>
  <c r="M669" i="5" s="1"/>
  <c r="M668" i="5" s="1"/>
  <c r="M667" i="5" s="1"/>
  <c r="G671" i="5"/>
  <c r="G670" i="5" s="1"/>
  <c r="G669" i="5" s="1"/>
  <c r="G668" i="5" s="1"/>
  <c r="G667" i="5" s="1"/>
  <c r="K671" i="5"/>
  <c r="K670" i="5" s="1"/>
  <c r="K669" i="5" s="1"/>
  <c r="K668" i="5" s="1"/>
  <c r="K667" i="5" s="1"/>
  <c r="J671" i="5"/>
  <c r="J670" i="5" s="1"/>
  <c r="J669" i="5" s="1"/>
  <c r="J668" i="5" s="1"/>
  <c r="J667" i="5" s="1"/>
  <c r="L671" i="5"/>
  <c r="L670" i="5" s="1"/>
  <c r="L669" i="5" s="1"/>
  <c r="L668" i="5" s="1"/>
  <c r="L667" i="5" s="1"/>
  <c r="N671" i="5"/>
  <c r="N670" i="5" s="1"/>
  <c r="N669" i="5" s="1"/>
  <c r="N668" i="5" s="1"/>
  <c r="N667" i="5" s="1"/>
  <c r="I671" i="5"/>
  <c r="I670" i="5" s="1"/>
  <c r="I669" i="5" s="1"/>
  <c r="I668" i="5" s="1"/>
  <c r="I667" i="5" s="1"/>
  <c r="C671" i="5"/>
  <c r="H671" i="5"/>
  <c r="H670" i="5" s="1"/>
  <c r="H669" i="5" s="1"/>
  <c r="H668" i="5" s="1"/>
  <c r="H667" i="5" s="1"/>
  <c r="O706" i="5"/>
  <c r="Q706" i="5" s="1"/>
  <c r="O461" i="5"/>
  <c r="Q461" i="5" s="1"/>
  <c r="Q655" i="5"/>
  <c r="R672" i="5"/>
  <c r="S672" i="5" s="1"/>
  <c r="Q673" i="5"/>
  <c r="O693" i="5"/>
  <c r="Q693" i="5" s="1"/>
  <c r="D671" i="5"/>
  <c r="D670" i="5" s="1"/>
  <c r="D669" i="5" s="1"/>
  <c r="D668" i="5" s="1"/>
  <c r="D667" i="5" s="1"/>
  <c r="O902" i="5"/>
  <c r="D900" i="5"/>
  <c r="D899" i="5" s="1"/>
  <c r="E900" i="5"/>
  <c r="E899" i="5" s="1"/>
  <c r="F900" i="5"/>
  <c r="F899" i="5" s="1"/>
  <c r="G900" i="5"/>
  <c r="G899" i="5" s="1"/>
  <c r="H900" i="5"/>
  <c r="H899" i="5" s="1"/>
  <c r="I900" i="5"/>
  <c r="I899" i="5" s="1"/>
  <c r="J900" i="5"/>
  <c r="J899" i="5" s="1"/>
  <c r="K900" i="5"/>
  <c r="K899" i="5" s="1"/>
  <c r="L900" i="5"/>
  <c r="L899" i="5" s="1"/>
  <c r="M900" i="5"/>
  <c r="M899" i="5" s="1"/>
  <c r="N900" i="5"/>
  <c r="N899" i="5" s="1"/>
  <c r="O849" i="5"/>
  <c r="O850" i="5"/>
  <c r="O854" i="5"/>
  <c r="O855" i="5"/>
  <c r="O856" i="5"/>
  <c r="O858" i="5"/>
  <c r="O862" i="5"/>
  <c r="O863" i="5"/>
  <c r="O865" i="5"/>
  <c r="O866" i="5"/>
  <c r="O867" i="5"/>
  <c r="O838" i="5"/>
  <c r="O839" i="5"/>
  <c r="O840" i="5"/>
  <c r="O841" i="5"/>
  <c r="D837" i="5"/>
  <c r="E837" i="5"/>
  <c r="F837" i="5"/>
  <c r="G837" i="5"/>
  <c r="H837" i="5"/>
  <c r="I837" i="5"/>
  <c r="J837" i="5"/>
  <c r="K837" i="5"/>
  <c r="L837" i="5"/>
  <c r="M837" i="5"/>
  <c r="N837" i="5"/>
  <c r="C837" i="5"/>
  <c r="C670" i="5" l="1"/>
  <c r="O651" i="5"/>
  <c r="Q651" i="5" s="1"/>
  <c r="O555" i="5"/>
  <c r="Q555" i="5" s="1"/>
  <c r="C900" i="5"/>
  <c r="C650" i="5"/>
  <c r="O671" i="5"/>
  <c r="Q671" i="5" s="1"/>
  <c r="O901" i="5"/>
  <c r="G786" i="5"/>
  <c r="C786" i="5"/>
  <c r="O784" i="5"/>
  <c r="O785" i="5"/>
  <c r="O787" i="5"/>
  <c r="O788" i="5"/>
  <c r="D786" i="5"/>
  <c r="E786" i="5"/>
  <c r="F786" i="5"/>
  <c r="H786" i="5"/>
  <c r="I786" i="5"/>
  <c r="J786" i="5"/>
  <c r="K786" i="5"/>
  <c r="L786" i="5"/>
  <c r="M786" i="5"/>
  <c r="N786" i="5"/>
  <c r="F330" i="5"/>
  <c r="F329" i="5" s="1"/>
  <c r="O621" i="5"/>
  <c r="Q621" i="5" s="1"/>
  <c r="O622" i="5"/>
  <c r="Q622" i="5" s="1"/>
  <c r="C591" i="5"/>
  <c r="D586" i="5"/>
  <c r="E586" i="5"/>
  <c r="F586" i="5"/>
  <c r="G586" i="5"/>
  <c r="H586" i="5"/>
  <c r="I586" i="5"/>
  <c r="J586" i="5"/>
  <c r="K586" i="5"/>
  <c r="L586" i="5"/>
  <c r="M586" i="5"/>
  <c r="N586" i="5"/>
  <c r="C586" i="5"/>
  <c r="O248" i="5"/>
  <c r="Q248" i="5" s="1"/>
  <c r="O322" i="5"/>
  <c r="Q322" i="5" s="1"/>
  <c r="O323" i="5"/>
  <c r="Q323" i="5" s="1"/>
  <c r="O324" i="5"/>
  <c r="Q324" i="5" s="1"/>
  <c r="O325" i="5"/>
  <c r="Q325" i="5" s="1"/>
  <c r="O326" i="5"/>
  <c r="Q326" i="5" s="1"/>
  <c r="O332" i="5"/>
  <c r="Q332" i="5" s="1"/>
  <c r="O333" i="5"/>
  <c r="Q333" i="5" s="1"/>
  <c r="D330" i="5"/>
  <c r="E330" i="5"/>
  <c r="E329" i="5" s="1"/>
  <c r="G330" i="5"/>
  <c r="G329" i="5" s="1"/>
  <c r="I330" i="5"/>
  <c r="I329" i="5" s="1"/>
  <c r="J330" i="5"/>
  <c r="J329" i="5" s="1"/>
  <c r="K330" i="5"/>
  <c r="K329" i="5" s="1"/>
  <c r="L330" i="5"/>
  <c r="L329" i="5" s="1"/>
  <c r="M330" i="5"/>
  <c r="M329" i="5" s="1"/>
  <c r="N330" i="5"/>
  <c r="N329" i="5" s="1"/>
  <c r="C338" i="5"/>
  <c r="F269" i="5"/>
  <c r="O271" i="5"/>
  <c r="Q271" i="5" s="1"/>
  <c r="D329" i="5" l="1"/>
  <c r="O670" i="5"/>
  <c r="Q670" i="5" s="1"/>
  <c r="C669" i="5"/>
  <c r="O900" i="5"/>
  <c r="C899" i="5"/>
  <c r="O650" i="5"/>
  <c r="Q650" i="5" s="1"/>
  <c r="C783" i="5"/>
  <c r="C330" i="5"/>
  <c r="O586" i="5"/>
  <c r="Q586" i="5" s="1"/>
  <c r="O331" i="5"/>
  <c r="Q331" i="5" s="1"/>
  <c r="O786" i="5"/>
  <c r="H330" i="5"/>
  <c r="H329" i="5" s="1"/>
  <c r="O669" i="5" l="1"/>
  <c r="Q669" i="5" s="1"/>
  <c r="C668" i="5"/>
  <c r="O899" i="5"/>
  <c r="C329" i="5"/>
  <c r="O330" i="5"/>
  <c r="Q330" i="5" s="1"/>
  <c r="O668" i="5" l="1"/>
  <c r="Q668" i="5" s="1"/>
  <c r="C667" i="5"/>
  <c r="O329" i="5"/>
  <c r="Q329" i="5" s="1"/>
  <c r="O667" i="5" l="1"/>
  <c r="Q667" i="5" s="1"/>
  <c r="O309" i="5" l="1"/>
  <c r="Q309" i="5" s="1"/>
  <c r="O82" i="5" l="1"/>
  <c r="Q82" i="5" s="1"/>
  <c r="C81" i="5"/>
  <c r="C79" i="5"/>
  <c r="N857" i="5" l="1"/>
  <c r="M857" i="5"/>
  <c r="L857" i="5"/>
  <c r="K857" i="5"/>
  <c r="J857" i="5"/>
  <c r="I857" i="5"/>
  <c r="H857" i="5"/>
  <c r="G857" i="5"/>
  <c r="F857" i="5"/>
  <c r="E857" i="5"/>
  <c r="D857" i="5"/>
  <c r="N853" i="5"/>
  <c r="N852" i="5" s="1"/>
  <c r="M853" i="5"/>
  <c r="M852" i="5" s="1"/>
  <c r="L853" i="5"/>
  <c r="L852" i="5" s="1"/>
  <c r="K853" i="5"/>
  <c r="K852" i="5" s="1"/>
  <c r="J853" i="5"/>
  <c r="J852" i="5" s="1"/>
  <c r="I853" i="5"/>
  <c r="I852" i="5" s="1"/>
  <c r="H853" i="5"/>
  <c r="H852" i="5" s="1"/>
  <c r="G853" i="5"/>
  <c r="G852" i="5" s="1"/>
  <c r="F853" i="5"/>
  <c r="F852" i="5" s="1"/>
  <c r="E853" i="5"/>
  <c r="E852" i="5" s="1"/>
  <c r="D853" i="5"/>
  <c r="D852" i="5" s="1"/>
  <c r="C857" i="5"/>
  <c r="C853" i="5"/>
  <c r="O857" i="5" l="1"/>
  <c r="C852" i="5"/>
  <c r="O853" i="5"/>
  <c r="O848" i="5"/>
  <c r="D342" i="5"/>
  <c r="E342" i="5"/>
  <c r="F342" i="5"/>
  <c r="H342" i="5"/>
  <c r="I342" i="5"/>
  <c r="J342" i="5"/>
  <c r="K342" i="5"/>
  <c r="L342" i="5"/>
  <c r="M342" i="5"/>
  <c r="N342" i="5"/>
  <c r="O351" i="5"/>
  <c r="Q351" i="5" s="1"/>
  <c r="O353" i="5"/>
  <c r="Q353" i="5" s="1"/>
  <c r="N352" i="5"/>
  <c r="M352" i="5"/>
  <c r="L352" i="5"/>
  <c r="K352" i="5"/>
  <c r="J352" i="5"/>
  <c r="I352" i="5"/>
  <c r="H352" i="5"/>
  <c r="F352" i="5"/>
  <c r="E352" i="5"/>
  <c r="D352" i="5"/>
  <c r="C347" i="5"/>
  <c r="C352" i="5"/>
  <c r="O852" i="5" l="1"/>
  <c r="O414" i="5"/>
  <c r="Q414" i="5" s="1"/>
  <c r="C346" i="5"/>
  <c r="O400" i="5"/>
  <c r="Q400" i="5" s="1"/>
  <c r="C913" i="5"/>
  <c r="O914" i="5"/>
  <c r="O352" i="5"/>
  <c r="Q352" i="5" s="1"/>
  <c r="O349" i="5"/>
  <c r="Q349" i="5" s="1"/>
  <c r="O913" i="5" l="1"/>
  <c r="C912" i="5"/>
  <c r="O912" i="5" l="1"/>
  <c r="N1014" i="5" l="1"/>
  <c r="M1014" i="5"/>
  <c r="L1014" i="5"/>
  <c r="K1014" i="5"/>
  <c r="J1014" i="5"/>
  <c r="I1014" i="5"/>
  <c r="H1014" i="5"/>
  <c r="G1014" i="5"/>
  <c r="F1014" i="5"/>
  <c r="E1014" i="5"/>
  <c r="D1014" i="5"/>
  <c r="C1014" i="5"/>
  <c r="N1011" i="5"/>
  <c r="N1009" i="5" s="1"/>
  <c r="M1011" i="5"/>
  <c r="M1009" i="5" s="1"/>
  <c r="L1011" i="5"/>
  <c r="L1009" i="5" s="1"/>
  <c r="K1011" i="5"/>
  <c r="K1009" i="5" s="1"/>
  <c r="J1011" i="5"/>
  <c r="J1009" i="5" s="1"/>
  <c r="I1011" i="5"/>
  <c r="I1009" i="5" s="1"/>
  <c r="H1011" i="5"/>
  <c r="H1009" i="5" s="1"/>
  <c r="G1011" i="5"/>
  <c r="G1009" i="5" s="1"/>
  <c r="F1011" i="5"/>
  <c r="F1009" i="5" s="1"/>
  <c r="E1011" i="5"/>
  <c r="E1009" i="5" s="1"/>
  <c r="D1011" i="5"/>
  <c r="D1009" i="5" s="1"/>
  <c r="C1011" i="5"/>
  <c r="N1007" i="5"/>
  <c r="N1006" i="5" s="1"/>
  <c r="N1005" i="5" s="1"/>
  <c r="M1007" i="5"/>
  <c r="M1006" i="5" s="1"/>
  <c r="M1005" i="5" s="1"/>
  <c r="L1007" i="5"/>
  <c r="L1006" i="5" s="1"/>
  <c r="L1005" i="5" s="1"/>
  <c r="K1007" i="5"/>
  <c r="K1006" i="5" s="1"/>
  <c r="K1005" i="5" s="1"/>
  <c r="J1007" i="5"/>
  <c r="J1006" i="5" s="1"/>
  <c r="J1005" i="5" s="1"/>
  <c r="I1007" i="5"/>
  <c r="I1006" i="5" s="1"/>
  <c r="I1005" i="5" s="1"/>
  <c r="H1007" i="5"/>
  <c r="H1006" i="5" s="1"/>
  <c r="H1005" i="5" s="1"/>
  <c r="G1007" i="5"/>
  <c r="G1006" i="5" s="1"/>
  <c r="G1005" i="5" s="1"/>
  <c r="F1007" i="5"/>
  <c r="F1006" i="5" s="1"/>
  <c r="F1005" i="5" s="1"/>
  <c r="E1007" i="5"/>
  <c r="E1006" i="5" s="1"/>
  <c r="E1005" i="5" s="1"/>
  <c r="D1007" i="5"/>
  <c r="D1006" i="5" s="1"/>
  <c r="D1005" i="5" s="1"/>
  <c r="C1007" i="5"/>
  <c r="N1002" i="5"/>
  <c r="N1000" i="5" s="1"/>
  <c r="N999" i="5" s="1"/>
  <c r="N998" i="5" s="1"/>
  <c r="N997" i="5" s="1"/>
  <c r="N996" i="5" s="1"/>
  <c r="M1002" i="5"/>
  <c r="M1000" i="5" s="1"/>
  <c r="M999" i="5" s="1"/>
  <c r="M998" i="5" s="1"/>
  <c r="M997" i="5" s="1"/>
  <c r="M996" i="5" s="1"/>
  <c r="L1002" i="5"/>
  <c r="L1000" i="5" s="1"/>
  <c r="L999" i="5" s="1"/>
  <c r="L998" i="5" s="1"/>
  <c r="L997" i="5" s="1"/>
  <c r="L996" i="5" s="1"/>
  <c r="K1002" i="5"/>
  <c r="K1000" i="5" s="1"/>
  <c r="K999" i="5" s="1"/>
  <c r="K998" i="5" s="1"/>
  <c r="K997" i="5" s="1"/>
  <c r="K996" i="5" s="1"/>
  <c r="J1002" i="5"/>
  <c r="J1000" i="5" s="1"/>
  <c r="J999" i="5" s="1"/>
  <c r="J998" i="5" s="1"/>
  <c r="J997" i="5" s="1"/>
  <c r="J996" i="5" s="1"/>
  <c r="I1002" i="5"/>
  <c r="I1000" i="5" s="1"/>
  <c r="I999" i="5" s="1"/>
  <c r="I998" i="5" s="1"/>
  <c r="I997" i="5" s="1"/>
  <c r="I996" i="5" s="1"/>
  <c r="H1002" i="5"/>
  <c r="H1000" i="5" s="1"/>
  <c r="H999" i="5" s="1"/>
  <c r="H998" i="5" s="1"/>
  <c r="H997" i="5" s="1"/>
  <c r="H996" i="5" s="1"/>
  <c r="G1002" i="5"/>
  <c r="G1000" i="5" s="1"/>
  <c r="G999" i="5" s="1"/>
  <c r="G998" i="5" s="1"/>
  <c r="G997" i="5" s="1"/>
  <c r="G996" i="5" s="1"/>
  <c r="F1002" i="5"/>
  <c r="F1000" i="5" s="1"/>
  <c r="F999" i="5" s="1"/>
  <c r="F998" i="5" s="1"/>
  <c r="F997" i="5" s="1"/>
  <c r="F996" i="5" s="1"/>
  <c r="E1002" i="5"/>
  <c r="E1000" i="5" s="1"/>
  <c r="E999" i="5" s="1"/>
  <c r="E998" i="5" s="1"/>
  <c r="E997" i="5" s="1"/>
  <c r="E996" i="5" s="1"/>
  <c r="D1002" i="5"/>
  <c r="D1000" i="5" s="1"/>
  <c r="D999" i="5" s="1"/>
  <c r="D998" i="5" s="1"/>
  <c r="D997" i="5" s="1"/>
  <c r="D996" i="5" s="1"/>
  <c r="C1002" i="5"/>
  <c r="C1006" i="5" l="1"/>
  <c r="M1004" i="5"/>
  <c r="M995" i="5" s="1"/>
  <c r="J1004" i="5"/>
  <c r="J995" i="5" s="1"/>
  <c r="N1004" i="5"/>
  <c r="N995" i="5" s="1"/>
  <c r="F1004" i="5"/>
  <c r="F995" i="5" s="1"/>
  <c r="E1004" i="5"/>
  <c r="E995" i="5" s="1"/>
  <c r="I1004" i="5"/>
  <c r="I995" i="5" s="1"/>
  <c r="C1000" i="5"/>
  <c r="G1004" i="5"/>
  <c r="G995" i="5" s="1"/>
  <c r="K1004" i="5"/>
  <c r="K995" i="5" s="1"/>
  <c r="C1009" i="5"/>
  <c r="D1004" i="5"/>
  <c r="D995" i="5" s="1"/>
  <c r="H1004" i="5"/>
  <c r="H995" i="5" s="1"/>
  <c r="L1004" i="5"/>
  <c r="L995" i="5" s="1"/>
  <c r="C1005" i="5" l="1"/>
  <c r="C999" i="5"/>
  <c r="O773" i="5"/>
  <c r="O774" i="5"/>
  <c r="O776" i="5"/>
  <c r="O779" i="5"/>
  <c r="O780" i="5"/>
  <c r="O782" i="5"/>
  <c r="O792" i="5"/>
  <c r="O793" i="5"/>
  <c r="O795" i="5"/>
  <c r="O798" i="5"/>
  <c r="O799" i="5"/>
  <c r="O801" i="5"/>
  <c r="O803" i="5"/>
  <c r="O804" i="5"/>
  <c r="O806" i="5"/>
  <c r="O809" i="5"/>
  <c r="O810" i="5"/>
  <c r="O812" i="5"/>
  <c r="O814" i="5"/>
  <c r="O815" i="5"/>
  <c r="O817" i="5"/>
  <c r="O821" i="5"/>
  <c r="O823" i="5"/>
  <c r="O827" i="5"/>
  <c r="O828" i="5"/>
  <c r="O829" i="5"/>
  <c r="O830" i="5"/>
  <c r="O834" i="5"/>
  <c r="O845" i="5"/>
  <c r="O846" i="5"/>
  <c r="O847" i="5"/>
  <c r="O875" i="5"/>
  <c r="O876" i="5"/>
  <c r="O878" i="5"/>
  <c r="O880" i="5"/>
  <c r="O881" i="5"/>
  <c r="O883" i="5"/>
  <c r="O885" i="5"/>
  <c r="O886" i="5"/>
  <c r="O888" i="5"/>
  <c r="O893" i="5"/>
  <c r="O894" i="5"/>
  <c r="O896" i="5"/>
  <c r="O897" i="5"/>
  <c r="O898" i="5"/>
  <c r="O908" i="5"/>
  <c r="O911" i="5"/>
  <c r="N910" i="5"/>
  <c r="M910" i="5"/>
  <c r="L910" i="5"/>
  <c r="L909" i="5" s="1"/>
  <c r="K910" i="5"/>
  <c r="K909" i="5" s="1"/>
  <c r="J910" i="5"/>
  <c r="J909" i="5" s="1"/>
  <c r="I910" i="5"/>
  <c r="I909" i="5" s="1"/>
  <c r="H910" i="5"/>
  <c r="G910" i="5"/>
  <c r="G909" i="5" s="1"/>
  <c r="F910" i="5"/>
  <c r="F909" i="5" s="1"/>
  <c r="E910" i="5"/>
  <c r="E909" i="5" s="1"/>
  <c r="D910" i="5"/>
  <c r="D909" i="5" s="1"/>
  <c r="C910" i="5"/>
  <c r="N909" i="5"/>
  <c r="M909" i="5"/>
  <c r="H909" i="5"/>
  <c r="N907" i="5"/>
  <c r="M907" i="5"/>
  <c r="M906" i="5" s="1"/>
  <c r="L907" i="5"/>
  <c r="L906" i="5" s="1"/>
  <c r="K907" i="5"/>
  <c r="K906" i="5" s="1"/>
  <c r="J907" i="5"/>
  <c r="J906" i="5" s="1"/>
  <c r="I907" i="5"/>
  <c r="I906" i="5" s="1"/>
  <c r="H907" i="5"/>
  <c r="H906" i="5" s="1"/>
  <c r="G907" i="5"/>
  <c r="G906" i="5" s="1"/>
  <c r="F907" i="5"/>
  <c r="F906" i="5" s="1"/>
  <c r="E907" i="5"/>
  <c r="E906" i="5" s="1"/>
  <c r="D907" i="5"/>
  <c r="D906" i="5" s="1"/>
  <c r="C907" i="5"/>
  <c r="N906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N892" i="5"/>
  <c r="M892" i="5"/>
  <c r="M891" i="5" s="1"/>
  <c r="M890" i="5" s="1"/>
  <c r="L892" i="5"/>
  <c r="L891" i="5" s="1"/>
  <c r="L890" i="5" s="1"/>
  <c r="K892" i="5"/>
  <c r="K891" i="5" s="1"/>
  <c r="K890" i="5" s="1"/>
  <c r="J892" i="5"/>
  <c r="J891" i="5" s="1"/>
  <c r="J890" i="5" s="1"/>
  <c r="I892" i="5"/>
  <c r="I891" i="5" s="1"/>
  <c r="I890" i="5" s="1"/>
  <c r="H892" i="5"/>
  <c r="G892" i="5"/>
  <c r="F892" i="5"/>
  <c r="E892" i="5"/>
  <c r="E891" i="5" s="1"/>
  <c r="E890" i="5" s="1"/>
  <c r="D892" i="5"/>
  <c r="C892" i="5"/>
  <c r="N891" i="5"/>
  <c r="N890" i="5" s="1"/>
  <c r="N887" i="5"/>
  <c r="N884" i="5" s="1"/>
  <c r="M887" i="5"/>
  <c r="M884" i="5" s="1"/>
  <c r="L887" i="5"/>
  <c r="L884" i="5" s="1"/>
  <c r="K887" i="5"/>
  <c r="K884" i="5" s="1"/>
  <c r="J887" i="5"/>
  <c r="J884" i="5" s="1"/>
  <c r="I887" i="5"/>
  <c r="I884" i="5" s="1"/>
  <c r="H887" i="5"/>
  <c r="H884" i="5" s="1"/>
  <c r="G887" i="5"/>
  <c r="G884" i="5" s="1"/>
  <c r="F887" i="5"/>
  <c r="F884" i="5" s="1"/>
  <c r="E887" i="5"/>
  <c r="E884" i="5" s="1"/>
  <c r="D887" i="5"/>
  <c r="D884" i="5" s="1"/>
  <c r="C887" i="5"/>
  <c r="N882" i="5"/>
  <c r="M882" i="5"/>
  <c r="L882" i="5"/>
  <c r="L879" i="5" s="1"/>
  <c r="K882" i="5"/>
  <c r="K879" i="5" s="1"/>
  <c r="J882" i="5"/>
  <c r="J879" i="5" s="1"/>
  <c r="I882" i="5"/>
  <c r="I879" i="5" s="1"/>
  <c r="H882" i="5"/>
  <c r="H879" i="5" s="1"/>
  <c r="G882" i="5"/>
  <c r="G879" i="5" s="1"/>
  <c r="F882" i="5"/>
  <c r="F879" i="5" s="1"/>
  <c r="E882" i="5"/>
  <c r="E879" i="5" s="1"/>
  <c r="D882" i="5"/>
  <c r="D879" i="5" s="1"/>
  <c r="C882" i="5"/>
  <c r="N879" i="5"/>
  <c r="M879" i="5"/>
  <c r="N877" i="5"/>
  <c r="M877" i="5"/>
  <c r="M874" i="5" s="1"/>
  <c r="L877" i="5"/>
  <c r="L874" i="5" s="1"/>
  <c r="K877" i="5"/>
  <c r="K874" i="5" s="1"/>
  <c r="J877" i="5"/>
  <c r="J874" i="5" s="1"/>
  <c r="I877" i="5"/>
  <c r="I874" i="5" s="1"/>
  <c r="H877" i="5"/>
  <c r="H874" i="5" s="1"/>
  <c r="G877" i="5"/>
  <c r="G874" i="5" s="1"/>
  <c r="F877" i="5"/>
  <c r="F874" i="5" s="1"/>
  <c r="E877" i="5"/>
  <c r="E874" i="5" s="1"/>
  <c r="D877" i="5"/>
  <c r="D874" i="5" s="1"/>
  <c r="C877" i="5"/>
  <c r="N874" i="5"/>
  <c r="N861" i="5"/>
  <c r="M861" i="5"/>
  <c r="M860" i="5" s="1"/>
  <c r="M859" i="5" s="1"/>
  <c r="L861" i="5"/>
  <c r="L860" i="5" s="1"/>
  <c r="L859" i="5" s="1"/>
  <c r="K861" i="5"/>
  <c r="K860" i="5" s="1"/>
  <c r="K859" i="5" s="1"/>
  <c r="J861" i="5"/>
  <c r="J860" i="5" s="1"/>
  <c r="J859" i="5" s="1"/>
  <c r="I861" i="5"/>
  <c r="I860" i="5" s="1"/>
  <c r="I859" i="5" s="1"/>
  <c r="H861" i="5"/>
  <c r="H860" i="5" s="1"/>
  <c r="H859" i="5" s="1"/>
  <c r="G861" i="5"/>
  <c r="G860" i="5" s="1"/>
  <c r="G859" i="5" s="1"/>
  <c r="F861" i="5"/>
  <c r="F860" i="5" s="1"/>
  <c r="F859" i="5" s="1"/>
  <c r="E861" i="5"/>
  <c r="E860" i="5" s="1"/>
  <c r="E859" i="5" s="1"/>
  <c r="D861" i="5"/>
  <c r="D860" i="5" s="1"/>
  <c r="D859" i="5" s="1"/>
  <c r="N860" i="5"/>
  <c r="N859" i="5" s="1"/>
  <c r="N844" i="5"/>
  <c r="N843" i="5" s="1"/>
  <c r="M844" i="5"/>
  <c r="M843" i="5" s="1"/>
  <c r="L844" i="5"/>
  <c r="L843" i="5" s="1"/>
  <c r="K844" i="5"/>
  <c r="K843" i="5" s="1"/>
  <c r="J844" i="5"/>
  <c r="J843" i="5" s="1"/>
  <c r="I844" i="5"/>
  <c r="I843" i="5" s="1"/>
  <c r="H844" i="5"/>
  <c r="H843" i="5" s="1"/>
  <c r="G844" i="5"/>
  <c r="G843" i="5" s="1"/>
  <c r="F844" i="5"/>
  <c r="F843" i="5" s="1"/>
  <c r="E844" i="5"/>
  <c r="E843" i="5" s="1"/>
  <c r="D844" i="5"/>
  <c r="D843" i="5" s="1"/>
  <c r="C844" i="5"/>
  <c r="G836" i="5"/>
  <c r="F836" i="5"/>
  <c r="E836" i="5"/>
  <c r="D836" i="5"/>
  <c r="N836" i="5"/>
  <c r="M836" i="5"/>
  <c r="L836" i="5"/>
  <c r="K836" i="5"/>
  <c r="J836" i="5"/>
  <c r="I836" i="5"/>
  <c r="H836" i="5"/>
  <c r="N833" i="5"/>
  <c r="N832" i="5" s="1"/>
  <c r="N831" i="5" s="1"/>
  <c r="M833" i="5"/>
  <c r="M832" i="5" s="1"/>
  <c r="M831" i="5" s="1"/>
  <c r="L833" i="5"/>
  <c r="L832" i="5" s="1"/>
  <c r="L831" i="5" s="1"/>
  <c r="K833" i="5"/>
  <c r="K832" i="5" s="1"/>
  <c r="K831" i="5" s="1"/>
  <c r="J833" i="5"/>
  <c r="J832" i="5" s="1"/>
  <c r="J831" i="5" s="1"/>
  <c r="I833" i="5"/>
  <c r="I832" i="5" s="1"/>
  <c r="I831" i="5" s="1"/>
  <c r="H833" i="5"/>
  <c r="H832" i="5" s="1"/>
  <c r="H831" i="5" s="1"/>
  <c r="G833" i="5"/>
  <c r="G832" i="5" s="1"/>
  <c r="G831" i="5" s="1"/>
  <c r="F833" i="5"/>
  <c r="F832" i="5" s="1"/>
  <c r="F831" i="5" s="1"/>
  <c r="E833" i="5"/>
  <c r="E832" i="5" s="1"/>
  <c r="E831" i="5" s="1"/>
  <c r="D833" i="5"/>
  <c r="D832" i="5" s="1"/>
  <c r="D831" i="5" s="1"/>
  <c r="C833" i="5"/>
  <c r="N826" i="5"/>
  <c r="N825" i="5" s="1"/>
  <c r="M826" i="5"/>
  <c r="M825" i="5" s="1"/>
  <c r="L826" i="5"/>
  <c r="L825" i="5" s="1"/>
  <c r="K826" i="5"/>
  <c r="K825" i="5" s="1"/>
  <c r="J826" i="5"/>
  <c r="J825" i="5" s="1"/>
  <c r="I826" i="5"/>
  <c r="I825" i="5" s="1"/>
  <c r="H826" i="5"/>
  <c r="H825" i="5" s="1"/>
  <c r="G826" i="5"/>
  <c r="G825" i="5" s="1"/>
  <c r="F826" i="5"/>
  <c r="F825" i="5" s="1"/>
  <c r="E826" i="5"/>
  <c r="E825" i="5" s="1"/>
  <c r="D826" i="5"/>
  <c r="D825" i="5" s="1"/>
  <c r="C826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N820" i="5"/>
  <c r="M820" i="5"/>
  <c r="L820" i="5"/>
  <c r="K820" i="5"/>
  <c r="J820" i="5"/>
  <c r="I820" i="5"/>
  <c r="I819" i="5" s="1"/>
  <c r="I818" i="5" s="1"/>
  <c r="H820" i="5"/>
  <c r="H819" i="5" s="1"/>
  <c r="H818" i="5" s="1"/>
  <c r="G820" i="5"/>
  <c r="G819" i="5" s="1"/>
  <c r="G818" i="5" s="1"/>
  <c r="F820" i="5"/>
  <c r="F819" i="5" s="1"/>
  <c r="F818" i="5" s="1"/>
  <c r="E820" i="5"/>
  <c r="E819" i="5" s="1"/>
  <c r="E818" i="5" s="1"/>
  <c r="D820" i="5"/>
  <c r="D819" i="5" s="1"/>
  <c r="D818" i="5" s="1"/>
  <c r="C820" i="5"/>
  <c r="N819" i="5"/>
  <c r="N818" i="5" s="1"/>
  <c r="M819" i="5"/>
  <c r="M818" i="5" s="1"/>
  <c r="L819" i="5"/>
  <c r="L818" i="5" s="1"/>
  <c r="N816" i="5"/>
  <c r="N813" i="5" s="1"/>
  <c r="M816" i="5"/>
  <c r="M813" i="5" s="1"/>
  <c r="L816" i="5"/>
  <c r="L813" i="5" s="1"/>
  <c r="K816" i="5"/>
  <c r="K813" i="5" s="1"/>
  <c r="J816" i="5"/>
  <c r="J813" i="5" s="1"/>
  <c r="I816" i="5"/>
  <c r="I813" i="5" s="1"/>
  <c r="H816" i="5"/>
  <c r="H813" i="5" s="1"/>
  <c r="G816" i="5"/>
  <c r="G813" i="5" s="1"/>
  <c r="F816" i="5"/>
  <c r="F813" i="5" s="1"/>
  <c r="E816" i="5"/>
  <c r="E813" i="5" s="1"/>
  <c r="D816" i="5"/>
  <c r="D813" i="5" s="1"/>
  <c r="C816" i="5"/>
  <c r="N811" i="5"/>
  <c r="M811" i="5"/>
  <c r="M808" i="5" s="1"/>
  <c r="L811" i="5"/>
  <c r="L808" i="5" s="1"/>
  <c r="K811" i="5"/>
  <c r="K808" i="5" s="1"/>
  <c r="J811" i="5"/>
  <c r="J808" i="5" s="1"/>
  <c r="I811" i="5"/>
  <c r="I808" i="5" s="1"/>
  <c r="H811" i="5"/>
  <c r="H808" i="5" s="1"/>
  <c r="G811" i="5"/>
  <c r="G808" i="5" s="1"/>
  <c r="F811" i="5"/>
  <c r="F808" i="5" s="1"/>
  <c r="E811" i="5"/>
  <c r="E808" i="5" s="1"/>
  <c r="D811" i="5"/>
  <c r="D808" i="5" s="1"/>
  <c r="C811" i="5"/>
  <c r="N808" i="5"/>
  <c r="N805" i="5"/>
  <c r="M805" i="5"/>
  <c r="L805" i="5"/>
  <c r="K805" i="5"/>
  <c r="K802" i="5" s="1"/>
  <c r="J805" i="5"/>
  <c r="J802" i="5" s="1"/>
  <c r="I805" i="5"/>
  <c r="I802" i="5" s="1"/>
  <c r="H805" i="5"/>
  <c r="H802" i="5" s="1"/>
  <c r="G805" i="5"/>
  <c r="G802" i="5" s="1"/>
  <c r="F805" i="5"/>
  <c r="F802" i="5" s="1"/>
  <c r="E805" i="5"/>
  <c r="E802" i="5" s="1"/>
  <c r="D805" i="5"/>
  <c r="D802" i="5" s="1"/>
  <c r="C805" i="5"/>
  <c r="N802" i="5"/>
  <c r="M802" i="5"/>
  <c r="L802" i="5"/>
  <c r="N800" i="5"/>
  <c r="M800" i="5"/>
  <c r="M797" i="5" s="1"/>
  <c r="L800" i="5"/>
  <c r="L797" i="5" s="1"/>
  <c r="K800" i="5"/>
  <c r="K797" i="5" s="1"/>
  <c r="J800" i="5"/>
  <c r="J797" i="5" s="1"/>
  <c r="I800" i="5"/>
  <c r="I797" i="5" s="1"/>
  <c r="H800" i="5"/>
  <c r="H797" i="5" s="1"/>
  <c r="G800" i="5"/>
  <c r="G797" i="5" s="1"/>
  <c r="F800" i="5"/>
  <c r="F797" i="5" s="1"/>
  <c r="E800" i="5"/>
  <c r="E797" i="5" s="1"/>
  <c r="D800" i="5"/>
  <c r="D797" i="5" s="1"/>
  <c r="C800" i="5"/>
  <c r="N797" i="5"/>
  <c r="N794" i="5"/>
  <c r="M794" i="5"/>
  <c r="L794" i="5"/>
  <c r="K794" i="5"/>
  <c r="J794" i="5"/>
  <c r="I794" i="5"/>
  <c r="I791" i="5" s="1"/>
  <c r="I790" i="5" s="1"/>
  <c r="H794" i="5"/>
  <c r="H791" i="5" s="1"/>
  <c r="H790" i="5" s="1"/>
  <c r="G794" i="5"/>
  <c r="G791" i="5" s="1"/>
  <c r="G790" i="5" s="1"/>
  <c r="F794" i="5"/>
  <c r="F791" i="5" s="1"/>
  <c r="F790" i="5" s="1"/>
  <c r="E794" i="5"/>
  <c r="E791" i="5" s="1"/>
  <c r="E790" i="5" s="1"/>
  <c r="D794" i="5"/>
  <c r="D791" i="5" s="1"/>
  <c r="D790" i="5" s="1"/>
  <c r="C794" i="5"/>
  <c r="N791" i="5"/>
  <c r="N790" i="5" s="1"/>
  <c r="M791" i="5"/>
  <c r="M790" i="5" s="1"/>
  <c r="L791" i="5"/>
  <c r="L790" i="5" s="1"/>
  <c r="K791" i="5"/>
  <c r="K790" i="5" s="1"/>
  <c r="J791" i="5"/>
  <c r="J790" i="5" s="1"/>
  <c r="N783" i="5"/>
  <c r="M783" i="5"/>
  <c r="L783" i="5"/>
  <c r="K783" i="5"/>
  <c r="J783" i="5"/>
  <c r="I783" i="5"/>
  <c r="H783" i="5"/>
  <c r="G783" i="5"/>
  <c r="F783" i="5"/>
  <c r="E783" i="5"/>
  <c r="D783" i="5"/>
  <c r="N781" i="5"/>
  <c r="M781" i="5"/>
  <c r="L781" i="5"/>
  <c r="K781" i="5"/>
  <c r="K778" i="5" s="1"/>
  <c r="J781" i="5"/>
  <c r="J778" i="5" s="1"/>
  <c r="I781" i="5"/>
  <c r="I778" i="5" s="1"/>
  <c r="H781" i="5"/>
  <c r="H778" i="5" s="1"/>
  <c r="G781" i="5"/>
  <c r="G778" i="5" s="1"/>
  <c r="F781" i="5"/>
  <c r="F778" i="5" s="1"/>
  <c r="E781" i="5"/>
  <c r="E778" i="5" s="1"/>
  <c r="D781" i="5"/>
  <c r="D778" i="5" s="1"/>
  <c r="C781" i="5"/>
  <c r="N778" i="5"/>
  <c r="M778" i="5"/>
  <c r="L778" i="5"/>
  <c r="N775" i="5"/>
  <c r="N772" i="5" s="1"/>
  <c r="N771" i="5" s="1"/>
  <c r="M775" i="5"/>
  <c r="M772" i="5" s="1"/>
  <c r="M771" i="5" s="1"/>
  <c r="L775" i="5"/>
  <c r="L772" i="5" s="1"/>
  <c r="L771" i="5" s="1"/>
  <c r="K775" i="5"/>
  <c r="K772" i="5" s="1"/>
  <c r="K771" i="5" s="1"/>
  <c r="J775" i="5"/>
  <c r="J772" i="5" s="1"/>
  <c r="J771" i="5" s="1"/>
  <c r="I775" i="5"/>
  <c r="I772" i="5" s="1"/>
  <c r="I771" i="5" s="1"/>
  <c r="H775" i="5"/>
  <c r="H772" i="5" s="1"/>
  <c r="H771" i="5" s="1"/>
  <c r="G775" i="5"/>
  <c r="G772" i="5" s="1"/>
  <c r="G771" i="5" s="1"/>
  <c r="F775" i="5"/>
  <c r="F772" i="5" s="1"/>
  <c r="F771" i="5" s="1"/>
  <c r="E775" i="5"/>
  <c r="E772" i="5" s="1"/>
  <c r="E771" i="5" s="1"/>
  <c r="D775" i="5"/>
  <c r="D772" i="5" s="1"/>
  <c r="D771" i="5" s="1"/>
  <c r="C775" i="5"/>
  <c r="J819" i="5" l="1"/>
  <c r="J818" i="5" s="1"/>
  <c r="H891" i="5"/>
  <c r="H890" i="5" s="1"/>
  <c r="G891" i="5"/>
  <c r="G890" i="5" s="1"/>
  <c r="D891" i="5"/>
  <c r="D890" i="5" s="1"/>
  <c r="C1004" i="5"/>
  <c r="K819" i="5"/>
  <c r="K818" i="5" s="1"/>
  <c r="C778" i="5"/>
  <c r="C802" i="5"/>
  <c r="C874" i="5"/>
  <c r="C879" i="5"/>
  <c r="C884" i="5"/>
  <c r="C906" i="5"/>
  <c r="C825" i="5"/>
  <c r="O825" i="5" s="1"/>
  <c r="C797" i="5"/>
  <c r="C813" i="5"/>
  <c r="O813" i="5" s="1"/>
  <c r="C832" i="5"/>
  <c r="G807" i="5"/>
  <c r="K807" i="5"/>
  <c r="H873" i="5"/>
  <c r="H872" i="5" s="1"/>
  <c r="L873" i="5"/>
  <c r="L872" i="5" s="1"/>
  <c r="M873" i="5"/>
  <c r="M872" i="5" s="1"/>
  <c r="E873" i="5"/>
  <c r="E872" i="5" s="1"/>
  <c r="E796" i="5"/>
  <c r="E789" i="5" s="1"/>
  <c r="I796" i="5"/>
  <c r="I789" i="5" s="1"/>
  <c r="M796" i="5"/>
  <c r="M789" i="5" s="1"/>
  <c r="D873" i="5"/>
  <c r="D872" i="5" s="1"/>
  <c r="N873" i="5"/>
  <c r="N872" i="5" s="1"/>
  <c r="F873" i="5"/>
  <c r="F872" i="5" s="1"/>
  <c r="J873" i="5"/>
  <c r="J872" i="5" s="1"/>
  <c r="G873" i="5"/>
  <c r="G872" i="5" s="1"/>
  <c r="K873" i="5"/>
  <c r="K872" i="5" s="1"/>
  <c r="I873" i="5"/>
  <c r="I872" i="5" s="1"/>
  <c r="G796" i="5"/>
  <c r="G789" i="5" s="1"/>
  <c r="K796" i="5"/>
  <c r="K789" i="5" s="1"/>
  <c r="F891" i="5"/>
  <c r="F890" i="5" s="1"/>
  <c r="N796" i="5"/>
  <c r="N789" i="5" s="1"/>
  <c r="H796" i="5"/>
  <c r="H789" i="5" s="1"/>
  <c r="F796" i="5"/>
  <c r="F789" i="5" s="1"/>
  <c r="J796" i="5"/>
  <c r="J789" i="5" s="1"/>
  <c r="J807" i="5"/>
  <c r="I807" i="5"/>
  <c r="M807" i="5"/>
  <c r="D796" i="5"/>
  <c r="E807" i="5"/>
  <c r="L796" i="5"/>
  <c r="L789" i="5" s="1"/>
  <c r="D807" i="5"/>
  <c r="H807" i="5"/>
  <c r="L807" i="5"/>
  <c r="F807" i="5"/>
  <c r="N807" i="5"/>
  <c r="C791" i="5"/>
  <c r="I905" i="5"/>
  <c r="I904" i="5" s="1"/>
  <c r="I889" i="5" s="1"/>
  <c r="M905" i="5"/>
  <c r="M904" i="5" s="1"/>
  <c r="M889" i="5" s="1"/>
  <c r="C891" i="5"/>
  <c r="C772" i="5"/>
  <c r="G905" i="5"/>
  <c r="G904" i="5" s="1"/>
  <c r="K905" i="5"/>
  <c r="K904" i="5" s="1"/>
  <c r="K889" i="5" s="1"/>
  <c r="C909" i="5"/>
  <c r="H905" i="5"/>
  <c r="H904" i="5" s="1"/>
  <c r="L905" i="5"/>
  <c r="L904" i="5" s="1"/>
  <c r="L889" i="5" s="1"/>
  <c r="N905" i="5"/>
  <c r="N904" i="5" s="1"/>
  <c r="N889" i="5" s="1"/>
  <c r="F905" i="5"/>
  <c r="F904" i="5" s="1"/>
  <c r="J905" i="5"/>
  <c r="J904" i="5" s="1"/>
  <c r="J889" i="5" s="1"/>
  <c r="D905" i="5"/>
  <c r="D904" i="5" s="1"/>
  <c r="O861" i="5"/>
  <c r="O783" i="5"/>
  <c r="C836" i="5"/>
  <c r="C843" i="5"/>
  <c r="C998" i="5"/>
  <c r="N842" i="5"/>
  <c r="E842" i="5"/>
  <c r="O826" i="5"/>
  <c r="J842" i="5"/>
  <c r="F842" i="5"/>
  <c r="O910" i="5"/>
  <c r="O775" i="5"/>
  <c r="O781" i="5"/>
  <c r="O794" i="5"/>
  <c r="O797" i="5"/>
  <c r="O800" i="5"/>
  <c r="O805" i="5"/>
  <c r="O820" i="5"/>
  <c r="O822" i="5"/>
  <c r="O833" i="5"/>
  <c r="K842" i="5"/>
  <c r="C860" i="5"/>
  <c r="O882" i="5"/>
  <c r="O887" i="5"/>
  <c r="E905" i="5"/>
  <c r="E904" i="5" s="1"/>
  <c r="E889" i="5" s="1"/>
  <c r="O837" i="5"/>
  <c r="L842" i="5"/>
  <c r="O907" i="5"/>
  <c r="I842" i="5"/>
  <c r="M842" i="5"/>
  <c r="O877" i="5"/>
  <c r="C808" i="5"/>
  <c r="O816" i="5"/>
  <c r="O844" i="5"/>
  <c r="H842" i="5"/>
  <c r="D842" i="5"/>
  <c r="O892" i="5"/>
  <c r="O895" i="5"/>
  <c r="C819" i="5"/>
  <c r="G842" i="5"/>
  <c r="O811" i="5"/>
  <c r="H835" i="5" l="1"/>
  <c r="H889" i="5"/>
  <c r="O778" i="5"/>
  <c r="O879" i="5"/>
  <c r="D889" i="5"/>
  <c r="O802" i="5"/>
  <c r="O906" i="5"/>
  <c r="C796" i="5"/>
  <c r="G889" i="5"/>
  <c r="O832" i="5"/>
  <c r="O884" i="5"/>
  <c r="O874" i="5"/>
  <c r="C831" i="5"/>
  <c r="C873" i="5"/>
  <c r="O791" i="5"/>
  <c r="G777" i="5"/>
  <c r="G770" i="5" s="1"/>
  <c r="F889" i="5"/>
  <c r="L824" i="5"/>
  <c r="K777" i="5"/>
  <c r="K770" i="5" s="1"/>
  <c r="O772" i="5"/>
  <c r="M777" i="5"/>
  <c r="M770" i="5" s="1"/>
  <c r="N824" i="5"/>
  <c r="N777" i="5"/>
  <c r="N770" i="5" s="1"/>
  <c r="E777" i="5"/>
  <c r="E770" i="5" s="1"/>
  <c r="H777" i="5"/>
  <c r="H770" i="5" s="1"/>
  <c r="I777" i="5"/>
  <c r="I770" i="5" s="1"/>
  <c r="O891" i="5"/>
  <c r="O909" i="5"/>
  <c r="C905" i="5"/>
  <c r="F777" i="5"/>
  <c r="F770" i="5" s="1"/>
  <c r="J777" i="5"/>
  <c r="J770" i="5" s="1"/>
  <c r="D789" i="5"/>
  <c r="D777" i="5" s="1"/>
  <c r="D770" i="5" s="1"/>
  <c r="L777" i="5"/>
  <c r="L770" i="5" s="1"/>
  <c r="O843" i="5"/>
  <c r="C790" i="5"/>
  <c r="O860" i="5"/>
  <c r="C771" i="5"/>
  <c r="C890" i="5"/>
  <c r="O836" i="5"/>
  <c r="C997" i="5"/>
  <c r="O808" i="5"/>
  <c r="D824" i="5"/>
  <c r="M824" i="5"/>
  <c r="C859" i="5"/>
  <c r="J824" i="5"/>
  <c r="I824" i="5"/>
  <c r="E824" i="5"/>
  <c r="H824" i="5"/>
  <c r="G824" i="5"/>
  <c r="K824" i="5"/>
  <c r="F824" i="5"/>
  <c r="C807" i="5"/>
  <c r="O819" i="5"/>
  <c r="C818" i="5"/>
  <c r="O796" i="5" l="1"/>
  <c r="G769" i="5"/>
  <c r="G768" i="5" s="1"/>
  <c r="G988" i="5" s="1"/>
  <c r="M769" i="5"/>
  <c r="M768" i="5" s="1"/>
  <c r="M988" i="5" s="1"/>
  <c r="O831" i="5"/>
  <c r="O873" i="5"/>
  <c r="C872" i="5"/>
  <c r="N769" i="5"/>
  <c r="N768" i="5" s="1"/>
  <c r="N988" i="5" s="1"/>
  <c r="L769" i="5"/>
  <c r="L768" i="5" s="1"/>
  <c r="L988" i="5" s="1"/>
  <c r="K769" i="5"/>
  <c r="K768" i="5" s="1"/>
  <c r="K988" i="5" s="1"/>
  <c r="O905" i="5"/>
  <c r="F769" i="5"/>
  <c r="F768" i="5" s="1"/>
  <c r="F988" i="5" s="1"/>
  <c r="E769" i="5"/>
  <c r="E768" i="5" s="1"/>
  <c r="E988" i="5" s="1"/>
  <c r="C904" i="5"/>
  <c r="D769" i="5"/>
  <c r="D768" i="5" s="1"/>
  <c r="D988" i="5" s="1"/>
  <c r="I769" i="5"/>
  <c r="I768" i="5" s="1"/>
  <c r="I988" i="5" s="1"/>
  <c r="H769" i="5"/>
  <c r="J769" i="5"/>
  <c r="J768" i="5" s="1"/>
  <c r="J988" i="5" s="1"/>
  <c r="C789" i="5"/>
  <c r="O790" i="5"/>
  <c r="O859" i="5"/>
  <c r="O890" i="5"/>
  <c r="O771" i="5"/>
  <c r="C842" i="5"/>
  <c r="C996" i="5"/>
  <c r="O807" i="5"/>
  <c r="O818" i="5"/>
  <c r="H768" i="5" l="1"/>
  <c r="O872" i="5"/>
  <c r="C777" i="5"/>
  <c r="O904" i="5"/>
  <c r="C889" i="5"/>
  <c r="O789" i="5"/>
  <c r="O842" i="5"/>
  <c r="C995" i="5"/>
  <c r="H988" i="5" l="1"/>
  <c r="C770" i="5"/>
  <c r="O777" i="5"/>
  <c r="O835" i="5"/>
  <c r="O889" i="5"/>
  <c r="C824" i="5"/>
  <c r="O770" i="5" l="1"/>
  <c r="O824" i="5"/>
  <c r="C769" i="5"/>
  <c r="C768" i="5" l="1"/>
  <c r="O769" i="5"/>
  <c r="O768" i="5" l="1"/>
  <c r="O988" i="5" s="1"/>
  <c r="C988" i="5"/>
  <c r="O647" i="5" l="1"/>
  <c r="Q647" i="5" s="1"/>
  <c r="N591" i="5"/>
  <c r="M591" i="5"/>
  <c r="L591" i="5"/>
  <c r="K591" i="5"/>
  <c r="J591" i="5"/>
  <c r="I591" i="5"/>
  <c r="H591" i="5"/>
  <c r="G591" i="5"/>
  <c r="F591" i="5"/>
  <c r="E591" i="5"/>
  <c r="D591" i="5"/>
  <c r="N589" i="5"/>
  <c r="M589" i="5"/>
  <c r="L589" i="5"/>
  <c r="K589" i="5"/>
  <c r="J589" i="5"/>
  <c r="I589" i="5"/>
  <c r="H589" i="5"/>
  <c r="G589" i="5"/>
  <c r="F589" i="5"/>
  <c r="E589" i="5"/>
  <c r="D589" i="5"/>
  <c r="C589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N580" i="5"/>
  <c r="M580" i="5"/>
  <c r="L580" i="5"/>
  <c r="K580" i="5"/>
  <c r="J580" i="5"/>
  <c r="I580" i="5"/>
  <c r="H580" i="5"/>
  <c r="G580" i="5"/>
  <c r="F580" i="5"/>
  <c r="E580" i="5"/>
  <c r="D580" i="5"/>
  <c r="C580" i="5"/>
  <c r="N578" i="5"/>
  <c r="M578" i="5"/>
  <c r="L578" i="5"/>
  <c r="K578" i="5"/>
  <c r="J578" i="5"/>
  <c r="I578" i="5"/>
  <c r="H578" i="5"/>
  <c r="G578" i="5"/>
  <c r="F578" i="5"/>
  <c r="E578" i="5"/>
  <c r="D578" i="5"/>
  <c r="C578" i="5"/>
  <c r="N570" i="5"/>
  <c r="M570" i="5"/>
  <c r="L570" i="5"/>
  <c r="K570" i="5"/>
  <c r="J570" i="5"/>
  <c r="I570" i="5"/>
  <c r="H570" i="5"/>
  <c r="G570" i="5"/>
  <c r="F570" i="5"/>
  <c r="E570" i="5"/>
  <c r="D570" i="5"/>
  <c r="C570" i="5"/>
  <c r="N567" i="5"/>
  <c r="M567" i="5"/>
  <c r="L567" i="5"/>
  <c r="K567" i="5"/>
  <c r="J567" i="5"/>
  <c r="J566" i="5" s="1"/>
  <c r="I567" i="5"/>
  <c r="I566" i="5" s="1"/>
  <c r="H567" i="5"/>
  <c r="H566" i="5" s="1"/>
  <c r="G567" i="5"/>
  <c r="G566" i="5" s="1"/>
  <c r="F567" i="5"/>
  <c r="F566" i="5" s="1"/>
  <c r="E567" i="5"/>
  <c r="E566" i="5" s="1"/>
  <c r="D567" i="5"/>
  <c r="D566" i="5" s="1"/>
  <c r="C567" i="5"/>
  <c r="N566" i="5"/>
  <c r="M566" i="5"/>
  <c r="L566" i="5"/>
  <c r="N347" i="5"/>
  <c r="M347" i="5"/>
  <c r="L347" i="5"/>
  <c r="K347" i="5"/>
  <c r="J347" i="5"/>
  <c r="I347" i="5"/>
  <c r="H347" i="5"/>
  <c r="G347" i="5"/>
  <c r="G346" i="5" s="1"/>
  <c r="G341" i="5" s="1"/>
  <c r="G340" i="5" s="1"/>
  <c r="F347" i="5"/>
  <c r="E347" i="5"/>
  <c r="D347" i="5"/>
  <c r="C342" i="5"/>
  <c r="N338" i="5"/>
  <c r="N337" i="5" s="1"/>
  <c r="N336" i="5" s="1"/>
  <c r="N335" i="5" s="1"/>
  <c r="M338" i="5"/>
  <c r="M337" i="5" s="1"/>
  <c r="M336" i="5" s="1"/>
  <c r="M335" i="5" s="1"/>
  <c r="L338" i="5"/>
  <c r="L337" i="5" s="1"/>
  <c r="L336" i="5" s="1"/>
  <c r="L335" i="5" s="1"/>
  <c r="K338" i="5"/>
  <c r="K337" i="5" s="1"/>
  <c r="K336" i="5" s="1"/>
  <c r="K335" i="5" s="1"/>
  <c r="J338" i="5"/>
  <c r="J337" i="5" s="1"/>
  <c r="J336" i="5" s="1"/>
  <c r="J335" i="5" s="1"/>
  <c r="I338" i="5"/>
  <c r="I337" i="5" s="1"/>
  <c r="I336" i="5" s="1"/>
  <c r="I335" i="5" s="1"/>
  <c r="H338" i="5"/>
  <c r="H337" i="5" s="1"/>
  <c r="H336" i="5" s="1"/>
  <c r="H335" i="5" s="1"/>
  <c r="G338" i="5"/>
  <c r="G337" i="5" s="1"/>
  <c r="G336" i="5" s="1"/>
  <c r="G335" i="5" s="1"/>
  <c r="F338" i="5"/>
  <c r="F337" i="5" s="1"/>
  <c r="F336" i="5" s="1"/>
  <c r="F335" i="5" s="1"/>
  <c r="E338" i="5"/>
  <c r="E337" i="5" s="1"/>
  <c r="E336" i="5" s="1"/>
  <c r="E335" i="5" s="1"/>
  <c r="D338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N275" i="5"/>
  <c r="M275" i="5"/>
  <c r="M274" i="5" s="1"/>
  <c r="M276" i="5" s="1"/>
  <c r="L275" i="5"/>
  <c r="L274" i="5" s="1"/>
  <c r="L276" i="5" s="1"/>
  <c r="K275" i="5"/>
  <c r="K274" i="5" s="1"/>
  <c r="K276" i="5" s="1"/>
  <c r="J275" i="5"/>
  <c r="J274" i="5" s="1"/>
  <c r="J276" i="5" s="1"/>
  <c r="I275" i="5"/>
  <c r="I274" i="5" s="1"/>
  <c r="I276" i="5" s="1"/>
  <c r="H275" i="5"/>
  <c r="H274" i="5" s="1"/>
  <c r="H276" i="5" s="1"/>
  <c r="G275" i="5"/>
  <c r="G274" i="5" s="1"/>
  <c r="G276" i="5" s="1"/>
  <c r="F275" i="5"/>
  <c r="F274" i="5" s="1"/>
  <c r="F276" i="5" s="1"/>
  <c r="E275" i="5"/>
  <c r="E274" i="5" s="1"/>
  <c r="E276" i="5" s="1"/>
  <c r="D275" i="5"/>
  <c r="D274" i="5" s="1"/>
  <c r="D276" i="5" s="1"/>
  <c r="C275" i="5"/>
  <c r="N274" i="5"/>
  <c r="N276" i="5" s="1"/>
  <c r="N272" i="5"/>
  <c r="M272" i="5"/>
  <c r="L272" i="5"/>
  <c r="K272" i="5"/>
  <c r="J272" i="5"/>
  <c r="I272" i="5"/>
  <c r="H272" i="5"/>
  <c r="G272" i="5"/>
  <c r="E272" i="5"/>
  <c r="D272" i="5"/>
  <c r="C272" i="5"/>
  <c r="N270" i="5"/>
  <c r="M270" i="5"/>
  <c r="L270" i="5"/>
  <c r="K270" i="5"/>
  <c r="J270" i="5"/>
  <c r="I270" i="5"/>
  <c r="H270" i="5"/>
  <c r="G270" i="5"/>
  <c r="E270" i="5"/>
  <c r="D270" i="5"/>
  <c r="C270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N258" i="5"/>
  <c r="N252" i="5" s="1"/>
  <c r="M258" i="5"/>
  <c r="M252" i="5" s="1"/>
  <c r="L258" i="5"/>
  <c r="L252" i="5" s="1"/>
  <c r="K258" i="5"/>
  <c r="K252" i="5" s="1"/>
  <c r="J258" i="5"/>
  <c r="J252" i="5" s="1"/>
  <c r="I258" i="5"/>
  <c r="I252" i="5" s="1"/>
  <c r="H258" i="5"/>
  <c r="G258" i="5"/>
  <c r="F258" i="5"/>
  <c r="E258" i="5"/>
  <c r="E252" i="5" s="1"/>
  <c r="D258" i="5"/>
  <c r="C258" i="5"/>
  <c r="N250" i="5"/>
  <c r="N249" i="5" s="1"/>
  <c r="M250" i="5"/>
  <c r="M249" i="5" s="1"/>
  <c r="L250" i="5"/>
  <c r="L249" i="5" s="1"/>
  <c r="K250" i="5"/>
  <c r="K249" i="5" s="1"/>
  <c r="J250" i="5"/>
  <c r="J249" i="5" s="1"/>
  <c r="I250" i="5"/>
  <c r="I249" i="5" s="1"/>
  <c r="H250" i="5"/>
  <c r="H249" i="5" s="1"/>
  <c r="G250" i="5"/>
  <c r="G249" i="5" s="1"/>
  <c r="F250" i="5"/>
  <c r="F249" i="5" s="1"/>
  <c r="E250" i="5"/>
  <c r="E249" i="5" s="1"/>
  <c r="D250" i="5"/>
  <c r="D249" i="5" s="1"/>
  <c r="C250" i="5"/>
  <c r="N247" i="5"/>
  <c r="M247" i="5"/>
  <c r="L247" i="5"/>
  <c r="K247" i="5"/>
  <c r="K246" i="5" s="1"/>
  <c r="J247" i="5"/>
  <c r="J246" i="5" s="1"/>
  <c r="I247" i="5"/>
  <c r="I246" i="5" s="1"/>
  <c r="H247" i="5"/>
  <c r="H246" i="5" s="1"/>
  <c r="G247" i="5"/>
  <c r="G246" i="5" s="1"/>
  <c r="F247" i="5"/>
  <c r="F246" i="5" s="1"/>
  <c r="E247" i="5"/>
  <c r="E246" i="5" s="1"/>
  <c r="D247" i="5"/>
  <c r="D246" i="5" s="1"/>
  <c r="C247" i="5"/>
  <c r="N246" i="5"/>
  <c r="M246" i="5"/>
  <c r="L246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N222" i="5"/>
  <c r="M222" i="5"/>
  <c r="L222" i="5"/>
  <c r="K222" i="5"/>
  <c r="J222" i="5"/>
  <c r="J221" i="5" s="1"/>
  <c r="J220" i="5" s="1"/>
  <c r="J219" i="5" s="1"/>
  <c r="I222" i="5"/>
  <c r="H222" i="5"/>
  <c r="H221" i="5" s="1"/>
  <c r="H220" i="5" s="1"/>
  <c r="H219" i="5" s="1"/>
  <c r="G222" i="5"/>
  <c r="F222" i="5"/>
  <c r="F221" i="5" s="1"/>
  <c r="F220" i="5" s="1"/>
  <c r="F219" i="5" s="1"/>
  <c r="E222" i="5"/>
  <c r="D222" i="5"/>
  <c r="D221" i="5" s="1"/>
  <c r="D220" i="5" s="1"/>
  <c r="D219" i="5" s="1"/>
  <c r="C222" i="5"/>
  <c r="N221" i="5"/>
  <c r="N220" i="5" s="1"/>
  <c r="N219" i="5" s="1"/>
  <c r="M221" i="5"/>
  <c r="M220" i="5" s="1"/>
  <c r="M219" i="5" s="1"/>
  <c r="L221" i="5"/>
  <c r="L220" i="5" s="1"/>
  <c r="L219" i="5" s="1"/>
  <c r="K221" i="5"/>
  <c r="K220" i="5" s="1"/>
  <c r="K219" i="5" s="1"/>
  <c r="I221" i="5"/>
  <c r="I220" i="5" s="1"/>
  <c r="I219" i="5" s="1"/>
  <c r="G221" i="5"/>
  <c r="G220" i="5" s="1"/>
  <c r="G219" i="5" s="1"/>
  <c r="E221" i="5"/>
  <c r="E220" i="5" s="1"/>
  <c r="E219" i="5" s="1"/>
  <c r="N216" i="5"/>
  <c r="M216" i="5"/>
  <c r="L216" i="5"/>
  <c r="L215" i="5" s="1"/>
  <c r="K216" i="5"/>
  <c r="K215" i="5" s="1"/>
  <c r="J216" i="5"/>
  <c r="J215" i="5" s="1"/>
  <c r="I216" i="5"/>
  <c r="I215" i="5" s="1"/>
  <c r="H216" i="5"/>
  <c r="H215" i="5" s="1"/>
  <c r="G216" i="5"/>
  <c r="G215" i="5" s="1"/>
  <c r="F216" i="5"/>
  <c r="F215" i="5" s="1"/>
  <c r="E216" i="5"/>
  <c r="E215" i="5" s="1"/>
  <c r="D216" i="5"/>
  <c r="D215" i="5" s="1"/>
  <c r="C216" i="5"/>
  <c r="N215" i="5"/>
  <c r="M215" i="5"/>
  <c r="N211" i="5"/>
  <c r="M211" i="5"/>
  <c r="M207" i="5" s="1"/>
  <c r="M206" i="5" s="1"/>
  <c r="L211" i="5"/>
  <c r="K211" i="5"/>
  <c r="K207" i="5" s="1"/>
  <c r="K206" i="5" s="1"/>
  <c r="J211" i="5"/>
  <c r="J207" i="5" s="1"/>
  <c r="J206" i="5" s="1"/>
  <c r="I211" i="5"/>
  <c r="I207" i="5" s="1"/>
  <c r="I206" i="5" s="1"/>
  <c r="H211" i="5"/>
  <c r="H207" i="5" s="1"/>
  <c r="H206" i="5" s="1"/>
  <c r="G211" i="5"/>
  <c r="G207" i="5" s="1"/>
  <c r="G206" i="5" s="1"/>
  <c r="F211" i="5"/>
  <c r="F207" i="5" s="1"/>
  <c r="F206" i="5" s="1"/>
  <c r="E211" i="5"/>
  <c r="E207" i="5" s="1"/>
  <c r="E206" i="5" s="1"/>
  <c r="D211" i="5"/>
  <c r="D207" i="5" s="1"/>
  <c r="D206" i="5" s="1"/>
  <c r="C211" i="5"/>
  <c r="N207" i="5"/>
  <c r="N206" i="5" s="1"/>
  <c r="L207" i="5"/>
  <c r="L206" i="5" s="1"/>
  <c r="N202" i="5"/>
  <c r="M202" i="5"/>
  <c r="L202" i="5"/>
  <c r="K202" i="5"/>
  <c r="J202" i="5"/>
  <c r="I202" i="5"/>
  <c r="H202" i="5"/>
  <c r="G202" i="5"/>
  <c r="F202" i="5"/>
  <c r="F201" i="5" s="1"/>
  <c r="F200" i="5" s="1"/>
  <c r="E202" i="5"/>
  <c r="E201" i="5" s="1"/>
  <c r="E200" i="5" s="1"/>
  <c r="D202" i="5"/>
  <c r="D201" i="5" s="1"/>
  <c r="D200" i="5" s="1"/>
  <c r="C202" i="5"/>
  <c r="N201" i="5"/>
  <c r="N200" i="5" s="1"/>
  <c r="M201" i="5"/>
  <c r="M200" i="5" s="1"/>
  <c r="L201" i="5"/>
  <c r="L200" i="5" s="1"/>
  <c r="K201" i="5"/>
  <c r="K200" i="5" s="1"/>
  <c r="J201" i="5"/>
  <c r="J200" i="5" s="1"/>
  <c r="I201" i="5"/>
  <c r="I200" i="5" s="1"/>
  <c r="H201" i="5"/>
  <c r="H200" i="5" s="1"/>
  <c r="G201" i="5"/>
  <c r="G200" i="5" s="1"/>
  <c r="N193" i="5"/>
  <c r="M193" i="5"/>
  <c r="L193" i="5"/>
  <c r="K193" i="5"/>
  <c r="J193" i="5"/>
  <c r="I193" i="5"/>
  <c r="H193" i="5"/>
  <c r="G193" i="5"/>
  <c r="F193" i="5"/>
  <c r="E193" i="5"/>
  <c r="D193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N184" i="5"/>
  <c r="M184" i="5"/>
  <c r="L184" i="5"/>
  <c r="K184" i="5"/>
  <c r="J184" i="5"/>
  <c r="I184" i="5"/>
  <c r="H184" i="5"/>
  <c r="G184" i="5"/>
  <c r="F184" i="5"/>
  <c r="E184" i="5"/>
  <c r="D184" i="5"/>
  <c r="D183" i="5" s="1"/>
  <c r="D182" i="5" s="1"/>
  <c r="D181" i="5" s="1"/>
  <c r="C184" i="5"/>
  <c r="N183" i="5"/>
  <c r="N182" i="5" s="1"/>
  <c r="N181" i="5" s="1"/>
  <c r="M183" i="5"/>
  <c r="M182" i="5" s="1"/>
  <c r="M181" i="5" s="1"/>
  <c r="L183" i="5"/>
  <c r="L182" i="5" s="1"/>
  <c r="L181" i="5" s="1"/>
  <c r="K183" i="5"/>
  <c r="K182" i="5" s="1"/>
  <c r="K181" i="5" s="1"/>
  <c r="J183" i="5"/>
  <c r="J182" i="5" s="1"/>
  <c r="J181" i="5" s="1"/>
  <c r="I183" i="5"/>
  <c r="I182" i="5" s="1"/>
  <c r="I181" i="5" s="1"/>
  <c r="H183" i="5"/>
  <c r="H182" i="5" s="1"/>
  <c r="H181" i="5" s="1"/>
  <c r="G183" i="5"/>
  <c r="G182" i="5" s="1"/>
  <c r="G181" i="5" s="1"/>
  <c r="F183" i="5"/>
  <c r="F182" i="5" s="1"/>
  <c r="F181" i="5" s="1"/>
  <c r="E183" i="5"/>
  <c r="E182" i="5" s="1"/>
  <c r="E181" i="5" s="1"/>
  <c r="N180" i="5"/>
  <c r="M180" i="5"/>
  <c r="L180" i="5"/>
  <c r="K180" i="5"/>
  <c r="J180" i="5"/>
  <c r="I180" i="5"/>
  <c r="H180" i="5"/>
  <c r="G180" i="5"/>
  <c r="F180" i="5"/>
  <c r="E180" i="5"/>
  <c r="D180" i="5"/>
  <c r="C180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N153" i="5"/>
  <c r="N152" i="5" s="1"/>
  <c r="N151" i="5" s="1"/>
  <c r="M153" i="5"/>
  <c r="M152" i="5" s="1"/>
  <c r="M151" i="5" s="1"/>
  <c r="L153" i="5"/>
  <c r="L152" i="5" s="1"/>
  <c r="L151" i="5" s="1"/>
  <c r="K153" i="5"/>
  <c r="K152" i="5" s="1"/>
  <c r="K151" i="5" s="1"/>
  <c r="J153" i="5"/>
  <c r="J152" i="5" s="1"/>
  <c r="I153" i="5"/>
  <c r="I152" i="5" s="1"/>
  <c r="I151" i="5" s="1"/>
  <c r="H153" i="5"/>
  <c r="H152" i="5" s="1"/>
  <c r="H151" i="5" s="1"/>
  <c r="G153" i="5"/>
  <c r="G152" i="5" s="1"/>
  <c r="G151" i="5" s="1"/>
  <c r="F153" i="5"/>
  <c r="F152" i="5" s="1"/>
  <c r="F151" i="5" s="1"/>
  <c r="E153" i="5"/>
  <c r="E152" i="5" s="1"/>
  <c r="E151" i="5" s="1"/>
  <c r="D153" i="5"/>
  <c r="D152" i="5" s="1"/>
  <c r="D151" i="5" s="1"/>
  <c r="C153" i="5"/>
  <c r="N147" i="5"/>
  <c r="M147" i="5"/>
  <c r="L147" i="5"/>
  <c r="K147" i="5"/>
  <c r="J147" i="5"/>
  <c r="J146" i="5" s="1"/>
  <c r="J143" i="5" s="1"/>
  <c r="I147" i="5"/>
  <c r="I146" i="5" s="1"/>
  <c r="I143" i="5" s="1"/>
  <c r="H147" i="5"/>
  <c r="H146" i="5" s="1"/>
  <c r="H143" i="5" s="1"/>
  <c r="G147" i="5"/>
  <c r="G146" i="5" s="1"/>
  <c r="G143" i="5" s="1"/>
  <c r="F147" i="5"/>
  <c r="F146" i="5" s="1"/>
  <c r="F143" i="5" s="1"/>
  <c r="E147" i="5"/>
  <c r="E146" i="5" s="1"/>
  <c r="E143" i="5" s="1"/>
  <c r="D147" i="5"/>
  <c r="D146" i="5" s="1"/>
  <c r="D143" i="5" s="1"/>
  <c r="C147" i="5"/>
  <c r="N146" i="5"/>
  <c r="N143" i="5" s="1"/>
  <c r="M146" i="5"/>
  <c r="M143" i="5" s="1"/>
  <c r="L146" i="5"/>
  <c r="L143" i="5" s="1"/>
  <c r="K146" i="5"/>
  <c r="K143" i="5" s="1"/>
  <c r="N145" i="5"/>
  <c r="M145" i="5"/>
  <c r="L145" i="5"/>
  <c r="K145" i="5"/>
  <c r="J145" i="5"/>
  <c r="I145" i="5"/>
  <c r="H145" i="5"/>
  <c r="G145" i="5"/>
  <c r="F145" i="5"/>
  <c r="E145" i="5"/>
  <c r="D145" i="5"/>
  <c r="C145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N99" i="5"/>
  <c r="M99" i="5"/>
  <c r="L99" i="5"/>
  <c r="K99" i="5"/>
  <c r="J99" i="5"/>
  <c r="I99" i="5"/>
  <c r="H99" i="5"/>
  <c r="G99" i="5"/>
  <c r="F99" i="5"/>
  <c r="E99" i="5"/>
  <c r="D99" i="5"/>
  <c r="C99" i="5"/>
  <c r="N98" i="5"/>
  <c r="M98" i="5"/>
  <c r="L98" i="5"/>
  <c r="K98" i="5"/>
  <c r="J98" i="5"/>
  <c r="I98" i="5"/>
  <c r="H98" i="5"/>
  <c r="G98" i="5"/>
  <c r="F98" i="5"/>
  <c r="E98" i="5"/>
  <c r="D98" i="5"/>
  <c r="C98" i="5"/>
  <c r="N97" i="5"/>
  <c r="M97" i="5"/>
  <c r="L97" i="5"/>
  <c r="K97" i="5"/>
  <c r="J97" i="5"/>
  <c r="I97" i="5"/>
  <c r="H97" i="5"/>
  <c r="G97" i="5"/>
  <c r="F97" i="5"/>
  <c r="E97" i="5"/>
  <c r="D97" i="5"/>
  <c r="C97" i="5"/>
  <c r="N96" i="5"/>
  <c r="M96" i="5"/>
  <c r="L96" i="5"/>
  <c r="K96" i="5"/>
  <c r="J96" i="5"/>
  <c r="I96" i="5"/>
  <c r="H96" i="5"/>
  <c r="G96" i="5"/>
  <c r="F96" i="5"/>
  <c r="E96" i="5"/>
  <c r="D96" i="5"/>
  <c r="C96" i="5"/>
  <c r="N94" i="5"/>
  <c r="M94" i="5"/>
  <c r="M93" i="5" s="1"/>
  <c r="L94" i="5"/>
  <c r="L93" i="5" s="1"/>
  <c r="K94" i="5"/>
  <c r="K93" i="5" s="1"/>
  <c r="J94" i="5"/>
  <c r="J93" i="5" s="1"/>
  <c r="I94" i="5"/>
  <c r="I93" i="5" s="1"/>
  <c r="H94" i="5"/>
  <c r="H93" i="5" s="1"/>
  <c r="G94" i="5"/>
  <c r="G93" i="5" s="1"/>
  <c r="F94" i="5"/>
  <c r="F93" i="5" s="1"/>
  <c r="E94" i="5"/>
  <c r="E93" i="5" s="1"/>
  <c r="D94" i="5"/>
  <c r="D93" i="5" s="1"/>
  <c r="C94" i="5"/>
  <c r="N93" i="5"/>
  <c r="N92" i="5"/>
  <c r="M92" i="5"/>
  <c r="L92" i="5"/>
  <c r="K92" i="5"/>
  <c r="J92" i="5"/>
  <c r="I92" i="5"/>
  <c r="H92" i="5"/>
  <c r="G92" i="5"/>
  <c r="F92" i="5"/>
  <c r="E92" i="5"/>
  <c r="D92" i="5"/>
  <c r="C92" i="5"/>
  <c r="N91" i="5"/>
  <c r="M91" i="5"/>
  <c r="L91" i="5"/>
  <c r="K91" i="5"/>
  <c r="J91" i="5"/>
  <c r="I91" i="5"/>
  <c r="H91" i="5"/>
  <c r="G91" i="5"/>
  <c r="F91" i="5"/>
  <c r="E91" i="5"/>
  <c r="D91" i="5"/>
  <c r="C91" i="5"/>
  <c r="N90" i="5"/>
  <c r="M90" i="5"/>
  <c r="L90" i="5"/>
  <c r="K90" i="5"/>
  <c r="J90" i="5"/>
  <c r="I90" i="5"/>
  <c r="H90" i="5"/>
  <c r="G90" i="5"/>
  <c r="F90" i="5"/>
  <c r="E90" i="5"/>
  <c r="D90" i="5"/>
  <c r="C90" i="5"/>
  <c r="N89" i="5"/>
  <c r="M89" i="5"/>
  <c r="L89" i="5"/>
  <c r="K89" i="5"/>
  <c r="J89" i="5"/>
  <c r="I89" i="5"/>
  <c r="H89" i="5"/>
  <c r="G89" i="5"/>
  <c r="F89" i="5"/>
  <c r="E89" i="5"/>
  <c r="D89" i="5"/>
  <c r="C89" i="5"/>
  <c r="N88" i="5"/>
  <c r="M88" i="5"/>
  <c r="L88" i="5"/>
  <c r="K88" i="5"/>
  <c r="J88" i="5"/>
  <c r="I88" i="5"/>
  <c r="H88" i="5"/>
  <c r="G88" i="5"/>
  <c r="F88" i="5"/>
  <c r="E88" i="5"/>
  <c r="D88" i="5"/>
  <c r="C88" i="5"/>
  <c r="N86" i="5"/>
  <c r="M86" i="5"/>
  <c r="L86" i="5"/>
  <c r="K86" i="5"/>
  <c r="J86" i="5"/>
  <c r="I86" i="5"/>
  <c r="H86" i="5"/>
  <c r="G86" i="5"/>
  <c r="F86" i="5"/>
  <c r="E86" i="5"/>
  <c r="D86" i="5"/>
  <c r="C86" i="5"/>
  <c r="N85" i="5"/>
  <c r="M85" i="5"/>
  <c r="L85" i="5"/>
  <c r="K85" i="5"/>
  <c r="J85" i="5"/>
  <c r="I85" i="5"/>
  <c r="H85" i="5"/>
  <c r="G85" i="5"/>
  <c r="F85" i="5"/>
  <c r="E85" i="5"/>
  <c r="D85" i="5"/>
  <c r="C85" i="5"/>
  <c r="N84" i="5"/>
  <c r="M84" i="5"/>
  <c r="L84" i="5"/>
  <c r="K84" i="5"/>
  <c r="J84" i="5"/>
  <c r="I84" i="5"/>
  <c r="H84" i="5"/>
  <c r="G84" i="5"/>
  <c r="F84" i="5"/>
  <c r="E84" i="5"/>
  <c r="D84" i="5"/>
  <c r="C84" i="5"/>
  <c r="N83" i="5"/>
  <c r="M83" i="5"/>
  <c r="L83" i="5"/>
  <c r="K83" i="5"/>
  <c r="J83" i="5"/>
  <c r="I83" i="5"/>
  <c r="H83" i="5"/>
  <c r="G83" i="5"/>
  <c r="F83" i="5"/>
  <c r="E83" i="5"/>
  <c r="D83" i="5"/>
  <c r="C83" i="5"/>
  <c r="N81" i="5"/>
  <c r="M81" i="5"/>
  <c r="L81" i="5"/>
  <c r="K81" i="5"/>
  <c r="J81" i="5"/>
  <c r="I81" i="5"/>
  <c r="H81" i="5"/>
  <c r="G81" i="5"/>
  <c r="F81" i="5"/>
  <c r="E81" i="5"/>
  <c r="D81" i="5"/>
  <c r="N79" i="5"/>
  <c r="M79" i="5"/>
  <c r="L79" i="5"/>
  <c r="K79" i="5"/>
  <c r="J79" i="5"/>
  <c r="I79" i="5"/>
  <c r="H79" i="5"/>
  <c r="G79" i="5"/>
  <c r="F79" i="5"/>
  <c r="E79" i="5"/>
  <c r="D79" i="5"/>
  <c r="N78" i="5"/>
  <c r="M78" i="5"/>
  <c r="L78" i="5"/>
  <c r="K78" i="5"/>
  <c r="J78" i="5"/>
  <c r="I78" i="5"/>
  <c r="H78" i="5"/>
  <c r="G78" i="5"/>
  <c r="F78" i="5"/>
  <c r="E78" i="5"/>
  <c r="D78" i="5"/>
  <c r="C78" i="5"/>
  <c r="N77" i="5"/>
  <c r="M77" i="5"/>
  <c r="L77" i="5"/>
  <c r="K77" i="5"/>
  <c r="J77" i="5"/>
  <c r="I77" i="5"/>
  <c r="H77" i="5"/>
  <c r="G77" i="5"/>
  <c r="F77" i="5"/>
  <c r="E77" i="5"/>
  <c r="D77" i="5"/>
  <c r="C77" i="5"/>
  <c r="N76" i="5"/>
  <c r="M76" i="5"/>
  <c r="L76" i="5"/>
  <c r="K76" i="5"/>
  <c r="J76" i="5"/>
  <c r="I76" i="5"/>
  <c r="H76" i="5"/>
  <c r="G76" i="5"/>
  <c r="F76" i="5"/>
  <c r="E76" i="5"/>
  <c r="D76" i="5"/>
  <c r="C76" i="5"/>
  <c r="N75" i="5"/>
  <c r="M75" i="5"/>
  <c r="L75" i="5"/>
  <c r="K75" i="5"/>
  <c r="J75" i="5"/>
  <c r="I75" i="5"/>
  <c r="H75" i="5"/>
  <c r="G75" i="5"/>
  <c r="F75" i="5"/>
  <c r="E75" i="5"/>
  <c r="D75" i="5"/>
  <c r="C75" i="5"/>
  <c r="N74" i="5"/>
  <c r="M74" i="5"/>
  <c r="L74" i="5"/>
  <c r="K74" i="5"/>
  <c r="J74" i="5"/>
  <c r="I74" i="5"/>
  <c r="H74" i="5"/>
  <c r="G74" i="5"/>
  <c r="F74" i="5"/>
  <c r="E74" i="5"/>
  <c r="D74" i="5"/>
  <c r="C74" i="5"/>
  <c r="N72" i="5"/>
  <c r="M72" i="5"/>
  <c r="L72" i="5"/>
  <c r="K72" i="5"/>
  <c r="J72" i="5"/>
  <c r="I72" i="5"/>
  <c r="H72" i="5"/>
  <c r="G72" i="5"/>
  <c r="F72" i="5"/>
  <c r="E72" i="5"/>
  <c r="D72" i="5"/>
  <c r="C72" i="5"/>
  <c r="N71" i="5"/>
  <c r="M71" i="5"/>
  <c r="L71" i="5"/>
  <c r="K71" i="5"/>
  <c r="J71" i="5"/>
  <c r="I71" i="5"/>
  <c r="H71" i="5"/>
  <c r="G71" i="5"/>
  <c r="F71" i="5"/>
  <c r="E71" i="5"/>
  <c r="D71" i="5"/>
  <c r="C71" i="5"/>
  <c r="N70" i="5"/>
  <c r="M70" i="5"/>
  <c r="L70" i="5"/>
  <c r="K70" i="5"/>
  <c r="J70" i="5"/>
  <c r="I70" i="5"/>
  <c r="H70" i="5"/>
  <c r="G70" i="5"/>
  <c r="F70" i="5"/>
  <c r="E70" i="5"/>
  <c r="D70" i="5"/>
  <c r="C70" i="5"/>
  <c r="N69" i="5"/>
  <c r="M69" i="5"/>
  <c r="L69" i="5"/>
  <c r="K69" i="5"/>
  <c r="J69" i="5"/>
  <c r="I69" i="5"/>
  <c r="H69" i="5"/>
  <c r="G69" i="5"/>
  <c r="F69" i="5"/>
  <c r="E69" i="5"/>
  <c r="D69" i="5"/>
  <c r="C69" i="5"/>
  <c r="N68" i="5"/>
  <c r="M68" i="5"/>
  <c r="L68" i="5"/>
  <c r="K68" i="5"/>
  <c r="J68" i="5"/>
  <c r="I68" i="5"/>
  <c r="H68" i="5"/>
  <c r="G68" i="5"/>
  <c r="F68" i="5"/>
  <c r="E68" i="5"/>
  <c r="D68" i="5"/>
  <c r="C68" i="5"/>
  <c r="N66" i="5"/>
  <c r="M66" i="5"/>
  <c r="L66" i="5"/>
  <c r="K66" i="5"/>
  <c r="J66" i="5"/>
  <c r="I66" i="5"/>
  <c r="H66" i="5"/>
  <c r="G66" i="5"/>
  <c r="F66" i="5"/>
  <c r="E66" i="5"/>
  <c r="D66" i="5"/>
  <c r="C66" i="5"/>
  <c r="N65" i="5"/>
  <c r="M65" i="5"/>
  <c r="L65" i="5"/>
  <c r="K65" i="5"/>
  <c r="J65" i="5"/>
  <c r="I65" i="5"/>
  <c r="H65" i="5"/>
  <c r="G65" i="5"/>
  <c r="F65" i="5"/>
  <c r="E65" i="5"/>
  <c r="D65" i="5"/>
  <c r="C65" i="5"/>
  <c r="N64" i="5"/>
  <c r="M64" i="5"/>
  <c r="L64" i="5"/>
  <c r="K64" i="5"/>
  <c r="J64" i="5"/>
  <c r="I64" i="5"/>
  <c r="H64" i="5"/>
  <c r="G64" i="5"/>
  <c r="F64" i="5"/>
  <c r="E64" i="5"/>
  <c r="D64" i="5"/>
  <c r="C64" i="5"/>
  <c r="N63" i="5"/>
  <c r="M63" i="5"/>
  <c r="L63" i="5"/>
  <c r="K63" i="5"/>
  <c r="J63" i="5"/>
  <c r="I63" i="5"/>
  <c r="H63" i="5"/>
  <c r="G63" i="5"/>
  <c r="F63" i="5"/>
  <c r="E63" i="5"/>
  <c r="D63" i="5"/>
  <c r="C63" i="5"/>
  <c r="N62" i="5"/>
  <c r="M62" i="5"/>
  <c r="L62" i="5"/>
  <c r="K62" i="5"/>
  <c r="J62" i="5"/>
  <c r="I62" i="5"/>
  <c r="H62" i="5"/>
  <c r="G62" i="5"/>
  <c r="F62" i="5"/>
  <c r="E62" i="5"/>
  <c r="D62" i="5"/>
  <c r="C62" i="5"/>
  <c r="N61" i="5"/>
  <c r="M61" i="5"/>
  <c r="L61" i="5"/>
  <c r="K61" i="5"/>
  <c r="J61" i="5"/>
  <c r="I61" i="5"/>
  <c r="H61" i="5"/>
  <c r="G61" i="5"/>
  <c r="F61" i="5"/>
  <c r="E61" i="5"/>
  <c r="D61" i="5"/>
  <c r="C61" i="5"/>
  <c r="N59" i="5"/>
  <c r="M59" i="5"/>
  <c r="L59" i="5"/>
  <c r="K59" i="5"/>
  <c r="J59" i="5"/>
  <c r="I59" i="5"/>
  <c r="H59" i="5"/>
  <c r="G59" i="5"/>
  <c r="F59" i="5"/>
  <c r="E59" i="5"/>
  <c r="D59" i="5"/>
  <c r="C59" i="5"/>
  <c r="N58" i="5"/>
  <c r="M58" i="5"/>
  <c r="L58" i="5"/>
  <c r="K58" i="5"/>
  <c r="J58" i="5"/>
  <c r="I58" i="5"/>
  <c r="H58" i="5"/>
  <c r="G58" i="5"/>
  <c r="F58" i="5"/>
  <c r="E58" i="5"/>
  <c r="D58" i="5"/>
  <c r="C58" i="5"/>
  <c r="N57" i="5"/>
  <c r="M57" i="5"/>
  <c r="L57" i="5"/>
  <c r="K57" i="5"/>
  <c r="J57" i="5"/>
  <c r="I57" i="5"/>
  <c r="H57" i="5"/>
  <c r="G57" i="5"/>
  <c r="F57" i="5"/>
  <c r="E57" i="5"/>
  <c r="D57" i="5"/>
  <c r="C57" i="5"/>
  <c r="N56" i="5"/>
  <c r="M56" i="5"/>
  <c r="L56" i="5"/>
  <c r="K56" i="5"/>
  <c r="J56" i="5"/>
  <c r="I56" i="5"/>
  <c r="H56" i="5"/>
  <c r="G56" i="5"/>
  <c r="F56" i="5"/>
  <c r="E56" i="5"/>
  <c r="D56" i="5"/>
  <c r="C56" i="5"/>
  <c r="N55" i="5"/>
  <c r="M55" i="5"/>
  <c r="L55" i="5"/>
  <c r="K55" i="5"/>
  <c r="J55" i="5"/>
  <c r="I55" i="5"/>
  <c r="H55" i="5"/>
  <c r="G55" i="5"/>
  <c r="F55" i="5"/>
  <c r="E55" i="5"/>
  <c r="D55" i="5"/>
  <c r="C55" i="5"/>
  <c r="N53" i="5"/>
  <c r="M53" i="5"/>
  <c r="M52" i="5" s="1"/>
  <c r="L53" i="5"/>
  <c r="L52" i="5" s="1"/>
  <c r="K53" i="5"/>
  <c r="K52" i="5" s="1"/>
  <c r="J53" i="5"/>
  <c r="J52" i="5" s="1"/>
  <c r="I53" i="5"/>
  <c r="I52" i="5" s="1"/>
  <c r="H53" i="5"/>
  <c r="H52" i="5" s="1"/>
  <c r="G53" i="5"/>
  <c r="G52" i="5" s="1"/>
  <c r="F53" i="5"/>
  <c r="F52" i="5" s="1"/>
  <c r="E53" i="5"/>
  <c r="E52" i="5" s="1"/>
  <c r="D53" i="5"/>
  <c r="D52" i="5" s="1"/>
  <c r="C53" i="5"/>
  <c r="C52" i="5" s="1"/>
  <c r="N52" i="5"/>
  <c r="N51" i="5"/>
  <c r="M51" i="5"/>
  <c r="L51" i="5"/>
  <c r="K51" i="5"/>
  <c r="J51" i="5"/>
  <c r="I51" i="5"/>
  <c r="H51" i="5"/>
  <c r="G51" i="5"/>
  <c r="F51" i="5"/>
  <c r="E51" i="5"/>
  <c r="D51" i="5"/>
  <c r="C51" i="5"/>
  <c r="N50" i="5"/>
  <c r="M50" i="5"/>
  <c r="L50" i="5"/>
  <c r="K50" i="5"/>
  <c r="J50" i="5"/>
  <c r="I50" i="5"/>
  <c r="H50" i="5"/>
  <c r="G50" i="5"/>
  <c r="F50" i="5"/>
  <c r="E50" i="5"/>
  <c r="D50" i="5"/>
  <c r="C50" i="5"/>
  <c r="N49" i="5"/>
  <c r="M49" i="5"/>
  <c r="L49" i="5"/>
  <c r="K49" i="5"/>
  <c r="J49" i="5"/>
  <c r="I49" i="5"/>
  <c r="H49" i="5"/>
  <c r="G49" i="5"/>
  <c r="F49" i="5"/>
  <c r="E49" i="5"/>
  <c r="D49" i="5"/>
  <c r="C49" i="5"/>
  <c r="N48" i="5"/>
  <c r="M48" i="5"/>
  <c r="L48" i="5"/>
  <c r="K48" i="5"/>
  <c r="J48" i="5"/>
  <c r="I48" i="5"/>
  <c r="H48" i="5"/>
  <c r="G48" i="5"/>
  <c r="F48" i="5"/>
  <c r="E48" i="5"/>
  <c r="D48" i="5"/>
  <c r="C48" i="5"/>
  <c r="N47" i="5"/>
  <c r="M47" i="5"/>
  <c r="L47" i="5"/>
  <c r="K47" i="5"/>
  <c r="J47" i="5"/>
  <c r="I47" i="5"/>
  <c r="H47" i="5"/>
  <c r="G47" i="5"/>
  <c r="F47" i="5"/>
  <c r="E47" i="5"/>
  <c r="D47" i="5"/>
  <c r="C47" i="5"/>
  <c r="N45" i="5"/>
  <c r="M45" i="5"/>
  <c r="L45" i="5"/>
  <c r="K45" i="5"/>
  <c r="J45" i="5"/>
  <c r="I45" i="5"/>
  <c r="H45" i="5"/>
  <c r="G45" i="5"/>
  <c r="F45" i="5"/>
  <c r="E45" i="5"/>
  <c r="D45" i="5"/>
  <c r="C45" i="5"/>
  <c r="N44" i="5"/>
  <c r="M44" i="5"/>
  <c r="L44" i="5"/>
  <c r="K44" i="5"/>
  <c r="J44" i="5"/>
  <c r="I44" i="5"/>
  <c r="H44" i="5"/>
  <c r="G44" i="5"/>
  <c r="F44" i="5"/>
  <c r="E44" i="5"/>
  <c r="D44" i="5"/>
  <c r="C44" i="5"/>
  <c r="N43" i="5"/>
  <c r="M43" i="5"/>
  <c r="L43" i="5"/>
  <c r="K43" i="5"/>
  <c r="J43" i="5"/>
  <c r="I43" i="5"/>
  <c r="H43" i="5"/>
  <c r="G43" i="5"/>
  <c r="F43" i="5"/>
  <c r="E43" i="5"/>
  <c r="D43" i="5"/>
  <c r="C43" i="5"/>
  <c r="N42" i="5"/>
  <c r="M42" i="5"/>
  <c r="L42" i="5"/>
  <c r="K42" i="5"/>
  <c r="J42" i="5"/>
  <c r="I42" i="5"/>
  <c r="H42" i="5"/>
  <c r="G42" i="5"/>
  <c r="F42" i="5"/>
  <c r="E42" i="5"/>
  <c r="D42" i="5"/>
  <c r="C42" i="5"/>
  <c r="N41" i="5"/>
  <c r="M41" i="5"/>
  <c r="L41" i="5"/>
  <c r="K41" i="5"/>
  <c r="J41" i="5"/>
  <c r="I41" i="5"/>
  <c r="H41" i="5"/>
  <c r="G41" i="5"/>
  <c r="F41" i="5"/>
  <c r="E41" i="5"/>
  <c r="D41" i="5"/>
  <c r="C41" i="5"/>
  <c r="N40" i="5"/>
  <c r="M40" i="5"/>
  <c r="L40" i="5"/>
  <c r="K40" i="5"/>
  <c r="J40" i="5"/>
  <c r="I40" i="5"/>
  <c r="H40" i="5"/>
  <c r="G40" i="5"/>
  <c r="F40" i="5"/>
  <c r="E40" i="5"/>
  <c r="D40" i="5"/>
  <c r="C40" i="5"/>
  <c r="N31" i="5"/>
  <c r="N38" i="5" s="1"/>
  <c r="M31" i="5"/>
  <c r="M38" i="5" s="1"/>
  <c r="L31" i="5"/>
  <c r="K31" i="5"/>
  <c r="K38" i="5" s="1"/>
  <c r="J31" i="5"/>
  <c r="J38" i="5" s="1"/>
  <c r="I31" i="5"/>
  <c r="I38" i="5" s="1"/>
  <c r="H31" i="5"/>
  <c r="G31" i="5"/>
  <c r="G38" i="5" s="1"/>
  <c r="F31" i="5"/>
  <c r="F38" i="5" s="1"/>
  <c r="E31" i="5"/>
  <c r="E38" i="5" s="1"/>
  <c r="D31" i="5"/>
  <c r="C31" i="5"/>
  <c r="N29" i="5"/>
  <c r="M29" i="5"/>
  <c r="L29" i="5"/>
  <c r="K29" i="5"/>
  <c r="J29" i="5"/>
  <c r="I29" i="5"/>
  <c r="H29" i="5"/>
  <c r="G29" i="5"/>
  <c r="F29" i="5"/>
  <c r="E29" i="5"/>
  <c r="D29" i="5"/>
  <c r="C29" i="5"/>
  <c r="N28" i="5"/>
  <c r="M28" i="5"/>
  <c r="L28" i="5"/>
  <c r="K28" i="5"/>
  <c r="J28" i="5"/>
  <c r="I28" i="5"/>
  <c r="H28" i="5"/>
  <c r="G28" i="5"/>
  <c r="F28" i="5"/>
  <c r="E28" i="5"/>
  <c r="D28" i="5"/>
  <c r="C28" i="5"/>
  <c r="N27" i="5"/>
  <c r="M27" i="5"/>
  <c r="L27" i="5"/>
  <c r="K27" i="5"/>
  <c r="J27" i="5"/>
  <c r="I27" i="5"/>
  <c r="H27" i="5"/>
  <c r="G27" i="5"/>
  <c r="F27" i="5"/>
  <c r="E27" i="5"/>
  <c r="D27" i="5"/>
  <c r="C27" i="5"/>
  <c r="N26" i="5"/>
  <c r="M26" i="5"/>
  <c r="L26" i="5"/>
  <c r="K26" i="5"/>
  <c r="J26" i="5"/>
  <c r="I26" i="5"/>
  <c r="H26" i="5"/>
  <c r="G26" i="5"/>
  <c r="F26" i="5"/>
  <c r="E26" i="5"/>
  <c r="D26" i="5"/>
  <c r="C26" i="5"/>
  <c r="N25" i="5"/>
  <c r="M25" i="5"/>
  <c r="L25" i="5"/>
  <c r="K25" i="5"/>
  <c r="J25" i="5"/>
  <c r="I25" i="5"/>
  <c r="H25" i="5"/>
  <c r="G25" i="5"/>
  <c r="F25" i="5"/>
  <c r="E25" i="5"/>
  <c r="D25" i="5"/>
  <c r="C25" i="5"/>
  <c r="N24" i="5"/>
  <c r="M24" i="5"/>
  <c r="L24" i="5"/>
  <c r="K24" i="5"/>
  <c r="J24" i="5"/>
  <c r="I24" i="5"/>
  <c r="H24" i="5"/>
  <c r="G24" i="5"/>
  <c r="F24" i="5"/>
  <c r="E24" i="5"/>
  <c r="D24" i="5"/>
  <c r="C24" i="5"/>
  <c r="N22" i="5"/>
  <c r="M22" i="5"/>
  <c r="L22" i="5"/>
  <c r="K22" i="5"/>
  <c r="J22" i="5"/>
  <c r="I22" i="5"/>
  <c r="H22" i="5"/>
  <c r="G22" i="5"/>
  <c r="F22" i="5"/>
  <c r="E22" i="5"/>
  <c r="D22" i="5"/>
  <c r="C22" i="5"/>
  <c r="N21" i="5"/>
  <c r="M21" i="5"/>
  <c r="L21" i="5"/>
  <c r="K21" i="5"/>
  <c r="J21" i="5"/>
  <c r="I21" i="5"/>
  <c r="H21" i="5"/>
  <c r="G21" i="5"/>
  <c r="F21" i="5"/>
  <c r="E21" i="5"/>
  <c r="D21" i="5"/>
  <c r="C21" i="5"/>
  <c r="N20" i="5"/>
  <c r="M20" i="5"/>
  <c r="L20" i="5"/>
  <c r="K20" i="5"/>
  <c r="J20" i="5"/>
  <c r="I20" i="5"/>
  <c r="H20" i="5"/>
  <c r="G20" i="5"/>
  <c r="F20" i="5"/>
  <c r="E20" i="5"/>
  <c r="D20" i="5"/>
  <c r="C20" i="5"/>
  <c r="N19" i="5"/>
  <c r="M19" i="5"/>
  <c r="L19" i="5"/>
  <c r="K19" i="5"/>
  <c r="J19" i="5"/>
  <c r="I19" i="5"/>
  <c r="H19" i="5"/>
  <c r="G19" i="5"/>
  <c r="F19" i="5"/>
  <c r="E19" i="5"/>
  <c r="D19" i="5"/>
  <c r="C19" i="5"/>
  <c r="N18" i="5"/>
  <c r="M18" i="5"/>
  <c r="L18" i="5"/>
  <c r="K18" i="5"/>
  <c r="J18" i="5"/>
  <c r="I18" i="5"/>
  <c r="H18" i="5"/>
  <c r="G18" i="5"/>
  <c r="F18" i="5"/>
  <c r="E18" i="5"/>
  <c r="D18" i="5"/>
  <c r="C18" i="5"/>
  <c r="N17" i="5"/>
  <c r="M17" i="5"/>
  <c r="L17" i="5"/>
  <c r="K17" i="5"/>
  <c r="J17" i="5"/>
  <c r="I17" i="5"/>
  <c r="H17" i="5"/>
  <c r="G17" i="5"/>
  <c r="F17" i="5"/>
  <c r="E17" i="5"/>
  <c r="D17" i="5"/>
  <c r="C17" i="5"/>
  <c r="N15" i="5"/>
  <c r="M15" i="5"/>
  <c r="M14" i="5" s="1"/>
  <c r="L15" i="5"/>
  <c r="L14" i="5" s="1"/>
  <c r="K15" i="5"/>
  <c r="K14" i="5" s="1"/>
  <c r="J15" i="5"/>
  <c r="J14" i="5" s="1"/>
  <c r="I15" i="5"/>
  <c r="I14" i="5" s="1"/>
  <c r="H15" i="5"/>
  <c r="H14" i="5" s="1"/>
  <c r="G15" i="5"/>
  <c r="G14" i="5" s="1"/>
  <c r="F15" i="5"/>
  <c r="F14" i="5" s="1"/>
  <c r="E15" i="5"/>
  <c r="E14" i="5" s="1"/>
  <c r="D15" i="5"/>
  <c r="D14" i="5" s="1"/>
  <c r="C15" i="5"/>
  <c r="N14" i="5"/>
  <c r="E184" i="432" l="1"/>
  <c r="K184" i="432" s="1"/>
  <c r="AC184" i="432" s="1"/>
  <c r="C221" i="5"/>
  <c r="C146" i="5"/>
  <c r="C207" i="5"/>
  <c r="C274" i="5"/>
  <c r="C201" i="5"/>
  <c r="C215" i="5"/>
  <c r="J151" i="5"/>
  <c r="J191" i="5"/>
  <c r="N191" i="5"/>
  <c r="N142" i="5" s="1"/>
  <c r="G191" i="5"/>
  <c r="G142" i="5" s="1"/>
  <c r="E577" i="5"/>
  <c r="E572" i="5" s="1"/>
  <c r="I577" i="5"/>
  <c r="I572" i="5" s="1"/>
  <c r="M577" i="5"/>
  <c r="M572" i="5" s="1"/>
  <c r="F191" i="5"/>
  <c r="F142" i="5" s="1"/>
  <c r="G577" i="5"/>
  <c r="G572" i="5" s="1"/>
  <c r="K577" i="5"/>
  <c r="K572" i="5" s="1"/>
  <c r="C14" i="5"/>
  <c r="C249" i="5"/>
  <c r="D337" i="5"/>
  <c r="D336" i="5" s="1"/>
  <c r="D335" i="5" s="1"/>
  <c r="D346" i="5"/>
  <c r="C183" i="5"/>
  <c r="C252" i="5"/>
  <c r="O567" i="5"/>
  <c r="Q567" i="5" s="1"/>
  <c r="O578" i="5"/>
  <c r="Q578" i="5" s="1"/>
  <c r="O580" i="5"/>
  <c r="Q580" i="5" s="1"/>
  <c r="O582" i="5"/>
  <c r="Q582" i="5" s="1"/>
  <c r="O584" i="5"/>
  <c r="Q584" i="5" s="1"/>
  <c r="O589" i="5"/>
  <c r="Q589" i="5" s="1"/>
  <c r="O591" i="5"/>
  <c r="Q591" i="5" s="1"/>
  <c r="C341" i="5"/>
  <c r="O570" i="5"/>
  <c r="Q570" i="5" s="1"/>
  <c r="F346" i="5"/>
  <c r="H346" i="5"/>
  <c r="J346" i="5"/>
  <c r="L346" i="5"/>
  <c r="N346" i="5"/>
  <c r="E30" i="5"/>
  <c r="E13" i="5" s="1"/>
  <c r="E346" i="5"/>
  <c r="I346" i="5"/>
  <c r="K346" i="5"/>
  <c r="M346" i="5"/>
  <c r="J30" i="5"/>
  <c r="J13" i="5" s="1"/>
  <c r="H577" i="5"/>
  <c r="H572" i="5" s="1"/>
  <c r="L577" i="5"/>
  <c r="L572" i="5" s="1"/>
  <c r="G252" i="5"/>
  <c r="O243" i="5"/>
  <c r="Q243" i="5" s="1"/>
  <c r="O244" i="5"/>
  <c r="Q244" i="5" s="1"/>
  <c r="D252" i="5"/>
  <c r="H252" i="5"/>
  <c r="J577" i="5"/>
  <c r="J572" i="5" s="1"/>
  <c r="N577" i="5"/>
  <c r="N572" i="5" s="1"/>
  <c r="H30" i="5"/>
  <c r="H13" i="5" s="1"/>
  <c r="L30" i="5"/>
  <c r="L13" i="5" s="1"/>
  <c r="K191" i="5"/>
  <c r="K142" i="5" s="1"/>
  <c r="F577" i="5"/>
  <c r="F572" i="5" s="1"/>
  <c r="D577" i="5"/>
  <c r="O247" i="5"/>
  <c r="Q247" i="5" s="1"/>
  <c r="O250" i="5"/>
  <c r="Q250" i="5" s="1"/>
  <c r="D30" i="5"/>
  <c r="D13" i="5" s="1"/>
  <c r="C566" i="5"/>
  <c r="C93" i="5"/>
  <c r="C152" i="5"/>
  <c r="C337" i="5"/>
  <c r="C246" i="5"/>
  <c r="I30" i="5"/>
  <c r="I13" i="5" s="1"/>
  <c r="L191" i="5"/>
  <c r="L142" i="5" s="1"/>
  <c r="F30" i="5"/>
  <c r="F13" i="5" s="1"/>
  <c r="N30" i="5"/>
  <c r="N13" i="5" s="1"/>
  <c r="M30" i="5"/>
  <c r="M13" i="5" s="1"/>
  <c r="G30" i="5"/>
  <c r="G13" i="5" s="1"/>
  <c r="K30" i="5"/>
  <c r="K13" i="5" s="1"/>
  <c r="H191" i="5"/>
  <c r="H142" i="5" s="1"/>
  <c r="K566" i="5"/>
  <c r="D191" i="5"/>
  <c r="D142" i="5" s="1"/>
  <c r="E191" i="5"/>
  <c r="E142" i="5" s="1"/>
  <c r="I191" i="5"/>
  <c r="I142" i="5" s="1"/>
  <c r="M191" i="5"/>
  <c r="M142" i="5" s="1"/>
  <c r="C37" i="5"/>
  <c r="C577" i="5"/>
  <c r="C33" i="5"/>
  <c r="G34" i="5"/>
  <c r="K35" i="5"/>
  <c r="G37" i="5"/>
  <c r="D38" i="5"/>
  <c r="D37" i="5"/>
  <c r="L38" i="5"/>
  <c r="L36" i="5"/>
  <c r="L37" i="5"/>
  <c r="L33" i="5"/>
  <c r="D35" i="5"/>
  <c r="L35" i="5"/>
  <c r="K37" i="5"/>
  <c r="G33" i="5"/>
  <c r="C34" i="5"/>
  <c r="K34" i="5"/>
  <c r="G35" i="5"/>
  <c r="C36" i="5"/>
  <c r="K36" i="5"/>
  <c r="C38" i="5"/>
  <c r="K33" i="5"/>
  <c r="C35" i="5"/>
  <c r="G36" i="5"/>
  <c r="H37" i="5"/>
  <c r="H38" i="5"/>
  <c r="D33" i="5"/>
  <c r="H34" i="5"/>
  <c r="H36" i="5"/>
  <c r="H33" i="5"/>
  <c r="D34" i="5"/>
  <c r="L34" i="5"/>
  <c r="H35" i="5"/>
  <c r="D36" i="5"/>
  <c r="E33" i="5"/>
  <c r="I33" i="5"/>
  <c r="M33" i="5"/>
  <c r="E34" i="5"/>
  <c r="I34" i="5"/>
  <c r="M34" i="5"/>
  <c r="E35" i="5"/>
  <c r="I35" i="5"/>
  <c r="M35" i="5"/>
  <c r="E36" i="5"/>
  <c r="I36" i="5"/>
  <c r="M36" i="5"/>
  <c r="E37" i="5"/>
  <c r="I37" i="5"/>
  <c r="M37" i="5"/>
  <c r="F33" i="5"/>
  <c r="J33" i="5"/>
  <c r="N33" i="5"/>
  <c r="F34" i="5"/>
  <c r="J34" i="5"/>
  <c r="N34" i="5"/>
  <c r="F35" i="5"/>
  <c r="J35" i="5"/>
  <c r="N35" i="5"/>
  <c r="F36" i="5"/>
  <c r="J36" i="5"/>
  <c r="N36" i="5"/>
  <c r="F37" i="5"/>
  <c r="J37" i="5"/>
  <c r="N37" i="5"/>
  <c r="E192" i="432" l="1"/>
  <c r="K192" i="432" s="1"/>
  <c r="AC192" i="432" s="1"/>
  <c r="E183" i="432"/>
  <c r="K183" i="432" s="1"/>
  <c r="AC183" i="432" s="1"/>
  <c r="C220" i="5"/>
  <c r="C276" i="5"/>
  <c r="E12" i="5"/>
  <c r="J142" i="5"/>
  <c r="J12" i="5" s="1"/>
  <c r="C206" i="5"/>
  <c r="C143" i="5"/>
  <c r="C200" i="5"/>
  <c r="I12" i="5"/>
  <c r="F12" i="5"/>
  <c r="K12" i="5"/>
  <c r="N12" i="5"/>
  <c r="H12" i="5"/>
  <c r="L12" i="5"/>
  <c r="C182" i="5"/>
  <c r="G12" i="5"/>
  <c r="O249" i="5"/>
  <c r="Q249" i="5" s="1"/>
  <c r="C340" i="5"/>
  <c r="O577" i="5"/>
  <c r="Q577" i="5" s="1"/>
  <c r="D341" i="5"/>
  <c r="C30" i="5"/>
  <c r="D12" i="5"/>
  <c r="G245" i="5"/>
  <c r="K341" i="5"/>
  <c r="K340" i="5" s="1"/>
  <c r="K245" i="5" s="1"/>
  <c r="E341" i="5"/>
  <c r="E340" i="5" s="1"/>
  <c r="E245" i="5" s="1"/>
  <c r="L341" i="5"/>
  <c r="L340" i="5" s="1"/>
  <c r="L245" i="5" s="1"/>
  <c r="H341" i="5"/>
  <c r="H340" i="5" s="1"/>
  <c r="H245" i="5" s="1"/>
  <c r="M341" i="5"/>
  <c r="M340" i="5" s="1"/>
  <c r="M245" i="5" s="1"/>
  <c r="I341" i="5"/>
  <c r="I340" i="5" s="1"/>
  <c r="I245" i="5" s="1"/>
  <c r="E245" i="432" s="1"/>
  <c r="K245" i="432" s="1"/>
  <c r="AC245" i="432" s="1"/>
  <c r="N341" i="5"/>
  <c r="N340" i="5" s="1"/>
  <c r="N245" i="5" s="1"/>
  <c r="N11" i="5" s="1"/>
  <c r="N765" i="5" s="1"/>
  <c r="J341" i="5"/>
  <c r="J340" i="5" s="1"/>
  <c r="J245" i="5" s="1"/>
  <c r="F341" i="5"/>
  <c r="F340" i="5" s="1"/>
  <c r="O566" i="5"/>
  <c r="Q566" i="5" s="1"/>
  <c r="D572" i="5"/>
  <c r="O246" i="5"/>
  <c r="Q246" i="5" s="1"/>
  <c r="C336" i="5"/>
  <c r="C151" i="5"/>
  <c r="F252" i="5"/>
  <c r="M12" i="5"/>
  <c r="C219" i="5"/>
  <c r="E182" i="432" l="1"/>
  <c r="K182" i="432" s="1"/>
  <c r="AC182" i="432" s="1"/>
  <c r="E11" i="5"/>
  <c r="E765" i="5" s="1"/>
  <c r="C191" i="5"/>
  <c r="I11" i="5"/>
  <c r="J11" i="5"/>
  <c r="J765" i="5" s="1"/>
  <c r="K11" i="5"/>
  <c r="K765" i="5" s="1"/>
  <c r="H11" i="5"/>
  <c r="L11" i="5"/>
  <c r="L765" i="5" s="1"/>
  <c r="C181" i="5"/>
  <c r="G11" i="5"/>
  <c r="G765" i="5" s="1"/>
  <c r="C13" i="5"/>
  <c r="D340" i="5"/>
  <c r="D245" i="5" s="1"/>
  <c r="D11" i="5" s="1"/>
  <c r="D765" i="5" s="1"/>
  <c r="O336" i="5"/>
  <c r="Q336" i="5" s="1"/>
  <c r="O573" i="5"/>
  <c r="Q573" i="5" s="1"/>
  <c r="F245" i="5"/>
  <c r="F11" i="5" s="1"/>
  <c r="F765" i="5" s="1"/>
  <c r="M11" i="5"/>
  <c r="M765" i="5" s="1"/>
  <c r="C335" i="5"/>
  <c r="C572" i="5"/>
  <c r="E191" i="432" l="1"/>
  <c r="K191" i="432" s="1"/>
  <c r="AC191" i="432" s="1"/>
  <c r="E181" i="432"/>
  <c r="K181" i="432" s="1"/>
  <c r="AC181" i="432" s="1"/>
  <c r="I765" i="5"/>
  <c r="H765" i="5"/>
  <c r="C142" i="5"/>
  <c r="O572" i="5"/>
  <c r="Q572" i="5" s="1"/>
  <c r="O335" i="5"/>
  <c r="Q335" i="5" s="1"/>
  <c r="C245" i="5"/>
  <c r="E142" i="432" l="1"/>
  <c r="K142" i="432" s="1"/>
  <c r="AC142" i="432" s="1"/>
  <c r="C12" i="5"/>
  <c r="O245" i="5"/>
  <c r="Q245" i="5" s="1"/>
  <c r="E12" i="432" l="1"/>
  <c r="K12" i="432" s="1"/>
  <c r="C11" i="5"/>
  <c r="E11" i="432" l="1"/>
  <c r="C765" i="5"/>
  <c r="K11" i="432" l="1"/>
  <c r="E765" i="432"/>
  <c r="E1018" i="432" s="1"/>
  <c r="K765" i="432" l="1"/>
  <c r="K1018" i="432" l="1"/>
  <c r="O291" i="5" l="1"/>
  <c r="Q291" i="5" s="1"/>
  <c r="O313" i="5" l="1"/>
  <c r="Q313" i="5" s="1"/>
  <c r="O285" i="5" l="1"/>
  <c r="Q285" i="5" s="1"/>
  <c r="O286" i="5"/>
  <c r="Q286" i="5" s="1"/>
  <c r="O287" i="5"/>
  <c r="Q287" i="5" s="1"/>
  <c r="O288" i="5"/>
  <c r="Q288" i="5" s="1"/>
  <c r="O167" i="5" l="1"/>
  <c r="Q167" i="5" s="1"/>
  <c r="O166" i="5" l="1"/>
  <c r="Q166" i="5" s="1"/>
  <c r="O165" i="5" l="1"/>
  <c r="Q165" i="5" s="1"/>
  <c r="O314" i="5" l="1"/>
  <c r="Q314" i="5" s="1"/>
  <c r="O302" i="5"/>
  <c r="Q302" i="5" s="1"/>
  <c r="O303" i="5"/>
  <c r="Q303" i="5" s="1"/>
  <c r="O251" i="5" l="1"/>
  <c r="Q251" i="5" s="1"/>
  <c r="O252" i="5"/>
  <c r="Q252" i="5" s="1"/>
  <c r="O240" i="5"/>
  <c r="Q240" i="5" s="1"/>
  <c r="O241" i="5"/>
  <c r="Q241" i="5" s="1"/>
  <c r="O221" i="5"/>
  <c r="Q221" i="5" s="1"/>
  <c r="O284" i="5" l="1"/>
  <c r="Q284" i="5" s="1"/>
  <c r="O220" i="5"/>
  <c r="Q220" i="5" s="1"/>
  <c r="O337" i="5" l="1"/>
  <c r="Q337" i="5" s="1"/>
  <c r="O338" i="5"/>
  <c r="Q338" i="5" s="1"/>
  <c r="O339" i="5"/>
  <c r="Q339" i="5" s="1"/>
  <c r="O340" i="5"/>
  <c r="Q340" i="5" s="1"/>
  <c r="O342" i="5"/>
  <c r="Q342" i="5" s="1"/>
  <c r="O343" i="5"/>
  <c r="Q343" i="5" s="1"/>
  <c r="O344" i="5"/>
  <c r="Q344" i="5" s="1"/>
  <c r="O345" i="5"/>
  <c r="Q345" i="5" s="1"/>
  <c r="O346" i="5"/>
  <c r="O347" i="5"/>
  <c r="Q347" i="5" s="1"/>
  <c r="O348" i="5"/>
  <c r="Q348" i="5" s="1"/>
  <c r="O341" i="5" l="1"/>
  <c r="Q341" i="5" s="1"/>
  <c r="Q346" i="5"/>
  <c r="O239" i="5"/>
  <c r="Q239" i="5" s="1"/>
  <c r="O236" i="5"/>
  <c r="Q236" i="5" s="1"/>
  <c r="O242" i="5" l="1"/>
  <c r="Q242" i="5" s="1"/>
  <c r="O629" i="5" l="1"/>
  <c r="Q629" i="5" s="1"/>
  <c r="O624" i="5" l="1"/>
  <c r="Q624" i="5" s="1"/>
  <c r="O625" i="5"/>
  <c r="Q625" i="5" s="1"/>
  <c r="O626" i="5"/>
  <c r="Q626" i="5" s="1"/>
  <c r="O627" i="5"/>
  <c r="Q627" i="5" s="1"/>
  <c r="O628" i="5"/>
  <c r="Q628" i="5" s="1"/>
  <c r="O630" i="5"/>
  <c r="Q630" i="5" s="1"/>
  <c r="O635" i="5"/>
  <c r="Q635" i="5" s="1"/>
  <c r="O636" i="5"/>
  <c r="Q636" i="5" s="1"/>
  <c r="O638" i="5"/>
  <c r="Q638" i="5" s="1"/>
  <c r="O639" i="5"/>
  <c r="Q639" i="5" s="1"/>
  <c r="O640" i="5"/>
  <c r="Q640" i="5" s="1"/>
  <c r="O642" i="5"/>
  <c r="Q642" i="5" s="1"/>
  <c r="O643" i="5"/>
  <c r="Q643" i="5" s="1"/>
  <c r="O646" i="5"/>
  <c r="Q646" i="5" s="1"/>
  <c r="O637" i="5" l="1"/>
  <c r="Q637" i="5" s="1"/>
  <c r="O641" i="5"/>
  <c r="Q641" i="5" s="1"/>
  <c r="O994" i="5" l="1"/>
  <c r="O1003" i="5"/>
  <c r="O1009" i="5"/>
  <c r="O1010" i="5"/>
  <c r="O1011" i="5"/>
  <c r="O1015" i="5"/>
  <c r="O1001" i="5" l="1"/>
  <c r="O1005" i="5"/>
  <c r="O1013" i="5"/>
  <c r="O997" i="5"/>
  <c r="O998" i="5"/>
  <c r="O999" i="5"/>
  <c r="O1000" i="5"/>
  <c r="O1002" i="5"/>
  <c r="O1004" i="5"/>
  <c r="O1006" i="5"/>
  <c r="O1007" i="5"/>
  <c r="O1008" i="5"/>
  <c r="O1014" i="5"/>
  <c r="O1016" i="5"/>
  <c r="O1012" i="5"/>
  <c r="O14" i="5"/>
  <c r="Q14" i="5" s="1"/>
  <c r="O29" i="5"/>
  <c r="Q29" i="5" s="1"/>
  <c r="O36" i="5"/>
  <c r="Q36" i="5" s="1"/>
  <c r="O45" i="5"/>
  <c r="Q45" i="5" s="1"/>
  <c r="O52" i="5"/>
  <c r="Q52" i="5" s="1"/>
  <c r="O60" i="5"/>
  <c r="Q60" i="5" s="1"/>
  <c r="O67" i="5"/>
  <c r="Q67" i="5" s="1"/>
  <c r="O76" i="5"/>
  <c r="Q76" i="5" s="1"/>
  <c r="O85" i="5"/>
  <c r="Q85" i="5" s="1"/>
  <c r="O86" i="5"/>
  <c r="Q86" i="5" s="1"/>
  <c r="O94" i="5"/>
  <c r="Q94" i="5" s="1"/>
  <c r="O96" i="5"/>
  <c r="Q96" i="5" s="1"/>
  <c r="O103" i="5"/>
  <c r="Q103" i="5" s="1"/>
  <c r="O110" i="5"/>
  <c r="Q110" i="5" s="1"/>
  <c r="O117" i="5"/>
  <c r="Q117" i="5" s="1"/>
  <c r="O125" i="5"/>
  <c r="Q125" i="5" s="1"/>
  <c r="O127" i="5"/>
  <c r="Q127" i="5" s="1"/>
  <c r="O130" i="5"/>
  <c r="Q130" i="5" s="1"/>
  <c r="O135" i="5"/>
  <c r="Q135" i="5" s="1"/>
  <c r="O140" i="5"/>
  <c r="Q140" i="5" s="1"/>
  <c r="O145" i="5"/>
  <c r="Q145" i="5" s="1"/>
  <c r="O152" i="5"/>
  <c r="Q152" i="5" s="1"/>
  <c r="O155" i="5"/>
  <c r="Q155" i="5" s="1"/>
  <c r="O157" i="5"/>
  <c r="Q157" i="5" s="1"/>
  <c r="O170" i="5"/>
  <c r="Q170" i="5" s="1"/>
  <c r="O177" i="5"/>
  <c r="Q177" i="5" s="1"/>
  <c r="O185" i="5"/>
  <c r="Q185" i="5" s="1"/>
  <c r="O192" i="5"/>
  <c r="Q192" i="5" s="1"/>
  <c r="O203" i="5"/>
  <c r="Q203" i="5" s="1"/>
  <c r="O204" i="5"/>
  <c r="Q204" i="5" s="1"/>
  <c r="O206" i="5"/>
  <c r="Q206" i="5" s="1"/>
  <c r="O214" i="5"/>
  <c r="Q214" i="5" s="1"/>
  <c r="O219" i="5"/>
  <c r="Q219" i="5" s="1"/>
  <c r="O224" i="5"/>
  <c r="Q224" i="5" s="1"/>
  <c r="O227" i="5"/>
  <c r="Q227" i="5" s="1"/>
  <c r="O229" i="5"/>
  <c r="Q229" i="5" s="1"/>
  <c r="O235" i="5"/>
  <c r="Q235" i="5" s="1"/>
  <c r="O255" i="5"/>
  <c r="Q255" i="5" s="1"/>
  <c r="O263" i="5"/>
  <c r="Q263" i="5" s="1"/>
  <c r="O264" i="5"/>
  <c r="Q264" i="5" s="1"/>
  <c r="O268" i="5"/>
  <c r="Q268" i="5" s="1"/>
  <c r="O272" i="5"/>
  <c r="Q272" i="5" s="1"/>
  <c r="O290" i="5"/>
  <c r="Q290" i="5" s="1"/>
  <c r="O294" i="5"/>
  <c r="Q294" i="5" s="1"/>
  <c r="O297" i="5"/>
  <c r="Q297" i="5" s="1"/>
  <c r="O298" i="5"/>
  <c r="Q298" i="5" s="1"/>
  <c r="O304" i="5"/>
  <c r="Q304" i="5" s="1"/>
  <c r="O307" i="5"/>
  <c r="Q307" i="5" s="1"/>
  <c r="O308" i="5"/>
  <c r="Q308" i="5" s="1"/>
  <c r="O310" i="5"/>
  <c r="Q310" i="5" s="1"/>
  <c r="O311" i="5"/>
  <c r="Q311" i="5" s="1"/>
  <c r="O312" i="5"/>
  <c r="Q312" i="5" s="1"/>
  <c r="O315" i="5"/>
  <c r="Q315" i="5" s="1"/>
  <c r="O316" i="5"/>
  <c r="Q316" i="5" s="1"/>
  <c r="O317" i="5"/>
  <c r="Q317" i="5" s="1"/>
  <c r="O318" i="5"/>
  <c r="Q318" i="5" s="1"/>
  <c r="O319" i="5"/>
  <c r="Q319" i="5" s="1"/>
  <c r="O320" i="5"/>
  <c r="Q320" i="5" s="1"/>
  <c r="O321" i="5"/>
  <c r="Q321" i="5" s="1"/>
  <c r="O169" i="5" l="1"/>
  <c r="Q169" i="5" s="1"/>
  <c r="O289" i="5"/>
  <c r="Q289" i="5" s="1"/>
  <c r="O645" i="5"/>
  <c r="Q645" i="5" s="1"/>
  <c r="O623" i="5"/>
  <c r="Q623" i="5" s="1"/>
  <c r="O634" i="5"/>
  <c r="Q634" i="5" s="1"/>
  <c r="O209" i="5"/>
  <c r="Q209" i="5" s="1"/>
  <c r="O88" i="5"/>
  <c r="Q88" i="5" s="1"/>
  <c r="O293" i="5"/>
  <c r="Q293" i="5" s="1"/>
  <c r="O184" i="5"/>
  <c r="Q184" i="5" s="1"/>
  <c r="O171" i="5"/>
  <c r="Q171" i="5" s="1"/>
  <c r="O189" i="5"/>
  <c r="Q189" i="5" s="1"/>
  <c r="O262" i="5"/>
  <c r="Q262" i="5" s="1"/>
  <c r="O74" i="5"/>
  <c r="Q74" i="5" s="1"/>
  <c r="O128" i="5"/>
  <c r="Q128" i="5" s="1"/>
  <c r="O23" i="5"/>
  <c r="Q23" i="5" s="1"/>
  <c r="O33" i="5"/>
  <c r="Q33" i="5" s="1"/>
  <c r="O38" i="5"/>
  <c r="Q38" i="5" s="1"/>
  <c r="O42" i="5"/>
  <c r="Q42" i="5" s="1"/>
  <c r="O47" i="5"/>
  <c r="Q47" i="5" s="1"/>
  <c r="O51" i="5"/>
  <c r="Q51" i="5" s="1"/>
  <c r="O61" i="5"/>
  <c r="Q61" i="5" s="1"/>
  <c r="O65" i="5"/>
  <c r="Q65" i="5" s="1"/>
  <c r="O70" i="5"/>
  <c r="Q70" i="5" s="1"/>
  <c r="O79" i="5"/>
  <c r="Q79" i="5" s="1"/>
  <c r="O84" i="5"/>
  <c r="Q84" i="5" s="1"/>
  <c r="O90" i="5"/>
  <c r="Q90" i="5" s="1"/>
  <c r="O95" i="5"/>
  <c r="Q95" i="5" s="1"/>
  <c r="O100" i="5"/>
  <c r="Q100" i="5" s="1"/>
  <c r="O105" i="5"/>
  <c r="Q105" i="5" s="1"/>
  <c r="O109" i="5"/>
  <c r="Q109" i="5" s="1"/>
  <c r="O114" i="5"/>
  <c r="Q114" i="5" s="1"/>
  <c r="O119" i="5"/>
  <c r="Q119" i="5" s="1"/>
  <c r="O123" i="5"/>
  <c r="Q123" i="5" s="1"/>
  <c r="O129" i="5"/>
  <c r="Q129" i="5" s="1"/>
  <c r="O134" i="5"/>
  <c r="Q134" i="5" s="1"/>
  <c r="O139" i="5"/>
  <c r="Q139" i="5" s="1"/>
  <c r="O144" i="5"/>
  <c r="Q144" i="5" s="1"/>
  <c r="O149" i="5"/>
  <c r="Q149" i="5" s="1"/>
  <c r="O154" i="5"/>
  <c r="Q154" i="5" s="1"/>
  <c r="O160" i="5"/>
  <c r="Q160" i="5" s="1"/>
  <c r="O174" i="5"/>
  <c r="Q174" i="5" s="1"/>
  <c r="O179" i="5"/>
  <c r="Q179" i="5" s="1"/>
  <c r="O183" i="5"/>
  <c r="Q183" i="5" s="1"/>
  <c r="O188" i="5"/>
  <c r="Q188" i="5" s="1"/>
  <c r="O193" i="5"/>
  <c r="Q193" i="5" s="1"/>
  <c r="Q197" i="5"/>
  <c r="O207" i="5"/>
  <c r="Q207" i="5" s="1"/>
  <c r="O211" i="5"/>
  <c r="Q211" i="5" s="1"/>
  <c r="O218" i="5"/>
  <c r="Q218" i="5" s="1"/>
  <c r="O228" i="5"/>
  <c r="Q228" i="5" s="1"/>
  <c r="O257" i="5"/>
  <c r="Q257" i="5" s="1"/>
  <c r="O261" i="5"/>
  <c r="Q261" i="5" s="1"/>
  <c r="O273" i="5"/>
  <c r="Q273" i="5" s="1"/>
  <c r="O296" i="5"/>
  <c r="Q296" i="5" s="1"/>
  <c r="O301" i="5"/>
  <c r="Q301" i="5" s="1"/>
  <c r="O258" i="5"/>
  <c r="Q258" i="5" s="1"/>
  <c r="O113" i="5"/>
  <c r="Q113" i="5" s="1"/>
  <c r="O101" i="5"/>
  <c r="Q101" i="5" s="1"/>
  <c r="O72" i="5"/>
  <c r="Q72" i="5" s="1"/>
  <c r="O56" i="5"/>
  <c r="Q56" i="5" s="1"/>
  <c r="O28" i="5"/>
  <c r="Q28" i="5" s="1"/>
  <c r="O37" i="5"/>
  <c r="Q37" i="5" s="1"/>
  <c r="O46" i="5"/>
  <c r="Q46" i="5" s="1"/>
  <c r="O55" i="5"/>
  <c r="Q55" i="5" s="1"/>
  <c r="O69" i="5"/>
  <c r="Q69" i="5" s="1"/>
  <c r="O73" i="5"/>
  <c r="Q73" i="5" s="1"/>
  <c r="O83" i="5"/>
  <c r="Q83" i="5" s="1"/>
  <c r="O89" i="5"/>
  <c r="Q89" i="5" s="1"/>
  <c r="O99" i="5"/>
  <c r="Q99" i="5" s="1"/>
  <c r="O104" i="5"/>
  <c r="Q104" i="5" s="1"/>
  <c r="O118" i="5"/>
  <c r="Q118" i="5" s="1"/>
  <c r="O122" i="5"/>
  <c r="Q122" i="5" s="1"/>
  <c r="O138" i="5"/>
  <c r="Q138" i="5" s="1"/>
  <c r="O143" i="5"/>
  <c r="Q143" i="5" s="1"/>
  <c r="O153" i="5"/>
  <c r="Q153" i="5" s="1"/>
  <c r="O159" i="5"/>
  <c r="Q159" i="5" s="1"/>
  <c r="O173" i="5"/>
  <c r="Q173" i="5" s="1"/>
  <c r="O178" i="5"/>
  <c r="Q178" i="5" s="1"/>
  <c r="O187" i="5"/>
  <c r="Q187" i="5" s="1"/>
  <c r="O191" i="5"/>
  <c r="Q191" i="5" s="1"/>
  <c r="O202" i="5"/>
  <c r="Q202" i="5" s="1"/>
  <c r="O226" i="5"/>
  <c r="Q226" i="5" s="1"/>
  <c r="O238" i="5"/>
  <c r="Q238" i="5" s="1"/>
  <c r="O260" i="5"/>
  <c r="Q260" i="5" s="1"/>
  <c r="O195" i="5"/>
  <c r="Q195" i="5" s="1"/>
  <c r="O161" i="5"/>
  <c r="Q161" i="5" s="1"/>
  <c r="O148" i="5"/>
  <c r="Q148" i="5" s="1"/>
  <c r="O133" i="5"/>
  <c r="Q133" i="5" s="1"/>
  <c r="O32" i="5"/>
  <c r="Q32" i="5" s="1"/>
  <c r="O41" i="5"/>
  <c r="Q41" i="5" s="1"/>
  <c r="O50" i="5"/>
  <c r="Q50" i="5" s="1"/>
  <c r="O59" i="5"/>
  <c r="Q59" i="5" s="1"/>
  <c r="O78" i="5"/>
  <c r="Q78" i="5" s="1"/>
  <c r="O93" i="5"/>
  <c r="Q93" i="5" s="1"/>
  <c r="O163" i="5"/>
  <c r="Q163" i="5" s="1"/>
  <c r="O182" i="5"/>
  <c r="Q182" i="5" s="1"/>
  <c r="Q196" i="5"/>
  <c r="O210" i="5"/>
  <c r="Q210" i="5" s="1"/>
  <c r="O256" i="5"/>
  <c r="Q256" i="5" s="1"/>
  <c r="O30" i="5"/>
  <c r="Q30" i="5" s="1"/>
  <c r="O34" i="5"/>
  <c r="Q34" i="5" s="1"/>
  <c r="O39" i="5"/>
  <c r="Q39" i="5" s="1"/>
  <c r="O53" i="5"/>
  <c r="Q53" i="5" s="1"/>
  <c r="O57" i="5"/>
  <c r="Q57" i="5" s="1"/>
  <c r="O62" i="5"/>
  <c r="Q62" i="5" s="1"/>
  <c r="O66" i="5"/>
  <c r="Q66" i="5" s="1"/>
  <c r="O71" i="5"/>
  <c r="Q71" i="5" s="1"/>
  <c r="O75" i="5"/>
  <c r="Q75" i="5" s="1"/>
  <c r="O87" i="5"/>
  <c r="Q87" i="5" s="1"/>
  <c r="O91" i="5"/>
  <c r="Q91" i="5" s="1"/>
  <c r="O97" i="5"/>
  <c r="Q97" i="5" s="1"/>
  <c r="O106" i="5"/>
  <c r="Q106" i="5" s="1"/>
  <c r="O111" i="5"/>
  <c r="Q111" i="5" s="1"/>
  <c r="O115" i="5"/>
  <c r="Q115" i="5" s="1"/>
  <c r="O120" i="5"/>
  <c r="Q120" i="5" s="1"/>
  <c r="O124" i="5"/>
  <c r="Q124" i="5" s="1"/>
  <c r="O131" i="5"/>
  <c r="Q131" i="5" s="1"/>
  <c r="O136" i="5"/>
  <c r="Q136" i="5" s="1"/>
  <c r="O141" i="5"/>
  <c r="Q141" i="5" s="1"/>
  <c r="O146" i="5"/>
  <c r="Q146" i="5" s="1"/>
  <c r="O150" i="5"/>
  <c r="Q150" i="5" s="1"/>
  <c r="O156" i="5"/>
  <c r="Q156" i="5" s="1"/>
  <c r="O175" i="5"/>
  <c r="Q175" i="5" s="1"/>
  <c r="O180" i="5"/>
  <c r="Q180" i="5" s="1"/>
  <c r="O194" i="5"/>
  <c r="Q194" i="5" s="1"/>
  <c r="Q200" i="5"/>
  <c r="O208" i="5"/>
  <c r="Q208" i="5" s="1"/>
  <c r="O212" i="5"/>
  <c r="Q212" i="5" s="1"/>
  <c r="O234" i="5"/>
  <c r="Q234" i="5" s="1"/>
  <c r="O20" i="5"/>
  <c r="Q20" i="5" s="1"/>
  <c r="O31" i="5"/>
  <c r="Q31" i="5" s="1"/>
  <c r="O40" i="5"/>
  <c r="Q40" i="5" s="1"/>
  <c r="O44" i="5"/>
  <c r="Q44" i="5" s="1"/>
  <c r="O49" i="5"/>
  <c r="Q49" i="5" s="1"/>
  <c r="O54" i="5"/>
  <c r="Q54" i="5" s="1"/>
  <c r="O58" i="5"/>
  <c r="Q58" i="5" s="1"/>
  <c r="O63" i="5"/>
  <c r="Q63" i="5" s="1"/>
  <c r="O68" i="5"/>
  <c r="Q68" i="5" s="1"/>
  <c r="O77" i="5"/>
  <c r="Q77" i="5" s="1"/>
  <c r="O81" i="5"/>
  <c r="Q81" i="5" s="1"/>
  <c r="O92" i="5"/>
  <c r="Q92" i="5" s="1"/>
  <c r="O98" i="5"/>
  <c r="Q98" i="5" s="1"/>
  <c r="O102" i="5"/>
  <c r="Q102" i="5" s="1"/>
  <c r="O107" i="5"/>
  <c r="Q107" i="5" s="1"/>
  <c r="O112" i="5"/>
  <c r="Q112" i="5" s="1"/>
  <c r="O116" i="5"/>
  <c r="Q116" i="5" s="1"/>
  <c r="O126" i="5"/>
  <c r="Q126" i="5" s="1"/>
  <c r="O132" i="5"/>
  <c r="Q132" i="5" s="1"/>
  <c r="O137" i="5"/>
  <c r="Q137" i="5" s="1"/>
  <c r="O142" i="5"/>
  <c r="Q142" i="5" s="1"/>
  <c r="O147" i="5"/>
  <c r="Q147" i="5" s="1"/>
  <c r="O151" i="5"/>
  <c r="Q151" i="5" s="1"/>
  <c r="O158" i="5"/>
  <c r="Q158" i="5" s="1"/>
  <c r="O162" i="5"/>
  <c r="Q162" i="5" s="1"/>
  <c r="O172" i="5"/>
  <c r="Q172" i="5" s="1"/>
  <c r="O176" i="5"/>
  <c r="Q176" i="5" s="1"/>
  <c r="O181" i="5"/>
  <c r="Q181" i="5" s="1"/>
  <c r="O186" i="5"/>
  <c r="Q186" i="5" s="1"/>
  <c r="O190" i="5"/>
  <c r="Q190" i="5" s="1"/>
  <c r="O259" i="5"/>
  <c r="Q259" i="5" s="1"/>
  <c r="O267" i="5"/>
  <c r="Q267" i="5" s="1"/>
  <c r="O270" i="5"/>
  <c r="Q270" i="5" s="1"/>
  <c r="O223" i="5"/>
  <c r="Q223" i="5" s="1"/>
  <c r="O213" i="5"/>
  <c r="Q213" i="5" s="1"/>
  <c r="O121" i="5"/>
  <c r="Q121" i="5" s="1"/>
  <c r="O108" i="5"/>
  <c r="Q108" i="5" s="1"/>
  <c r="O80" i="5"/>
  <c r="Q80" i="5" s="1"/>
  <c r="O64" i="5"/>
  <c r="Q64" i="5" s="1"/>
  <c r="O48" i="5"/>
  <c r="Q48" i="5" s="1"/>
  <c r="O35" i="5"/>
  <c r="Q35" i="5" s="1"/>
  <c r="O25" i="5"/>
  <c r="Q25" i="5" s="1"/>
  <c r="O21" i="5"/>
  <c r="Q21" i="5" s="1"/>
  <c r="O15" i="5"/>
  <c r="Q15" i="5" s="1"/>
  <c r="O24" i="5"/>
  <c r="Q24" i="5" s="1"/>
  <c r="O16" i="5"/>
  <c r="Q16" i="5" s="1"/>
  <c r="O19" i="5"/>
  <c r="Q19" i="5" s="1"/>
  <c r="O168" i="5" l="1"/>
  <c r="Q168" i="5" s="1"/>
  <c r="O43" i="5"/>
  <c r="Q43" i="5" s="1"/>
  <c r="O27" i="5"/>
  <c r="Q27" i="5" s="1"/>
  <c r="O644" i="5"/>
  <c r="Q644" i="5" s="1"/>
  <c r="O237" i="5"/>
  <c r="Q237" i="5" s="1"/>
  <c r="O217" i="5"/>
  <c r="Q217" i="5" s="1"/>
  <c r="O633" i="5"/>
  <c r="Q633" i="5" s="1"/>
  <c r="O300" i="5"/>
  <c r="Q300" i="5" s="1"/>
  <c r="O280" i="5"/>
  <c r="Q280" i="5" s="1"/>
  <c r="O254" i="5"/>
  <c r="Q254" i="5" s="1"/>
  <c r="O18" i="5"/>
  <c r="Q18" i="5" s="1"/>
  <c r="O266" i="5"/>
  <c r="Q266" i="5" s="1"/>
  <c r="O201" i="5"/>
  <c r="Q201" i="5" s="1"/>
  <c r="O269" i="5"/>
  <c r="Q269" i="5" s="1"/>
  <c r="O295" i="5"/>
  <c r="Q295" i="5" s="1"/>
  <c r="O275" i="5"/>
  <c r="Q275" i="5" s="1"/>
  <c r="O292" i="5"/>
  <c r="Q292" i="5" s="1"/>
  <c r="O277" i="5"/>
  <c r="Q277" i="5" s="1"/>
  <c r="O205" i="5"/>
  <c r="Q205" i="5" s="1"/>
  <c r="O233" i="5"/>
  <c r="Q233" i="5" s="1"/>
  <c r="O283" i="5"/>
  <c r="Q283" i="5" s="1"/>
  <c r="O225" i="5"/>
  <c r="Q225" i="5" s="1"/>
  <c r="O222" i="5"/>
  <c r="Q222" i="5" s="1"/>
  <c r="O306" i="5"/>
  <c r="Q306" i="5" s="1"/>
  <c r="O22" i="5"/>
  <c r="Q22" i="5" s="1"/>
  <c r="G767" i="5" l="1"/>
  <c r="O253" i="5"/>
  <c r="Q253" i="5" s="1"/>
  <c r="O632" i="5"/>
  <c r="Q632" i="5" s="1"/>
  <c r="O26" i="5"/>
  <c r="Q26" i="5" s="1"/>
  <c r="O299" i="5"/>
  <c r="Q299" i="5" s="1"/>
  <c r="O216" i="5"/>
  <c r="Q216" i="5" s="1"/>
  <c r="O305" i="5"/>
  <c r="Q305" i="5" s="1"/>
  <c r="O282" i="5"/>
  <c r="Q282" i="5" s="1"/>
  <c r="O232" i="5"/>
  <c r="Q232" i="5" s="1"/>
  <c r="O265" i="5"/>
  <c r="Q265" i="5" s="1"/>
  <c r="O276" i="5"/>
  <c r="Q276" i="5" s="1"/>
  <c r="O17" i="5"/>
  <c r="Q17" i="5" s="1"/>
  <c r="O278" i="5" l="1"/>
  <c r="Q278" i="5" s="1"/>
  <c r="O13" i="5"/>
  <c r="Q13" i="5" s="1"/>
  <c r="O231" i="5"/>
  <c r="Q231" i="5" s="1"/>
  <c r="O279" i="5" l="1"/>
  <c r="Q279" i="5" s="1"/>
  <c r="O230" i="5"/>
  <c r="Q230" i="5" s="1"/>
  <c r="O274" i="5" l="1"/>
  <c r="Q274" i="5" s="1"/>
  <c r="O215" i="5"/>
  <c r="Q215" i="5" s="1"/>
  <c r="O164" i="5" l="1"/>
  <c r="Q164" i="5" s="1"/>
  <c r="O12" i="5" l="1"/>
  <c r="Q12" i="5" s="1"/>
  <c r="O991" i="5" l="1"/>
  <c r="C992" i="5" l="1"/>
  <c r="D992" i="5"/>
  <c r="E992" i="5"/>
  <c r="F992" i="5"/>
  <c r="G992" i="5"/>
  <c r="H992" i="5"/>
  <c r="I992" i="5"/>
  <c r="J992" i="5"/>
  <c r="K992" i="5"/>
  <c r="L992" i="5"/>
  <c r="M992" i="5"/>
  <c r="N992" i="5"/>
  <c r="O992" i="5" l="1"/>
  <c r="C1017" i="5" l="1"/>
  <c r="H1017" i="5" l="1"/>
  <c r="H1018" i="5" s="1"/>
  <c r="M1017" i="5"/>
  <c r="M1018" i="5" s="1"/>
  <c r="L1017" i="5"/>
  <c r="L1018" i="5" s="1"/>
  <c r="F1017" i="5"/>
  <c r="F1018" i="5" s="1"/>
  <c r="K1017" i="5"/>
  <c r="K1018" i="5" s="1"/>
  <c r="G1017" i="5"/>
  <c r="G1018" i="5" s="1"/>
  <c r="E1017" i="5"/>
  <c r="E1018" i="5" s="1"/>
  <c r="I1017" i="5"/>
  <c r="I1018" i="5" s="1"/>
  <c r="J1017" i="5"/>
  <c r="J1018" i="5" s="1"/>
  <c r="N1017" i="5" l="1"/>
  <c r="N1018" i="5" s="1"/>
  <c r="O996" i="5"/>
  <c r="O995" i="5" l="1"/>
  <c r="D1017" i="5"/>
  <c r="D1018" i="5" l="1"/>
  <c r="O1017" i="5"/>
  <c r="O631" i="5" l="1"/>
  <c r="Q631" i="5" s="1"/>
  <c r="O281" i="5" l="1"/>
  <c r="Q281" i="5" s="1"/>
  <c r="O11" i="5" l="1"/>
  <c r="Q11" i="5" s="1"/>
  <c r="C1018" i="5"/>
  <c r="O765" i="5" l="1"/>
  <c r="O1018" i="5" s="1"/>
  <c r="AB85" i="432" l="1"/>
  <c r="AC85" i="432" s="1"/>
  <c r="AA81" i="432"/>
  <c r="AB81" i="432" s="1"/>
  <c r="AC81" i="432" s="1"/>
  <c r="AA85" i="432"/>
  <c r="AA83" i="432"/>
  <c r="AB83" i="432" s="1"/>
  <c r="AC83" i="432" s="1"/>
  <c r="AA80" i="432"/>
  <c r="AB80" i="432" s="1"/>
  <c r="AC80" i="432" s="1"/>
  <c r="AA84" i="432"/>
  <c r="AB84" i="432" s="1"/>
  <c r="AC84" i="432" s="1"/>
  <c r="AA86" i="432"/>
  <c r="AB86" i="432" s="1"/>
  <c r="AC86" i="432" s="1"/>
  <c r="S79" i="432"/>
  <c r="S30" i="432" s="1"/>
  <c r="AA79" i="432"/>
  <c r="AB79" i="432" s="1"/>
  <c r="AC79" i="432" s="1"/>
  <c r="AA30" i="432" l="1"/>
  <c r="AB30" i="432" s="1"/>
  <c r="AC30" i="432" s="1"/>
  <c r="S13" i="432"/>
  <c r="S12" i="432" l="1"/>
  <c r="AA13" i="432"/>
  <c r="AB13" i="432" s="1"/>
  <c r="AC13" i="432" s="1"/>
  <c r="AA12" i="432" l="1"/>
  <c r="AB12" i="432" s="1"/>
  <c r="AC12" i="432" s="1"/>
  <c r="S11" i="432"/>
  <c r="S765" i="432" l="1"/>
  <c r="AA11" i="432"/>
  <c r="S1018" i="432" l="1"/>
  <c r="AB11" i="432"/>
  <c r="AA765" i="432"/>
  <c r="AA1018" i="432" s="1"/>
  <c r="AB765" i="432" l="1"/>
  <c r="AC11" i="432"/>
  <c r="AC765" i="432" l="1"/>
  <c r="AB1018" i="432"/>
  <c r="AC1018" i="432" s="1"/>
</calcChain>
</file>

<file path=xl/comments1.xml><?xml version="1.0" encoding="utf-8"?>
<comments xmlns="http://schemas.openxmlformats.org/spreadsheetml/2006/main">
  <authors>
    <author>Jose Luna Duran</author>
  </authors>
  <commentList>
    <comment ref="Y116" authorId="0" shapeId="0">
      <text>
        <r>
          <rPr>
            <b/>
            <sz val="9"/>
            <color indexed="81"/>
            <rFont val="Tahoma"/>
            <family val="2"/>
          </rPr>
          <t>En el mes de marzo se presenta un ajuste por valor de -$364.560.236 
En el mes de mayo se presenta una ajuste por valor de -$161.852.959 debido a que se recaudo es este $674.934.085 y se realizaron devoluciones por valor de $835.673.163 y $1.113.881 ($836.787.044)</t>
        </r>
      </text>
    </comment>
    <comment ref="F204" authorId="0" shapeId="0">
      <text>
        <r>
          <rPr>
            <b/>
            <sz val="9"/>
            <color indexed="81"/>
            <rFont val="Tahoma"/>
            <family val="2"/>
          </rPr>
          <t>DEC 0857 DE 28 DE DICIEMBRE DE 2020 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Jose Luna Duran</author>
    <author>USUARIO</author>
  </authors>
  <commentList>
    <comment ref="F271" authorId="0" shapeId="0">
      <text>
        <r>
          <rPr>
            <b/>
            <sz val="9"/>
            <color indexed="81"/>
            <rFont val="Tahoma"/>
            <family val="2"/>
          </rPr>
          <t>ORDENANZA NO 06 DEL 13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09" authorId="0" shapeId="0">
      <text>
        <r>
          <rPr>
            <b/>
            <sz val="9"/>
            <color indexed="81"/>
            <rFont val="Tahoma"/>
            <family val="2"/>
          </rPr>
          <t>ORDENANZA NO 06 DEL 13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27" authorId="0" shapeId="0">
      <text>
        <r>
          <rPr>
            <b/>
            <sz val="9"/>
            <color indexed="81"/>
            <rFont val="Tahoma"/>
            <family val="2"/>
          </rPr>
          <t>ORDENANZA NO 020 DE JUNIO 03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28" authorId="0" shapeId="0">
      <text>
        <r>
          <rPr>
            <b/>
            <sz val="9"/>
            <color indexed="81"/>
            <rFont val="Tahoma"/>
            <family val="2"/>
          </rPr>
          <t>ORDENANZA NO 020 DE JUNIO 03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32" authorId="0" shapeId="0">
      <text>
        <r>
          <rPr>
            <b/>
            <sz val="9"/>
            <color indexed="81"/>
            <rFont val="Tahoma"/>
            <family val="2"/>
          </rPr>
          <t>DECRETO 180 DEL 19 DE ABRIL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33" authorId="0" shapeId="0">
      <text>
        <r>
          <rPr>
            <b/>
            <sz val="9"/>
            <color indexed="81"/>
            <rFont val="Tahoma"/>
            <family val="2"/>
          </rPr>
          <t>DECRETO 180 DEL 19 DE ABRIL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34" authorId="0" shapeId="0">
      <text>
        <r>
          <rPr>
            <b/>
            <sz val="9"/>
            <color indexed="81"/>
            <rFont val="Tahoma"/>
            <family val="2"/>
          </rPr>
          <t>DECRETO 234 DEL 19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3" authorId="0" shapeId="0">
      <text>
        <r>
          <rPr>
            <b/>
            <sz val="9"/>
            <color indexed="81"/>
            <rFont val="Tahoma"/>
            <family val="2"/>
          </rPr>
          <t>DECRETO 031 DEL 15 DE ENERO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4" authorId="0" shapeId="0">
      <text>
        <r>
          <rPr>
            <b/>
            <sz val="9"/>
            <color indexed="81"/>
            <rFont val="Tahoma"/>
            <family val="2"/>
          </rPr>
          <t>DECRETO 031 DEL 15 DE ENERO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" authorId="0" shapeId="0">
      <text>
        <r>
          <rPr>
            <b/>
            <sz val="9"/>
            <color indexed="81"/>
            <rFont val="Tahoma"/>
            <family val="2"/>
          </rPr>
          <t>DECRETO 031 DEL 15 DE ENERO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8" authorId="0" shapeId="0">
      <text>
        <r>
          <rPr>
            <b/>
            <sz val="9"/>
            <color indexed="81"/>
            <rFont val="Tahoma"/>
            <family val="2"/>
          </rPr>
          <t>DECRETO 031 DEL 15 DE ENERO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5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51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53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5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5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5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5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5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6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7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9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02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05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07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08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09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10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11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12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1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15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1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1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1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1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5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6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7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3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8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1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9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0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1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1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1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1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1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2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2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2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2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2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3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3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3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3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3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4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4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4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46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48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0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7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59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62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64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65" authorId="1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76" authorId="0" shapeId="0">
      <text>
        <r>
          <rPr>
            <b/>
            <sz val="9"/>
            <color indexed="81"/>
            <rFont val="Tahoma"/>
            <family val="2"/>
          </rPr>
          <t>ORDENANZA NO 020 DE JUNIO 03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8" authorId="0" shapeId="0">
      <text>
        <r>
          <rPr>
            <b/>
            <sz val="9"/>
            <color indexed="81"/>
            <rFont val="Tahoma"/>
            <family val="2"/>
          </rPr>
          <t>ORDENANZA NO 06 DEL 13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0" authorId="0" shapeId="0">
      <text>
        <r>
          <rPr>
            <b/>
            <sz val="9"/>
            <color indexed="81"/>
            <rFont val="Tahoma"/>
            <family val="2"/>
          </rPr>
          <t>ORDENANZA NO 06 DEL 13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0" authorId="0" shapeId="0">
      <text>
        <r>
          <rPr>
            <b/>
            <sz val="9"/>
            <color indexed="81"/>
            <rFont val="Tahoma"/>
            <family val="2"/>
          </rPr>
          <t>ORDENANZA NO 06 DEL 13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53" authorId="0" shapeId="0">
      <text>
        <r>
          <rPr>
            <b/>
            <sz val="9"/>
            <color indexed="81"/>
            <rFont val="Tahoma"/>
            <family val="2"/>
          </rPr>
          <t>DECRETO 281 DEL 21 DE JUNIO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54" authorId="0" shapeId="0">
      <text>
        <r>
          <rPr>
            <b/>
            <sz val="9"/>
            <color indexed="81"/>
            <rFont val="Tahoma"/>
            <family val="2"/>
          </rPr>
          <t>DECRETO 314 DEL 13 DE JULIO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57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58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59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0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2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3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4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5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6" authorId="1" shapeId="0">
      <text>
        <r>
          <rPr>
            <b/>
            <sz val="9"/>
            <color indexed="81"/>
            <rFont val="Tahoma"/>
            <family val="2"/>
          </rPr>
          <t>DECRETO 208 DEL 06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7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7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7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7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8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8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8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8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8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9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9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9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9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9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0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0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03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0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0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0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1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1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3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7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29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1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3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7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39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1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3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7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49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1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3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5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6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7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8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59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60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61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62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63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64" authorId="1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5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88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1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0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51" authorId="0" shapeId="0">
      <text>
        <r>
          <rPr>
            <b/>
            <sz val="9"/>
            <color indexed="81"/>
            <rFont val="Tahoma"/>
            <family val="2"/>
          </rPr>
          <t>ORDENANZA 022 DEL 03 DE JUNIO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" authorId="0" shapeId="0">
      <text>
        <r>
          <rPr>
            <b/>
            <sz val="9"/>
            <color indexed="81"/>
            <rFont val="Tahoma"/>
            <family val="2"/>
          </rPr>
          <t>ORDENANZA Nº 08 DEL 23 DE ABRIL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71" authorId="0" shapeId="0">
      <text>
        <r>
          <rPr>
            <b/>
            <sz val="9"/>
            <color indexed="81"/>
            <rFont val="Tahoma"/>
            <family val="2"/>
          </rPr>
          <t>ORDENANZA 022 DEL 03 DE JUNIO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2" authorId="0" shapeId="0">
      <text>
        <r>
          <rPr>
            <b/>
            <sz val="9"/>
            <color indexed="81"/>
            <rFont val="Tahoma"/>
            <family val="2"/>
          </rPr>
          <t>DECRETO 180 DEL 19 DE ABRIL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03" authorId="0" shapeId="0">
      <text>
        <r>
          <rPr>
            <b/>
            <sz val="9"/>
            <color indexed="81"/>
            <rFont val="Tahoma"/>
            <family val="2"/>
          </rPr>
          <t>DECRETO 234 DEL 19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1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1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1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18" authorId="0" shapeId="0">
      <text>
        <r>
          <rPr>
            <b/>
            <sz val="9"/>
            <color indexed="81"/>
            <rFont val="Tahoma"/>
            <family val="2"/>
          </rPr>
          <t>ORDENANZA 02 DEL 03 DE MARZO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1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2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2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2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2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2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2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2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2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2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2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3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3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3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3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3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3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3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3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3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3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3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4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5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6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7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8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9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0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1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2" authorId="0" shapeId="0">
      <text>
        <r>
          <rPr>
            <b/>
            <sz val="9"/>
            <color indexed="81"/>
            <rFont val="Tahoma"/>
            <family val="2"/>
          </rPr>
          <t>ORDENANZA 010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9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0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1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2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3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4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5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6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7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8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9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0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1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2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3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4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5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6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7" authorId="0" shapeId="0">
      <text>
        <r>
          <rPr>
            <b/>
            <sz val="9"/>
            <color indexed="81"/>
            <rFont val="Tahoma"/>
            <family val="2"/>
          </rPr>
          <t>ORDENANZA 09 DEL 04 DE MAYO DEL 2021 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RESOLUCION NO 01 DE FEBRERO 10 DE 2021 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Jose Luna Duran</author>
  </authors>
  <commentList>
    <comment ref="Y116" authorId="0" shapeId="0">
      <text>
        <r>
          <rPr>
            <b/>
            <sz val="9"/>
            <color indexed="81"/>
            <rFont val="Tahoma"/>
            <family val="2"/>
          </rPr>
          <t>En el mes de marzo se presenta un ajuste por valor de -$364.560.236 
En el mes de mayo se presenta una ajuste por valor de -$161.852.959 debido a que se recaudo es este $674.934.085 y se realizaron devoluciones por valor de $835.673.163 y $1.113.881 ($836.787.044)</t>
        </r>
      </text>
    </comment>
    <comment ref="F204" authorId="0" shapeId="0">
      <text>
        <r>
          <rPr>
            <b/>
            <sz val="9"/>
            <color indexed="81"/>
            <rFont val="Tahoma"/>
            <family val="2"/>
          </rPr>
          <t>DEC 0857 DE 28 DE DICIEMBRE DE 2020 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<sst xmlns="http://schemas.openxmlformats.org/spreadsheetml/2006/main" count="6389" uniqueCount="1893">
  <si>
    <t xml:space="preserve">     PRESUPUESTO DE INGRESOS</t>
  </si>
  <si>
    <t>APROPIACION</t>
  </si>
  <si>
    <t>ADICIONES</t>
  </si>
  <si>
    <t>PRESUPUESTO</t>
  </si>
  <si>
    <t>ENERO</t>
  </si>
  <si>
    <t>FEBRERO</t>
  </si>
  <si>
    <t xml:space="preserve">MARZO </t>
  </si>
  <si>
    <t>ABRIL</t>
  </si>
  <si>
    <t>MAYO</t>
  </si>
  <si>
    <t>JUNIO</t>
  </si>
  <si>
    <t>SUBTOTAL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</si>
  <si>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</si>
  <si>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</si>
  <si>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</si>
  <si>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</si>
  <si>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</si>
  <si>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</si>
  <si>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</si>
  <si>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%</t>
  </si>
  <si>
    <t>INICIAL</t>
  </si>
  <si>
    <t>DEFINITIVO</t>
  </si>
  <si>
    <t>FONDO SECCIONAL DE SALUD</t>
  </si>
  <si>
    <t xml:space="preserve">TOTAL FONDO SALUD </t>
  </si>
  <si>
    <t>EJEC.</t>
  </si>
  <si>
    <t>FUENTES</t>
  </si>
  <si>
    <t xml:space="preserve">TOTAL FONDO EDUCACION  </t>
  </si>
  <si>
    <t>RECAUDADO</t>
  </si>
  <si>
    <t xml:space="preserve">CREDITO </t>
  </si>
  <si>
    <t xml:space="preserve">CONTRACREDITO </t>
  </si>
  <si>
    <t>1er  SEMEST</t>
  </si>
  <si>
    <t>2do  SEMESTR</t>
  </si>
  <si>
    <t xml:space="preserve">FONDO EDUCACION </t>
  </si>
  <si>
    <t>PROCULTURA</t>
  </si>
  <si>
    <t>PRODESARROLLO</t>
  </si>
  <si>
    <t>PROREFORESTACION</t>
  </si>
  <si>
    <t>NUMERO</t>
  </si>
  <si>
    <t>ESTAMPILLAS</t>
  </si>
  <si>
    <t xml:space="preserve">PROELECTRIFICACION </t>
  </si>
  <si>
    <t>APLAZAMIENTO</t>
  </si>
  <si>
    <t xml:space="preserve">JUNIO </t>
  </si>
  <si>
    <t>CODIGO</t>
  </si>
  <si>
    <t>Recursos destinados a cubrir reservas presupuestales vigencia anterior</t>
  </si>
  <si>
    <t xml:space="preserve">Reservas presupuestales vigencia anterior  Administración Central </t>
  </si>
  <si>
    <t>Ingresos Corrientes de Libre Destinación</t>
  </si>
  <si>
    <t>SUBCUENTA DE SALUD PUBLICA COLECTIVA</t>
  </si>
  <si>
    <t>Sistema General de Participaciones</t>
  </si>
  <si>
    <t>SUBCUENTA DE PRESTACION DE SERVICIOS DE SALUD EN LO NO CUBIERTO POR SUBSIDIOS A LA DEMANDA</t>
  </si>
  <si>
    <t>SUBCUENTA OTROS GASTOS EN SALUD FUNCIONAMIENTO</t>
  </si>
  <si>
    <t>TOTAL PRESUPUESTO DE INGRESOS</t>
  </si>
  <si>
    <t xml:space="preserve">TOTAL ADMINISTRACION  CENTRAL </t>
  </si>
  <si>
    <t>AJUSTES</t>
  </si>
  <si>
    <t>RECONOCIMIENTO</t>
  </si>
  <si>
    <t xml:space="preserve">LIBERACION </t>
  </si>
  <si>
    <t xml:space="preserve">FELIX EDUARDO RAMIREZ RESTREPO </t>
  </si>
  <si>
    <t>RECURSOS DE COFINANCIACION</t>
  </si>
  <si>
    <t>ICLD Rec.Bce</t>
  </si>
  <si>
    <t>Procultura   Rec.Bce</t>
  </si>
  <si>
    <t>Pro-Electrificacion Rec.Bce</t>
  </si>
  <si>
    <t>Prodesarrollo 25% Inf. Deportiva Rec.Bce</t>
  </si>
  <si>
    <t xml:space="preserve">Prodesarrollo 25% Inf. Educativa Rec. Bce </t>
  </si>
  <si>
    <t>Prodesarrollo 50% Saneamiento Basico Rec.Bce</t>
  </si>
  <si>
    <t>Proreforestación Rec.Bce</t>
  </si>
  <si>
    <t>CONTRIBUCION SOBRE CONTRATO DE OBRA PUBLICA</t>
  </si>
  <si>
    <t>REGALIAS Y COMPENSACIONES  PETROLERAS</t>
  </si>
  <si>
    <t xml:space="preserve">Margen de Comercializacion Rec.Bce </t>
  </si>
  <si>
    <t xml:space="preserve">OTROS INGRESOS </t>
  </si>
  <si>
    <t>RENDIMIENTOS ESTAMPILLAS</t>
  </si>
  <si>
    <t>Rendimientos Prodesarrollo 25%  Inf. Educativa Rec.Bce</t>
  </si>
  <si>
    <t>Rendimientos Prodesarrollo 25% Inf. Deportiva Rec.Bce</t>
  </si>
  <si>
    <t>RENDIMIENTOS ICLD</t>
  </si>
  <si>
    <t>Rendimientos ICLD Rec.Bce</t>
  </si>
  <si>
    <t>RENDIMIENTOS ACPM</t>
  </si>
  <si>
    <t>Rendimientos ACPM Rec Bce</t>
  </si>
  <si>
    <t>SOBRETASA AL ACPM</t>
  </si>
  <si>
    <t>Sobre Tasa ACPM Rec.Bce</t>
  </si>
  <si>
    <t>SGP-Agua Potable y Saneamiento Basico</t>
  </si>
  <si>
    <t xml:space="preserve">RECURSOS DESTINADOS A CUBRIR RESERVAS PRESUPUESALES </t>
  </si>
  <si>
    <t>RESERVAS PRESUPUESTALES FONDO SECCIONAL DE SALUD</t>
  </si>
  <si>
    <t xml:space="preserve">SUBCUENTA OTROS GASTOS EN SALUD INVERSION </t>
  </si>
  <si>
    <t>MEJORAMIENTO DE LA CALIDAD EN LA ATENCION EN SALUD</t>
  </si>
  <si>
    <t xml:space="preserve">RESERVA PRESUPUESTAL ADMINISTRACION CENTRAL </t>
  </si>
  <si>
    <t xml:space="preserve">RESERVA PRESUPUESTAL  FONDO SECCIONAL SALUD </t>
  </si>
  <si>
    <t xml:space="preserve">TOTAL  RESERVA PRESUPUESTAL ADMINISTRACION CENTRAL </t>
  </si>
  <si>
    <t xml:space="preserve">DIRECTOR TECNICO  DE PRESUPUESTO </t>
  </si>
  <si>
    <t>INGRESOS CORRIENTES </t>
  </si>
  <si>
    <t>INGRESOS DE CAPITAL </t>
  </si>
  <si>
    <t>Rendimientos I.C.L.D </t>
  </si>
  <si>
    <t>Rendimientos por A.C.P.M. </t>
  </si>
  <si>
    <t>Rendimientos Procultura - Inversion </t>
  </si>
  <si>
    <t>Rendimientos Procultura -PENSIONES 20% </t>
  </si>
  <si>
    <t>Rendimientos Pro-Cultura - Seguridad Social del creador y gestor </t>
  </si>
  <si>
    <t>Rendimientos Prodesarrollo 50% Saneamiento Basico </t>
  </si>
  <si>
    <t>Rendimientos Prodesarrollo 25% Infraest. Deportiva </t>
  </si>
  <si>
    <t>Rendimientos Prodesarrollo 25% Infraest. Educativa </t>
  </si>
  <si>
    <t>Rendimientos Prodesarrollo PENSIONES 20% </t>
  </si>
  <si>
    <t>Rendimientos Proelectrificacion - Inversion </t>
  </si>
  <si>
    <t>Rendimientos Proelectrificacion - PENSIONES 20% </t>
  </si>
  <si>
    <t>Rendimientos Pro-UIS - Educacion 75% uis </t>
  </si>
  <si>
    <t>Rendimientos Pro-UIS - Educacion 15% uts </t>
  </si>
  <si>
    <t>Rendimientos Pro-UIS - Educacion 10% unipaz </t>
  </si>
  <si>
    <t>Rendimientos Pro-UIS - PENSIONES 20% (15% uts) </t>
  </si>
  <si>
    <t>Rendimientos Pro-UIS-PENSIONES 20% (10% unipaz) </t>
  </si>
  <si>
    <t>Rendimientos Para el Bienestar del Adulto Mayor - Inversion </t>
  </si>
  <si>
    <t>ESSA </t>
  </si>
  <si>
    <t>VENTA DE BIENES Y SERVICIOS </t>
  </si>
  <si>
    <t>Credencial Expendedor de Medicamentos </t>
  </si>
  <si>
    <t>Recetarios Oficiales </t>
  </si>
  <si>
    <t>Venta y Distribucion Sometidos a Fiscalizacion y Monopolio </t>
  </si>
  <si>
    <t>RECURSOS DEL BALANCE </t>
  </si>
  <si>
    <t>Monopolio de Licores 51%</t>
  </si>
  <si>
    <t>RENDIMIENTOS PRODESARROLLO 50% SANEAMIENTO BASICO REC.BCE </t>
  </si>
  <si>
    <t>CONTRIBUCION SOBRE CTO DE OBRA PUBLICA POLICIA NACIONAL DTO 066/2012 REC.BCE </t>
  </si>
  <si>
    <t>UTILIDADES DE EMPRESAS ESSA </t>
  </si>
  <si>
    <t xml:space="preserve">TOTAL PRESUPUESTO DE INGRESOS RESERVA PPTAL </t>
  </si>
  <si>
    <t>INGRESOS TOTALES </t>
  </si>
  <si>
    <t>CONTRIBUCION SOBRE CTO DE OBRA PUBLICA EJERCITO NACIONAL REC BCE </t>
  </si>
  <si>
    <t xml:space="preserve">SGP AGUA POTABLE SANEAMIENTO BASICO </t>
  </si>
  <si>
    <t>RENDIMIENTOS PRO-ELECTRIFICACION INVERSION </t>
  </si>
  <si>
    <t>SGP-OFERTA </t>
  </si>
  <si>
    <t>CONTRIBUCION SOBRE CTO DE OBRA PUBLICA FONDO SEGURIDAD CIUDADANA REC.BCE </t>
  </si>
  <si>
    <t>IMPUESTO AL CONSUMO TELEFONIA MOVIL </t>
  </si>
  <si>
    <t>FONDO TABACALERO  REC. BCE</t>
  </si>
  <si>
    <t>ICLD DERECHO DE EXPLOTACION DE MONOPOLIOS DE LICORES </t>
  </si>
  <si>
    <t>REINTEGRO RESERVA DE JUBILADOS (MHCP) CON SITUACION DE FONDOS REC BCE </t>
  </si>
  <si>
    <t>INGRESOS TRIBUTARIOS </t>
  </si>
  <si>
    <t>Registro y Anotación - Libre destinacion Administracion Central </t>
  </si>
  <si>
    <t>Registro y Anotación - FONPET 10% </t>
  </si>
  <si>
    <t>Registro y Anotación - FONPET 20% </t>
  </si>
  <si>
    <t>Registro y Anotación -Fondo de Paz </t>
  </si>
  <si>
    <t>Registro y Anotación - Patrimonio Autonomo </t>
  </si>
  <si>
    <t>Registro y Anotación - 1% I.C.L.D. (Areas de Interes Ambiental Ley 1450/2011 ART. 210) </t>
  </si>
  <si>
    <t>Impuesto al Consumo de Licores de Libre Destinacion de Produccion Nacional Administracion Central </t>
  </si>
  <si>
    <t>Impuesto al Consumo de Licores Nacionales - Fondo de Paz </t>
  </si>
  <si>
    <t>Impuesto al Consumo de Licores Nacionales - FONPET </t>
  </si>
  <si>
    <t>Impuesto al Consumo de Licores Nacionales - Patrimonio Autonomo </t>
  </si>
  <si>
    <t>Impuesto al Consumo de Licores Nacionales - 1% I.C.L.D. (Areas de Interes Ambiental Ley 1450/2011 ART. 210) </t>
  </si>
  <si>
    <t>Impuesto al Consumo de Licores Extranjeros - Libre Destinacion Administracion Central </t>
  </si>
  <si>
    <t>Impuesto al Consumo de Licores Extranjeros - Fondo de Paz </t>
  </si>
  <si>
    <t>Impuesto al Consumo de Licores Extranjeros - FONPET </t>
  </si>
  <si>
    <t>Impuesto al Consumo de Licores Extranjeros - Patrimonio Autonomo </t>
  </si>
  <si>
    <t>Impuesto al Consumo de Licores Extranjeros - 1% I.C.L.D. (Areas de Interes Ambiental Ley 1450/2011 ART. 210) </t>
  </si>
  <si>
    <t>Impuesto al Consumo de vinos, aperitivos y similares Nacionales - Libre Destinacion Administracion Central </t>
  </si>
  <si>
    <t>Impuesto al Consumo de vinos, aperitivos y similares Nacionales - Fondo de Paz </t>
  </si>
  <si>
    <t>Impuesto al Consumo de vinos, aperitivos y similares Nacionales - FONPET </t>
  </si>
  <si>
    <t>Impuesto al Consumo de vinos, aperitivos y similares Nacionales - Patrimonio Autonomo </t>
  </si>
  <si>
    <t>Impuesto al Consumo de vinos, aperitivos y similares Nacionales - 1% I.C.L.D. (Areas de Interes Ambiental Ley 1450/2011 ART. 210) </t>
  </si>
  <si>
    <t>Impuesto al Consumo de vinos, aperitivos y similares extranjeros - Libre Destinacion Administracion Central </t>
  </si>
  <si>
    <t>Impuesto al Consumo de vinos, aperitivos y similares extranjeros - Fondo de Paz </t>
  </si>
  <si>
    <t>Impuesto al Consumo de vinos, aperitivos y similares extranjeros - FONPET </t>
  </si>
  <si>
    <t>Impuesto al Consumo de vinos, aperitivos y similares extranjeros - Patrimonio Autonomo </t>
  </si>
  <si>
    <t>Impuesto al Consumo de vinos, aperitivos y similares extranjeros - 1% I.C.L.D. (Areas de Interes Ambiental Ley 1450/2011 ART. 210) </t>
  </si>
  <si>
    <t>Impuesto al Consumo de Cerveza Extranjera - Libre Destinacion Administracion Central </t>
  </si>
  <si>
    <t>Impuesto al Consumo de Cerveza Extranjera - Fondo de Paz </t>
  </si>
  <si>
    <t>Impuesto al Consumo de Cerveza Extranjera - FONPET </t>
  </si>
  <si>
    <t>Impuesto al Consumo de Cerveza Extranjera - Patrimonio Autonomo </t>
  </si>
  <si>
    <t>Impuesto al Consumo de Cerveza Extranjera - 1% I.C.L.D. (Areas de Interes Ambiental Ley 1450/2011 ART. 210) </t>
  </si>
  <si>
    <t>Impuesto al Consumo de Tabaco y Cigarrillos Nacionales - Libre Destinacion Adminsitracion Central </t>
  </si>
  <si>
    <t>Impuesto al Consumo de Tabaco y Cigarrillos Nacionales - Fondo de Paz </t>
  </si>
  <si>
    <t>Impuesto al Consumo de Tabaco y Cigarrillos Nacionales - Fondo Tabacalero </t>
  </si>
  <si>
    <t>Impuesto al Consumo de Tabaco y Cigarrillos Nacionales - FONPET </t>
  </si>
  <si>
    <t>Impuesto al Consumo de Tabaco y Cigarrillos Nacionales - Patrimonio Autonomo </t>
  </si>
  <si>
    <t>Impuesto al Consumo de Tabaco y Cigarrillos Nacionales - 1% I.C.L.D. (Areas de Interes Ambiental Ley 1450/2011 ART. 210) </t>
  </si>
  <si>
    <t>Impuesto al Consumo de Tabaco y Cigarrillos Extranjeros - Libre Destinacion Admistracion Central </t>
  </si>
  <si>
    <t>Impuesto al Consumo de Tabaco y Cigarrillos Extranjeros - Fondo de Paz </t>
  </si>
  <si>
    <t>Impuesto al Consumo de Tabaco y Cigarrillos Extranjeros - Fondo Tabacalero </t>
  </si>
  <si>
    <t>Impuesto al Consumo de Tabaco y Cigarrillos Extranjeros - FONPET </t>
  </si>
  <si>
    <t>Impuesto al Consumo de Tabaco y Cigarrillos Extranjeros - Patrimonio Autonomo </t>
  </si>
  <si>
    <t>Impuesto al Consumo de Tabaco y Cigarrillos Extranjeros - 1% I.C.L.D. (Areas de Interes Ambiental Ley 1450/2011 ART. 210) </t>
  </si>
  <si>
    <t>Impuesto sobre Vehiculos Automotores </t>
  </si>
  <si>
    <t>Impuesto sobre Vehiculos Automotores - Vigencia Actual </t>
  </si>
  <si>
    <t>Vehiculos Automotores - Vigencia Actual - Libre destinacion Administracion Central </t>
  </si>
  <si>
    <t>Vehiculos Automotores - Vigencia Actual - Fondo de Paz </t>
  </si>
  <si>
    <t>Vehiculos Automotores - Vigencia Actual - FONPET </t>
  </si>
  <si>
    <t>Vehiculos Automotores - Vigencia Actual - Patrimonio Autonomo </t>
  </si>
  <si>
    <t>Vehiculos Automotores - Vigencia Actua -1% I.C.L.D. (Areas de Interes Ambiental Ley 1450/2011 ART. 210) </t>
  </si>
  <si>
    <t>Impuesto sobre Vehiculos Automotores - Vigencia Anterior </t>
  </si>
  <si>
    <t>Vehiculos Automotores - Vigencia Anterior - Libre destinacion Administracion Central </t>
  </si>
  <si>
    <t>Vehiculos Automotores - Vigencia Anterior - Fondo de Paz </t>
  </si>
  <si>
    <t>Vehiculos Automotores - Vigencia Anterior - FONPET </t>
  </si>
  <si>
    <t>Vehiculos Automotores - Vigencia Anterior - Patrimonio Autonomo </t>
  </si>
  <si>
    <t>Vehiculos Automotores - Vigencia Anterior - 1% I.C.L.D. (Areas de Interes Ambiental Ley 1450/2011 ART. 210) </t>
  </si>
  <si>
    <t>Degüello de Ganado Mayor - Libre Destinacion Administracion Central </t>
  </si>
  <si>
    <t>Degüello de Ganado Mayor - Fondo de Paz </t>
  </si>
  <si>
    <t>Degüello de Ganado Mayor - FONPET </t>
  </si>
  <si>
    <t>Degüello de Ganado Mayor - Patrimonio Autonomo </t>
  </si>
  <si>
    <t>Degüello de Ganado Mayor - 1% I.C.L.D. (Areas de Interes Ambiental Ley 1450/2011 ART. 210) </t>
  </si>
  <si>
    <t>Sobretasa a la Gasolina </t>
  </si>
  <si>
    <t>Sobretasa Gasolina - Libre Destinacion Administracion Central </t>
  </si>
  <si>
    <t>Sobretasa Gasolina - Fondo de Paz </t>
  </si>
  <si>
    <t>Sobretasa Gasolina - FONPET </t>
  </si>
  <si>
    <t>Sobretasa Gasolina - Patrimonio Autonomo </t>
  </si>
  <si>
    <t>Sobretasa Gasolina - 1% I.C.L.D. (Areas de Interes Ambiental Ley 1450/2011 ART. 210) </t>
  </si>
  <si>
    <t>Para el Bienestar del Adulto Mayor - Inversion </t>
  </si>
  <si>
    <t>Pro-Electrificacion Rural </t>
  </si>
  <si>
    <t>Pro-Electrificacion - Inversion </t>
  </si>
  <si>
    <t>Pro Electrificacion - PENSIONES 20% </t>
  </si>
  <si>
    <t>Pro-Cultura - Inversion </t>
  </si>
  <si>
    <t>Pro-cultura - PENSIONES 20% </t>
  </si>
  <si>
    <t>Pro-Cultura - Seguridad Social del creador y gestor </t>
  </si>
  <si>
    <t>Pro-Cultura - Lectura de Bibliotecas ley 1379/10 </t>
  </si>
  <si>
    <t>Pro-desarrollo - Inversion 25% Infraestruct. Deportiva </t>
  </si>
  <si>
    <t>Pro-desarrollo - Inversion 50% Saneamiento Basico </t>
  </si>
  <si>
    <t>Pro-desarrollo - Inversion 25% Infraestruct. Educativa </t>
  </si>
  <si>
    <t>Pro-desarrollo - PENSIONES 20% </t>
  </si>
  <si>
    <t>Pro-Hospital - Universitario de Santander </t>
  </si>
  <si>
    <t>Pro-Hospital - Pasivo Pensional Hospitales Universitarios Liquidados </t>
  </si>
  <si>
    <t>PRO-UIS - Educacion 75% uis </t>
  </si>
  <si>
    <t>PRO-UIS - Educacion 15% uts </t>
  </si>
  <si>
    <t>PRO-UIS - Educacion 10% unipaz </t>
  </si>
  <si>
    <t>PRO-UIS - PENSIONES 20% (15% uts) </t>
  </si>
  <si>
    <t>PRO-UIS - PENSIONES 20% (10% unipaz) </t>
  </si>
  <si>
    <t>INGRESOS NO TRIBUTARIOS </t>
  </si>
  <si>
    <t>Intereses por Impuesto - Otros Intereses de Origen Tributario - Libre Destinacion Administracion Central </t>
  </si>
  <si>
    <t>Intereses por Impuesto - Otros Intereses de Origen Tributario- Fondo de Paz </t>
  </si>
  <si>
    <t>Intereses por Impuesto - Otros Intereses de Origen Tributario - FONPET </t>
  </si>
  <si>
    <t>Intereses por Impuesto - Otros Intereses de Origen Tributario - Patrimonio Autonomo </t>
  </si>
  <si>
    <t>Intereses por Impuesto - Otros Intereses de Origen Tributario - 1% I.C.L.D. (Areas de Interes Ambiental Ley 1450/2011 ART. 210) </t>
  </si>
  <si>
    <t>Intereses por Impuesto sobre Vehiculos Automotores - Libre Destinacion Administracion Central </t>
  </si>
  <si>
    <t>Intereses por Impuesto sobre Vehiculos Automotores - Fondo de Paz </t>
  </si>
  <si>
    <t>Intereses por Impuesto sobre Vehiculos Automotores - FONPET </t>
  </si>
  <si>
    <t>Intereses por Impuesto sobre Vehiculos Automotores - Patrimonio Autonomo </t>
  </si>
  <si>
    <t>Intereses por Impuesto sobre Vehiculos Automotores - 1% I.C.L.D. (Areas de Interes Ambiental Ley 1450/2011 ART. 210) </t>
  </si>
  <si>
    <t>Sanciones Tributarias Vehiculos Automotores </t>
  </si>
  <si>
    <t>Multas y Sanciones por Impuestos Sobre Vehiculos Automotores - Libre Destinacion Administracion Central </t>
  </si>
  <si>
    <t>Multas y Sanciones por Impuestos Sobre Vehiculos Automotores - Fondo de Paz </t>
  </si>
  <si>
    <t>Multas y Sanciones por Impuestos Sobre Vehiculos Automotores - FONPET </t>
  </si>
  <si>
    <t>Multas y Sanciones por Impuestos Sobre Vehiculos Automotores - Patrimonio Autonomo </t>
  </si>
  <si>
    <t>Multas y Sanciones por Impuestos Sobre Vehiculos Automotores - 1% I.C.L.D. (Areas de Interes Ambiental Ley 1450/2011 ART. 210) </t>
  </si>
  <si>
    <t>Multas y Sanciones por Impuestos - Otras Sanciones tributarias - Libre Destinacion Administracion Central </t>
  </si>
  <si>
    <t>Multas y Sanciones por Impuestos - Otras Sanciones tributarias - Fondo de Paz </t>
  </si>
  <si>
    <t>Multas y Sanciones por Impuestos - Otras Sanciones tributarias - FONPET </t>
  </si>
  <si>
    <t>Multas y Sanciones por Impuestos - Otras Sanciones tributarias - Patrimonio Autonomo </t>
  </si>
  <si>
    <t>Multas y Sanciones por Impuestos - Otras Sanciones tributarias - 1% I.C.L.D. (Areas de Interes Ambiental Ley 1450/2011 ART. 210) </t>
  </si>
  <si>
    <t>Contribución de Valorización </t>
  </si>
  <si>
    <t>Contribución de Valorización Vigencia Actual </t>
  </si>
  <si>
    <t>Cofinanciacion Nacional - Nivel Central </t>
  </si>
  <si>
    <t>Rendimientos SGP Agua Potable  </t>
  </si>
  <si>
    <t>Rendimientos Pro-Cultura - Lectura de Bibliotecas ley 1379/10 </t>
  </si>
  <si>
    <t>Rendimientos Proanciano - Inversion </t>
  </si>
  <si>
    <t>Rendimientos Regalias Antiguas </t>
  </si>
  <si>
    <t xml:space="preserve">ADICIONES </t>
  </si>
  <si>
    <t xml:space="preserve">REDUCCIONES </t>
  </si>
  <si>
    <t xml:space="preserve">PRESUPUESTO DEFINITIVO </t>
  </si>
  <si>
    <t xml:space="preserve">APROPIACION INICIAL </t>
  </si>
  <si>
    <t xml:space="preserve">     PRESUPUESTO DE INGRESOS FUENTES</t>
  </si>
  <si>
    <t>SUBTOTAL  1er  SEMESTRE</t>
  </si>
  <si>
    <t>TOTAL  RECAUDADO</t>
  </si>
  <si>
    <t>% EJEC.</t>
  </si>
  <si>
    <t>SUBTOTAL   2do  SEMESTRE</t>
  </si>
  <si>
    <t>SGP AGUA POTABLE SANEAMIENTO BASICO  VIG FUTURA PDA </t>
  </si>
  <si>
    <t>TELEFONIA MOVIL 4% RES 852/2015 REC BCE </t>
  </si>
  <si>
    <t>EXCEDENTES IDESAN REC BCE </t>
  </si>
  <si>
    <t>SGP-SALUD PUBLICA COLECTIVA </t>
  </si>
  <si>
    <t>RENTAS CEDIDAS 25% FUNCIONAMIENTO </t>
  </si>
  <si>
    <t>RENTAS CEDIDAS LICORES 25%-OFERTA </t>
  </si>
  <si>
    <t>REND. FCIEROS SUBCTA SALUD PUBLICA COLECTIVA </t>
  </si>
  <si>
    <t>REND. F/ROS SUBCTA PREST. SERV. SALUD EN LO NO CUBIERTO POR SUBSIDIOS A DEMANDA REC BCE </t>
  </si>
  <si>
    <t>RENDIMIENTOS FINANCIEROS SUBCUENTA OTROS GASTOS EN SALUD INVERSION - VARIOS REC.BCE. </t>
  </si>
  <si>
    <t>FONDOS COMUNES FUNCIONAMIENTO REC BCE </t>
  </si>
  <si>
    <t>RESERVA PRESUPUESTAL  FONDO SECCIONAL  EDUCACION  SGP CSF </t>
  </si>
  <si>
    <t>RESERVA PRESUPUESTAL  FONDO DE GESTION DEL RIESGO DE DESASTRES DEL DEPARTAMENTO DE SANTANDER </t>
  </si>
  <si>
    <t>Contribución de Valorización Vigencias Anteriores </t>
  </si>
  <si>
    <t>Excedentes IDESAN </t>
  </si>
  <si>
    <t>FONDO DE GESTION DEL RIESGO DE DESASTRES DPTO </t>
  </si>
  <si>
    <t>TOTAL  FONDO DE GESTION DEL RIESGO DE DESASTRES DPTO </t>
  </si>
  <si>
    <t>INGRESOS FONDO DE GESTION DE RIESGO DE DESASTRES DEL DEPARTAMENTO DE SANTANDER VIGENCIA 2018 </t>
  </si>
  <si>
    <t>ICLD DERECHO DE EXPLOTACION DE MONOPOLIOS DE LICORES -  FONDO DE RENTAS </t>
  </si>
  <si>
    <t>RENDIMIENTOS PRO-REFORESTACION  REC BCE</t>
  </si>
  <si>
    <t>PARA EL BIENESTAR DEL ADULTO MAYOR INVERSION </t>
  </si>
  <si>
    <t>CONTRIBUCION SOBRE CTO DE OBRA PUBLICA UNIDAD NACIONAL DE PROTECCION DTO 066/2012 RE.BCE </t>
  </si>
  <si>
    <t>CONTRIBUCION SOBRE CONTRATO DE OBRA PUBLICA -CTI </t>
  </si>
  <si>
    <t>REINTEGROS ICLD </t>
  </si>
  <si>
    <t>REINTEGROS ICLD  REC. BCE</t>
  </si>
  <si>
    <t>ICLD EQUIDAD DE GENERO ORD. 28/10 </t>
  </si>
  <si>
    <t>REINTEGROS UTILIDADES EMPRESA ESSA REC BCE </t>
  </si>
  <si>
    <t>RENDIMIENTOS UTILIDADES EMPRESA ESSA REC BCE </t>
  </si>
  <si>
    <t>UTILIDADES EMPRESAS ESSA REC.BCE </t>
  </si>
  <si>
    <t>ICLD  REC BCE </t>
  </si>
  <si>
    <t>RENDIMIENTOS FINANCIEROS MEDICAMENTOS DE CONTROL REC.BCE. </t>
  </si>
  <si>
    <t>Participación por el ejercicio del monopolio de licores y alcoholes potables -Salud (14% LEY 1816/16) </t>
  </si>
  <si>
    <t>Participación por el ejercicio del monopolio de licores y alcoholes potables -Salud (2% LEY 1816/16) </t>
  </si>
  <si>
    <t>Dererecho Explot. Monopolio Licores - Libre Destinacion Administracion Central </t>
  </si>
  <si>
    <t>Derecho Explot. Monopolio Licores - FONPET </t>
  </si>
  <si>
    <t>Derecho Explot. Monopolio Licores - Patrimonio Autonomo </t>
  </si>
  <si>
    <t>Reintegros Regalias </t>
  </si>
  <si>
    <t>Reintegros I.C.L.D </t>
  </si>
  <si>
    <t>Reintegros Para el Bienestar del Adulto Mayor </t>
  </si>
  <si>
    <t>Reintegros Pro Reforestacion  </t>
  </si>
  <si>
    <t>Reintegros Pro Cultura  </t>
  </si>
  <si>
    <t>Reintegros Pro-Anciano  </t>
  </si>
  <si>
    <t>Reintegros Pro-Electrificación  </t>
  </si>
  <si>
    <t>Reintegros Pro-Hospitales  </t>
  </si>
  <si>
    <t>Reintegros Pro-Desarrollo 50% Saneamiento Basico  </t>
  </si>
  <si>
    <t>Reintegros Pro-Desarrollo 25% Infraestructura Educativa  </t>
  </si>
  <si>
    <t>Reintegros Pro-Desarrollo 25% Infraestructura Deportiva  </t>
  </si>
  <si>
    <t>Reintegros Fondo Tabacalero  </t>
  </si>
  <si>
    <t>Reintegros A.C.P.M  </t>
  </si>
  <si>
    <t>Reintegros Sobretasa Gasolina  </t>
  </si>
  <si>
    <t>Reintegros Escision ESSA  </t>
  </si>
  <si>
    <t>Reintegros Utilidades Empresa ESSA  </t>
  </si>
  <si>
    <t>Reintegros Margen de Comercialización  </t>
  </si>
  <si>
    <t>Reintegros ICLD Fondo de Contingencia  </t>
  </si>
  <si>
    <t>Reintegros Participación, Introducción y Comercialización de Licores  </t>
  </si>
  <si>
    <t>Reintegros credito Interno Banca Comercial  </t>
  </si>
  <si>
    <t>Reintegros ICLD Equidad de Genero Ord.28/10  </t>
  </si>
  <si>
    <t>Reintegros Áreas de Interes Ambiental Ley 1450-2011  </t>
  </si>
  <si>
    <t>Reintegros Contribución a la valorización  </t>
  </si>
  <si>
    <t>Reintegros Rendimientos Para el Bienestar del Adulto Mayor </t>
  </si>
  <si>
    <t>Reintegros Rendimientos Pro-Desarrollo 50% Saneamiento Basico  </t>
  </si>
  <si>
    <t>Reintegros Rendimientos Pro-Desarrollo 25% Infraestructura Educativa  </t>
  </si>
  <si>
    <t>Reintegros Rendimientos Pro-Desarrollo 25% Infraestructura Deportiva  </t>
  </si>
  <si>
    <t>Reintegros Rendimientos Fondo Tabacalero  </t>
  </si>
  <si>
    <t>Reintegros Rendimientos Contribución Sobre Contrato De Obra Publica - Policía Nacional  40% </t>
  </si>
  <si>
    <t>Reintegros Rendimientos Contribución Sobre Contrato De Obra Publica - Ejercito Nacional 30%  </t>
  </si>
  <si>
    <t>Reintegros Rendimientos Contribución Sobre Contrato De Obra Publica - Fondo de Seguridad Ciudadana 15%  </t>
  </si>
  <si>
    <t>Reintegros Rendimientos Contribución Sobre Contrato De Obra Publica - Cuerpo Tècnico de Investigaciòn Seccinal Stder-CTI 7%  </t>
  </si>
  <si>
    <t>Reintegros Rendimientos Contribución Sobre Contrato De Obra Publica - Unidad Admistrativa Especial Migración Colombia Seccional Santander 4%  </t>
  </si>
  <si>
    <t>Reintegros Rendimientos Contribución Sobre Contrato De Obra Publica - Unidad Nacional De Protección  4% </t>
  </si>
  <si>
    <t>Reintegros Rendimientos A.C.P.M  </t>
  </si>
  <si>
    <t>Reintegros Rendimientos Sobretasa Gasolina  </t>
  </si>
  <si>
    <t>Reintegros Rendimientos Crédito Interno Findeter Vias  </t>
  </si>
  <si>
    <t>Reintegros Rendimientos Utilidades Empresa ESSA  </t>
  </si>
  <si>
    <t>Reintegros Rendimientos Escisión ESSA  </t>
  </si>
  <si>
    <t>Reintegros Rendimientos Financieros I.C.L.D  </t>
  </si>
  <si>
    <t>Reintegros Rendimientos Participación, Introducción y Comercialización de Licores  </t>
  </si>
  <si>
    <t>Reintegros Agua Potable y Saneamiento Basico  </t>
  </si>
  <si>
    <t>SGP Cancelaciones </t>
  </si>
  <si>
    <t>Rendimientos Prohospitales </t>
  </si>
  <si>
    <t>Rendimientos Financieros 20% Pasivo Pensional Hospitales Universitarios  </t>
  </si>
  <si>
    <t>Rendimientos Financieros Pasivo Pensional Hospitales Universitarios  Liquidados </t>
  </si>
  <si>
    <t>Rendimientos Sobretasa Gasolina  </t>
  </si>
  <si>
    <t>Rendimientos Crédito Interno Findeter vias  </t>
  </si>
  <si>
    <t>Rendimientos Utilidades Empresa Essa  </t>
  </si>
  <si>
    <t>Rendimientos Fondo Tabacalero  </t>
  </si>
  <si>
    <t>Rendimientos ICLD Equidad de Genero Ord 28-2010  </t>
  </si>
  <si>
    <t>Rendimientos Contrato No 368 -2004  </t>
  </si>
  <si>
    <t>Rendimientos Contribución a la valorización  </t>
  </si>
  <si>
    <t>Rendimientos Financieros (Valorización Activos ESSA)  </t>
  </si>
  <si>
    <t>Rendimientos Financieros Fondo Departamental de Gestión del Riesgo de Desastres  </t>
  </si>
  <si>
    <t>Rendimientos Financieros Patrimonio Autonomo  </t>
  </si>
  <si>
    <t>Rendimientos Financieros ahorro Fonpet Ley 549/99 (I.C.L.D)  </t>
  </si>
  <si>
    <t>Rendimientos Financieros Cesantias con Retroactividad  </t>
  </si>
  <si>
    <t>Rendimientos Financieros FONPET  </t>
  </si>
  <si>
    <t>Rendimientos Financieros Remates (Venta de Terrenos)  </t>
  </si>
  <si>
    <t>Rendimientos Financieros Dividendos  </t>
  </si>
  <si>
    <t>ICLD ( FONDO DE CONTINGENCIA) </t>
  </si>
  <si>
    <t>ICLD REGISTRO Y ANOTACION LEY 1450-11 ART 25, LEY 1753-15 ART 147 </t>
  </si>
  <si>
    <t>Fondo de Paz Rec. Bce.</t>
  </si>
  <si>
    <t>CONTRIBUCION SOBRE CONTRATO DE OBRA PUBLICA - UNIDAD ESPECIAL MIGRACION COLOMBIA </t>
  </si>
  <si>
    <t>FONDO  DE RENTAS REC.  BCE</t>
  </si>
  <si>
    <t>PARTICIPACIóN POR EL EJERCICIO DEL MONOPOLIO DE LICORES Y ALCOHOLES POTABLES -EDUCACIóN (14% LEY 1816/16)  REC BCE </t>
  </si>
  <si>
    <t>PROANCIANO</t>
  </si>
  <si>
    <t>Proanciano  Re c. Bce</t>
  </si>
  <si>
    <t>REINTEGROS PROGRAMA PAE- 2016 </t>
  </si>
  <si>
    <t>RENDIMIENTOS CONTRIBUCIóN SOBRE CONTRATO DE OBRA PUBLICA - UNIDAD ADMISTRATIVA ESPECIAL MIGRACIóN COLOMBIA SECCIONAL SANTANDER  REC BCE </t>
  </si>
  <si>
    <t>RENDIMIENTOS CONTRIBUCIóN SOBRE CONTRATO DE OBRA PUBLICA</t>
  </si>
  <si>
    <t>RENDIMIENTOS CONTRIBUCIóN SOBRE CONTRATO DE OBRA PUBLICA - UNIDAD NACIONAL DE PROTECCIóN  REC BCE </t>
  </si>
  <si>
    <t>RENDIMIENTOS CONTRIBUCIóN SOBRE CONTRATO DE OBRA PUBLICA-CTI  REC BCE </t>
  </si>
  <si>
    <t>RENDIMIENTOS PRO-CULTURA INVERSION </t>
  </si>
  <si>
    <t>RENDIMIENTOS PARA EL BIENESTAR DEL ADULTO MAYOR INVERSION </t>
  </si>
  <si>
    <t>RENDIMIENTOS PARTICIPACION MONOPOLIO  51%</t>
  </si>
  <si>
    <t>RENDIMIENTOS FINANCIEROS DERECHOS DE EXPLOTACION LICORES DESTILADOS 2% REC BCE </t>
  </si>
  <si>
    <t>CONVENIO NO 1250/17 RADICADO GOB NO 2288/17 (ENAJENACIóN DE DE ISAGEN) INVIAS REC BCE </t>
  </si>
  <si>
    <t>COLDEPORTES CONV. 1365/17 RAD. GOB.2286/17 (ORD. 11/2018)  </t>
  </si>
  <si>
    <t>TRANSFERENCIAS PARA MUNICIPIOS 20% IMPUESTO SOBRE VEHíCULOS AUTOMOTORES (SIN SITUACION DE FONDOS ) </t>
  </si>
  <si>
    <t>MONOPOLIO 14% LEY 1816/2016 - SALUD </t>
  </si>
  <si>
    <t>FONDOS COMUNES OTROS GASTOS EN SALUD REC BCE </t>
  </si>
  <si>
    <t>VENTA RECETARIOS OFICIALES </t>
  </si>
  <si>
    <t>REINTEGROS PARTICIPACION INTRODUCCION Y COMERCIALIZACION DE LICORES  REC.BCE. </t>
  </si>
  <si>
    <t>RENDIMIENTOS PARTICIPACION DE MONOPOLIO REC. BCE </t>
  </si>
  <si>
    <t>INGRESOS PROPIOS SALUD REC.BCE. </t>
  </si>
  <si>
    <t>UTILIDADES EMPRESAS ESSA REC. BCE </t>
  </si>
  <si>
    <t>AFN-RESOL 4520/17 MINSALUD.(ENAJENACION ISAGEN) REC.BCE. </t>
  </si>
  <si>
    <t>VENTA DE MEDICAMENTOS DE CONTROL ESPECIAL REC. BCE </t>
  </si>
  <si>
    <t>INGRESOS FONDO DE GESTION DEL RIESGO DE DESASTRES DEL DEPARTAMENTO DE SANTANDER VIGENCIA 2020 </t>
  </si>
  <si>
    <t>Subcuenta Otros Gastos en Salud-Funcionamiento  </t>
  </si>
  <si>
    <t>Subcuenta de Prestación de Servicios de Salud en lo no cubierto por Subsidios a la Demanda  </t>
  </si>
  <si>
    <t>SUBCUENTA OTROS GASTOS EN SALUD - INVERSION  </t>
  </si>
  <si>
    <t>Eje Programático de Aseguramiento  </t>
  </si>
  <si>
    <t>Desaplazamiento</t>
  </si>
  <si>
    <t>Reintegros Rendimientos Financieros 4% impuesto al Consumo Telefonia Movil Rec Bce  </t>
  </si>
  <si>
    <t xml:space="preserve">ACTA DE CANCELACION </t>
  </si>
  <si>
    <t>1 </t>
  </si>
  <si>
    <t>1.1 </t>
  </si>
  <si>
    <t>1.1.01 </t>
  </si>
  <si>
    <t>1.1.01.01 </t>
  </si>
  <si>
    <t>Impuestos Directos </t>
  </si>
  <si>
    <t>1.1.01.01.100 </t>
  </si>
  <si>
    <t>1.1.01.01.100.1 </t>
  </si>
  <si>
    <t>1.1.01.01.100.1.01 </t>
  </si>
  <si>
    <t>1.1.01.01.100.1.02 </t>
  </si>
  <si>
    <t>1.1.01.01.100.1.03 </t>
  </si>
  <si>
    <t>1.1.01.01.100.1.04 </t>
  </si>
  <si>
    <t>1.1.01.01.100.1.05 </t>
  </si>
  <si>
    <t>1.1.01.01.100.1.06 </t>
  </si>
  <si>
    <t>Impuesto sobre Vehiculos Automotores - Vigencia Actual 20% SSF Municipios </t>
  </si>
  <si>
    <t>1.1.01.01.100.2 </t>
  </si>
  <si>
    <t>1.1.01.01.100.2.01 </t>
  </si>
  <si>
    <t>1.1.01.01.100.2.02 </t>
  </si>
  <si>
    <t>1.1.01.01.100.2.03 </t>
  </si>
  <si>
    <t>1.1.01.01.100.2.04 </t>
  </si>
  <si>
    <t>1.1.01.01.100.2.05 </t>
  </si>
  <si>
    <t>1.1.01.01.100.2.06 </t>
  </si>
  <si>
    <t>Impuesto sobre Vehiculos Automotores - Vigencia Anterior 20% SSF Municipios </t>
  </si>
  <si>
    <t>1.1.01.02 </t>
  </si>
  <si>
    <t>Impuestos Indirectos </t>
  </si>
  <si>
    <t>1.1.01.02.100 </t>
  </si>
  <si>
    <t>Impuesto de Registro </t>
  </si>
  <si>
    <t>1.1.01.02.100.01 </t>
  </si>
  <si>
    <t>Impuesto de Registro -Camaras de Comercio </t>
  </si>
  <si>
    <t>1.1.01.02.100.01.01 </t>
  </si>
  <si>
    <t>1.1.01.02.100.01.02 </t>
  </si>
  <si>
    <t>1.1.01.02.100.01.03 </t>
  </si>
  <si>
    <t>1.1.01.02.100.01.04 </t>
  </si>
  <si>
    <t>1.1.01.02.100.01.05 </t>
  </si>
  <si>
    <t>1.1.01.02.100.01.06 </t>
  </si>
  <si>
    <t>1.1.01.02.100.02 </t>
  </si>
  <si>
    <t>Impuesto de Registro -Oficinas de instrumentos publicos </t>
  </si>
  <si>
    <t>1.1.01.02.100.02.01 </t>
  </si>
  <si>
    <t>1.1.01.02.100.02.02 </t>
  </si>
  <si>
    <t>1.1.01.02.100.02.03 </t>
  </si>
  <si>
    <t>1.1.01.02.100.02.04 </t>
  </si>
  <si>
    <t>1.1.01.02.100.02.05 </t>
  </si>
  <si>
    <t>1.1.01.02.100.02.06 </t>
  </si>
  <si>
    <t>1.1.01.02.102 </t>
  </si>
  <si>
    <t>Impuesto al Degüello de Ganado Mayor </t>
  </si>
  <si>
    <t>1.1.01.02.102.01 </t>
  </si>
  <si>
    <t>1.1.01.02.102.02 </t>
  </si>
  <si>
    <t>1.1.01.02.102.03 </t>
  </si>
  <si>
    <t>1.1.01.02.102.04 </t>
  </si>
  <si>
    <t>1.1.01.02.102.05 </t>
  </si>
  <si>
    <t>1.1.01.02.104 </t>
  </si>
  <si>
    <t>Impuesto al Consumo de licores, vinos, aperitivos y similares </t>
  </si>
  <si>
    <t>1.1.01.02.104.01 </t>
  </si>
  <si>
    <t>Impuesto al Consumo de Licores </t>
  </si>
  <si>
    <t>1.1.01.02.104.01.01 </t>
  </si>
  <si>
    <t>Impuesto al Consumo de Licores - Nacionales </t>
  </si>
  <si>
    <t>1.1.01.02.104.01.01.01 </t>
  </si>
  <si>
    <t>1.1.01.02.104.01.01.02 </t>
  </si>
  <si>
    <t>1.1.01.02.104.01.01.03 </t>
  </si>
  <si>
    <t>1.1.01.02.104.01.01.04 </t>
  </si>
  <si>
    <t>1.1.01.02.104.01.01.05 </t>
  </si>
  <si>
    <t>1.1.01.02.104.01.02 </t>
  </si>
  <si>
    <t>Impuesto al Consumo de Licores -Extranjeros </t>
  </si>
  <si>
    <t>1.1.01.02.104.01.02.01 </t>
  </si>
  <si>
    <t>1.1.01.02.104.01.02.02 </t>
  </si>
  <si>
    <t>1.1.01.02.104.01.02.03 </t>
  </si>
  <si>
    <t>1.1.01.02.104.01.02.04 </t>
  </si>
  <si>
    <t>1.1.01.02.104.01.02.05 </t>
  </si>
  <si>
    <t>1.1.01.02.104.02 </t>
  </si>
  <si>
    <t>Impuesto al Consumo de vinos, aperitivos y similares </t>
  </si>
  <si>
    <t>1.1.01.02.104.02.01 </t>
  </si>
  <si>
    <t>Impuesto al Consumo de vinos, aperitivos y similares -Nacionales </t>
  </si>
  <si>
    <t>1.1.01.02.104.02.01.01 </t>
  </si>
  <si>
    <t>1.1.01.02.104.02.01.02 </t>
  </si>
  <si>
    <t>1.1.01.02.104.02.01.03 </t>
  </si>
  <si>
    <t>1.1.01.02.104.02.01.04 </t>
  </si>
  <si>
    <t>1.1.01.02.104.02.01.05 </t>
  </si>
  <si>
    <t>1.1.01.02.104.02.02 </t>
  </si>
  <si>
    <t>Impuesto al Consumo de vinos, aperitivos y similares extranjeros </t>
  </si>
  <si>
    <t>1.1.01.02.104.02.02.01 </t>
  </si>
  <si>
    <t>1.1.01.02.104.02.02.02 </t>
  </si>
  <si>
    <t>1.1.01.02.104.02.02.03 </t>
  </si>
  <si>
    <t>1.1.01.02.104.02.02.04 </t>
  </si>
  <si>
    <t>1.1.01.02.104.02.02.05 </t>
  </si>
  <si>
    <t>1.1.01.02.105 </t>
  </si>
  <si>
    <t>Impuesto al consumo de cervezas, sifones, refajos y mezclas </t>
  </si>
  <si>
    <t>1.1.01.02.105.02 </t>
  </si>
  <si>
    <t>Impuesto al consumo de cervezas, sifones, refajos y mezclas - Extranjeras </t>
  </si>
  <si>
    <t>1.1.01.02.105.02.01 </t>
  </si>
  <si>
    <t>1.1.01.02.105.02.02 </t>
  </si>
  <si>
    <t>1.1.01.02.105.02.03 </t>
  </si>
  <si>
    <t>1.1.01.02.105.02.04 </t>
  </si>
  <si>
    <t>1.1.01.02.105.02.05 </t>
  </si>
  <si>
    <t>1.1.01.02.106 </t>
  </si>
  <si>
    <t>Impuesto al Consumo de Cigarrillos y Tabaco </t>
  </si>
  <si>
    <t>1.1.01.02.106.01 </t>
  </si>
  <si>
    <t>Componente específico del impuesto al consumo de cigarrillos y tabaco </t>
  </si>
  <si>
    <t>1.1.01.02.106.01.01 </t>
  </si>
  <si>
    <t>Componente específico del impuesto al consumo de cigarrillos y tabaco - Nacionales </t>
  </si>
  <si>
    <t>1.1.01.02.106.01.01.01 </t>
  </si>
  <si>
    <t>1.1.01.02.106.01.01.02 </t>
  </si>
  <si>
    <t>1.1.01.02.106.01.01.03 </t>
  </si>
  <si>
    <t>1.1.01.02.106.01.01.04 </t>
  </si>
  <si>
    <t>1.1.01.02.106.01.01.05 </t>
  </si>
  <si>
    <t>1.1.01.02.106.01.01.06 </t>
  </si>
  <si>
    <t>1.1.01.02.106.01.02 </t>
  </si>
  <si>
    <t>Componente específico del impuesto al consumo de cigarrillos y tabaco - Extranjeros </t>
  </si>
  <si>
    <t>1.1.01.02.106.01.02.01 </t>
  </si>
  <si>
    <t>1.1.01.02.106.01.02.02 </t>
  </si>
  <si>
    <t>1.1.01.02.106.01.02.03 </t>
  </si>
  <si>
    <t>1.1.01.02.106.01.02.04 </t>
  </si>
  <si>
    <t>1.1.01.02.106.01.02.05 </t>
  </si>
  <si>
    <t>1.1.01.02.106.01.02.06 </t>
  </si>
  <si>
    <t>1.1.01.02.109 </t>
  </si>
  <si>
    <t>1.1.01.02.109.01 </t>
  </si>
  <si>
    <t>1.1.01.02.109.02 </t>
  </si>
  <si>
    <t>1.1.01.02.109.03 </t>
  </si>
  <si>
    <t>1.1.01.02.109.04 </t>
  </si>
  <si>
    <t>1.1.01.02.109.05 </t>
  </si>
  <si>
    <t>1.1.01.02.300 </t>
  </si>
  <si>
    <t>Estampillas </t>
  </si>
  <si>
    <t>1.1.01.02.300.01 </t>
  </si>
  <si>
    <t>Estampilla para el bienestar del adulto mayor </t>
  </si>
  <si>
    <t>1.1.01.02.300.01.01 </t>
  </si>
  <si>
    <t>1.1.01.02.300.02 </t>
  </si>
  <si>
    <t>Estampilla pro desarrollo departamental </t>
  </si>
  <si>
    <t>1.1.01.02.300.02.01 </t>
  </si>
  <si>
    <t>1.1.01.02.300.02.02 </t>
  </si>
  <si>
    <t>1.1.01.02.300.02.03 </t>
  </si>
  <si>
    <t>1.1.01.02.300.02.04 </t>
  </si>
  <si>
    <t>1.1.01.02.300.05 </t>
  </si>
  <si>
    <t>1.1.01.02.300.05.01 </t>
  </si>
  <si>
    <t>1.1.01.02.300.05.02 </t>
  </si>
  <si>
    <t>1.1.01.02.300.25 </t>
  </si>
  <si>
    <t>Estampilla pro Universidad Industrial de Santander </t>
  </si>
  <si>
    <t>1.1.01.02.300.25.01 </t>
  </si>
  <si>
    <t>1.1.01.02.300.25.02 </t>
  </si>
  <si>
    <t>1.1.01.02.300.25.03 </t>
  </si>
  <si>
    <t>1.1.01.02.300.25.04 </t>
  </si>
  <si>
    <t>1.1.01.02.300.25.05 </t>
  </si>
  <si>
    <t>1.1.01.02.300.44 </t>
  </si>
  <si>
    <t>Estampillas pro hospitales universitarios </t>
  </si>
  <si>
    <t>1.1.01.02.300.44.01 </t>
  </si>
  <si>
    <t>1.1.01.02.300.44.02 </t>
  </si>
  <si>
    <t>1.1.01.02.300.44.03 </t>
  </si>
  <si>
    <t>Pro-Hospital - Patrimonio Autonomo </t>
  </si>
  <si>
    <t>1.1.01.02.300.44.04 </t>
  </si>
  <si>
    <t>Pro-Hospital- PENSIONES 20% </t>
  </si>
  <si>
    <t>1.1.01.02.300.55 </t>
  </si>
  <si>
    <t>Pro-cultura </t>
  </si>
  <si>
    <t>1.1.01.02.300.55.01 </t>
  </si>
  <si>
    <t>1.1.01.02.300.55.02 </t>
  </si>
  <si>
    <t>1.1.01.02.300.55.03 </t>
  </si>
  <si>
    <t>1.1.01.02.300.55.04 </t>
  </si>
  <si>
    <t>1.1.02 </t>
  </si>
  <si>
    <t>1.1.02.01 </t>
  </si>
  <si>
    <t>Contribuciones </t>
  </si>
  <si>
    <t>1.1.02.01.003 </t>
  </si>
  <si>
    <t>Contribuciones especiales </t>
  </si>
  <si>
    <t>1.1.02.01.003.01 </t>
  </si>
  <si>
    <t>Cuota de fiscalización y auditaje Sin Situacion de Fondos </t>
  </si>
  <si>
    <t>1.1.02.01.005 </t>
  </si>
  <si>
    <t>Contribuciones diversas </t>
  </si>
  <si>
    <t>1.1.02.01.005.39 </t>
  </si>
  <si>
    <t>1.1.02.01.005.39.01 </t>
  </si>
  <si>
    <t>1.1.02.01.005.39.02 </t>
  </si>
  <si>
    <t>1.1.02.01.005.59 </t>
  </si>
  <si>
    <t>Contribución especial sobre contratos de obras públicas </t>
  </si>
  <si>
    <t>1.1.02.03 </t>
  </si>
  <si>
    <t>Multas, sanciones e intereses de mora </t>
  </si>
  <si>
    <t>1.1.02.03.001 </t>
  </si>
  <si>
    <t>Multas y sanciones </t>
  </si>
  <si>
    <t>1.1.02.03.001.11 </t>
  </si>
  <si>
    <t>Sanciones tributarias </t>
  </si>
  <si>
    <t>1.1.02.03.001.11.01 </t>
  </si>
  <si>
    <t>1.1.02.03.001.11.01.01 </t>
  </si>
  <si>
    <t>1.1.02.03.001.11.01.02 </t>
  </si>
  <si>
    <t>1.1.02.03.001.11.01.03 </t>
  </si>
  <si>
    <t>1.1.02.03.001.11.01.04 </t>
  </si>
  <si>
    <t>1.1.02.03.001.11.01.05 </t>
  </si>
  <si>
    <t>1.1.02.03.001.11.01.06 </t>
  </si>
  <si>
    <t>Impuesto sobre Vehiculos Automotores - Sanciones Tributarias 20% SSF Municipios </t>
  </si>
  <si>
    <t>1.1.02.03.001.11.02 </t>
  </si>
  <si>
    <t>Sanciones Tributarias Impuesto de Registro </t>
  </si>
  <si>
    <t>1.1.02.03.001.11.02.01 </t>
  </si>
  <si>
    <t>1.1.02.03.001.11.02.02 </t>
  </si>
  <si>
    <t>1.1.02.03.001.11.02.03 </t>
  </si>
  <si>
    <t>1.1.02.03.001.11.02.04 </t>
  </si>
  <si>
    <t>1.1.02.03.001.11.02.05 </t>
  </si>
  <si>
    <t>1.1.02.03.002 </t>
  </si>
  <si>
    <t>Intereses de mora </t>
  </si>
  <si>
    <t>1.1.02.03.002.01 </t>
  </si>
  <si>
    <t>Intereses de mora Impuesto sobre Vehiculos Automotores </t>
  </si>
  <si>
    <t>1.1.02.03.002.01.01 </t>
  </si>
  <si>
    <t>1.1.02.03.002.01.02 </t>
  </si>
  <si>
    <t>1.1.02.03.002.01.03 </t>
  </si>
  <si>
    <t>1.1.02.03.002.01.04 </t>
  </si>
  <si>
    <t>1.1.02.03.002.01.05 </t>
  </si>
  <si>
    <t>1.1.02.03.002.01.06 </t>
  </si>
  <si>
    <t>Impuesto sobre Vehiculos Automotores - Intereses de Mora 20% SSF Municipios </t>
  </si>
  <si>
    <t>1.1.02.03.002.02 </t>
  </si>
  <si>
    <t>Intereses de mora Impuesto de Registro </t>
  </si>
  <si>
    <t>1.1.02.03.002.02.01 </t>
  </si>
  <si>
    <t>1.1.02.03.002.02.02 </t>
  </si>
  <si>
    <t>1.1.02.03.002.02.03 </t>
  </si>
  <si>
    <t>1.1.02.03.002.02.04 </t>
  </si>
  <si>
    <t>1.1.02.03.002.02.05 </t>
  </si>
  <si>
    <t>1.1.02.05 </t>
  </si>
  <si>
    <t>Venta de bienes y servicios </t>
  </si>
  <si>
    <t>1.1.02.05.001 </t>
  </si>
  <si>
    <t>Ventas de establecimientos de mercado </t>
  </si>
  <si>
    <t>1.1.02.05.001.07 </t>
  </si>
  <si>
    <t>Servicios financieros y servicios conexos, servicios inmobiliarios y servicios de leasing </t>
  </si>
  <si>
    <t>1.1.02.05.001.07.01 </t>
  </si>
  <si>
    <t>Servicios inmobiliarios relativos a bienes inmuebles propios o arrendados </t>
  </si>
  <si>
    <t>1.1.02.05.001.07.01.01 </t>
  </si>
  <si>
    <t>Servicios de alquiler o arrendamiento con o sin opción de compra, relativos a bienes inmuebles propios o arrendados </t>
  </si>
  <si>
    <t>1.1.02.05.001.07.01.01.01 </t>
  </si>
  <si>
    <t>Arrendamientos - Libre Destinacion Administracion Central </t>
  </si>
  <si>
    <t>1.1.02.05.001.07.01.01.02 </t>
  </si>
  <si>
    <t>Arrendamientos - Fondo de Paz </t>
  </si>
  <si>
    <t>1.1.02.05.001.07.01.01.03 </t>
  </si>
  <si>
    <t>Arrendamientos - FONPET </t>
  </si>
  <si>
    <t>1.1.02.05.001.07.01.01.04 </t>
  </si>
  <si>
    <t>Arrendamientos - Patrimonio Autonomo </t>
  </si>
  <si>
    <t>1.1.02.05.001.07.01.01.05 </t>
  </si>
  <si>
    <t>Arrendamientos - 1% I.C.L.D. (Areas de Interes Ambiental Ley 1450/2011 ART. 210) </t>
  </si>
  <si>
    <t>1.1.02.06 </t>
  </si>
  <si>
    <t>Transferencias corrientes </t>
  </si>
  <si>
    <t>1.1.02.06.001 </t>
  </si>
  <si>
    <t>Sistema General de Participaciones </t>
  </si>
  <si>
    <t>1.1.02.06.001.01 </t>
  </si>
  <si>
    <t>Participación para educación </t>
  </si>
  <si>
    <t>1.1.02.06.001.01.02 </t>
  </si>
  <si>
    <t>Cancelación de prestaciones sociales del magisterio </t>
  </si>
  <si>
    <t>1.1.02.06.001.01.03 </t>
  </si>
  <si>
    <t>Bolsa Común de los 82 Municipios del Dpto. de Sder alimentación escolar PAE </t>
  </si>
  <si>
    <t>1.1.02.06.001.01.04 </t>
  </si>
  <si>
    <t>Sistema General de Participaciones PAE </t>
  </si>
  <si>
    <t>1.1.02.06.001.05 </t>
  </si>
  <si>
    <t>Agua potable y saneamiento básico </t>
  </si>
  <si>
    <t>1.1.02.06.003 </t>
  </si>
  <si>
    <t>Participaciones distintas del SGP </t>
  </si>
  <si>
    <t>1.1.02.06.003.01 </t>
  </si>
  <si>
    <t>Participación en impuestos </t>
  </si>
  <si>
    <t>1.1.02.06.003.01.10 </t>
  </si>
  <si>
    <t>Participación de la sobretasa al ACPM </t>
  </si>
  <si>
    <t>1.1.02.06.003.01.10.01 </t>
  </si>
  <si>
    <t>Sobretasa A.C.P.M. - </t>
  </si>
  <si>
    <t>1.1.02.06.003.01.10.02 </t>
  </si>
  <si>
    <t>Sobretasa A.C.P.M. - 5% sin situacion de Fondos </t>
  </si>
  <si>
    <t>1.1.02.06.003.01.10.03 </t>
  </si>
  <si>
    <t>Sobretasa A.C.P.M. - Decreto 678 </t>
  </si>
  <si>
    <t>1.1.02.06.006 </t>
  </si>
  <si>
    <t>Transferencias de otras entidades del gobierno general </t>
  </si>
  <si>
    <t>1.1.02.06.006.06 </t>
  </si>
  <si>
    <t>Otras unidades de gobierno </t>
  </si>
  <si>
    <t>1.1.02.06.006.06.01 </t>
  </si>
  <si>
    <t>Cesantias- FED </t>
  </si>
  <si>
    <t>1.1.02.06.006.06.02 </t>
  </si>
  <si>
    <t>alimentacion escolar ley 1450 de 2011 (pae regular)  </t>
  </si>
  <si>
    <t>1.1.02.06.006.06.03 </t>
  </si>
  <si>
    <t>alimentacion escolar ley 1450 de 2011 (pae jornada unica)  </t>
  </si>
  <si>
    <t>1.1.02.06.006.06.04 </t>
  </si>
  <si>
    <t>Otras Instituciones </t>
  </si>
  <si>
    <t>1.1.02.06.006.06.04.01 </t>
  </si>
  <si>
    <t>Fondo de Reforestación </t>
  </si>
  <si>
    <t>1.1.02.06.006.06.04.02 </t>
  </si>
  <si>
    <t>Fondo de rentas </t>
  </si>
  <si>
    <t>1.1.02.06.006.06.04.03 </t>
  </si>
  <si>
    <t>Tasa Prodeporte y Recreacion </t>
  </si>
  <si>
    <t>1.1.02.06.009.02 </t>
  </si>
  <si>
    <t>Sistema General de Pensiones </t>
  </si>
  <si>
    <t>1.1.02.06.009.02.02 </t>
  </si>
  <si>
    <t>Cuotas partes pensionales </t>
  </si>
  <si>
    <t>1.1.02.06.009.02.02.01 </t>
  </si>
  <si>
    <t>cuotas partes pensionales C.S.F. </t>
  </si>
  <si>
    <t>1.1.02.06.009.02.02.02 </t>
  </si>
  <si>
    <t>cuotas partes pensionales por pagar. S.S.F. Recursos FONPET </t>
  </si>
  <si>
    <t>1.1.02.07 </t>
  </si>
  <si>
    <t>Participación y derechos por monopolio </t>
  </si>
  <si>
    <t>1.1.02.07.002 </t>
  </si>
  <si>
    <t>Participación y derechos de explotación del ejercicio del monopolio de licores destilados y alcoholes potables </t>
  </si>
  <si>
    <t>1.1.02.07.002.01 </t>
  </si>
  <si>
    <t>Participación y derechos de explotación del ejercicio del monopolio de licores destilados </t>
  </si>
  <si>
    <t>1.1.02.07.002.01.02 </t>
  </si>
  <si>
    <t>Derechos de monopolio por la introducción de licores destilados </t>
  </si>
  <si>
    <t>1.1.02.07.002.01.02.01 </t>
  </si>
  <si>
    <t>Derechos de monopolio por la introducción de licores destilados de producción nacional </t>
  </si>
  <si>
    <t>1.1.02.07.002.01.02.01.01 </t>
  </si>
  <si>
    <t>1.1.02.07.002.01.02.01.02 </t>
  </si>
  <si>
    <t>1.1.02.07.002.01.02.01.03 </t>
  </si>
  <si>
    <t>Participación por el ejercicio del monopolio de licores y alcoholes potables -Educacion (14% LEY 1816/16) </t>
  </si>
  <si>
    <t>1.1.02.07.002.01.02.01.04 </t>
  </si>
  <si>
    <t>Participación por el ejercicio del monopolio de licores y alcoholes potables -Educacion (2% LEY 1816/16) </t>
  </si>
  <si>
    <t>1.1.02.07.002.01.02.01.05 </t>
  </si>
  <si>
    <t>Dererecho Explot. Monopolio Licores - Libre Destinacion Administracion Central 46% LEY 1816 </t>
  </si>
  <si>
    <t>1.1.02.07.002.01.02.01.06 </t>
  </si>
  <si>
    <t>Derecho Explot. Monopolio Licores - Fondo de Paz </t>
  </si>
  <si>
    <t>1.1.02.07.002.01.02.01.07 </t>
  </si>
  <si>
    <t>1.1.02.07.002.01.02.01.08 </t>
  </si>
  <si>
    <t>1.1.02.07.002.01.02.01.09 </t>
  </si>
  <si>
    <t>Dererecho Explot. Monopolio Licores - 1% I.C.L.D. (Areas de Interes Ambiental Ley 1450/2011 ART. 210) </t>
  </si>
  <si>
    <t>1.1.02.07.002.01.02.01.10 </t>
  </si>
  <si>
    <t>Derecho Explot. Monopolio Licores - FONDO DE RENTAS </t>
  </si>
  <si>
    <t>1.1.02.07.002.01.02.02 </t>
  </si>
  <si>
    <t>Derechos de monopolio por la introducción de licores destilados de producción extranjera </t>
  </si>
  <si>
    <t>1.1.02.07.002.01.02.02.01 </t>
  </si>
  <si>
    <t>1.1.02.07.002.01.02.02.02 </t>
  </si>
  <si>
    <t>1.1.02.07.002.01.02.02.03 </t>
  </si>
  <si>
    <t>1.1.02.07.002.01.02.02.04 </t>
  </si>
  <si>
    <t>1.1.02.07.002.01.02.02.05 </t>
  </si>
  <si>
    <t>1.1.02.07.002.01.02.02.06 </t>
  </si>
  <si>
    <t>1.1.02.07.002.01.02.02.07 </t>
  </si>
  <si>
    <t>1.1.02.07.002.01.02.02.08 </t>
  </si>
  <si>
    <t>1.1.02.07.002.01.02.02.09 </t>
  </si>
  <si>
    <t>1.1.02.07.002.01.02.02.10 </t>
  </si>
  <si>
    <t>1.2 </t>
  </si>
  <si>
    <t>1.2.02 </t>
  </si>
  <si>
    <t>Excedentes financieros </t>
  </si>
  <si>
    <t>1.2.02.02 </t>
  </si>
  <si>
    <t>Empresas industriales y comerciales del Estado no societarias </t>
  </si>
  <si>
    <t>1.2.02.02.01 </t>
  </si>
  <si>
    <t>1.2.03 </t>
  </si>
  <si>
    <t>Dividendos y utilidades por otras inversiones de capital </t>
  </si>
  <si>
    <t>1.2.03.02 </t>
  </si>
  <si>
    <t>1.2.03.02.02 </t>
  </si>
  <si>
    <t>1.2.05. </t>
  </si>
  <si>
    <t>Rendimientos financieros </t>
  </si>
  <si>
    <t>1.2.05.02 </t>
  </si>
  <si>
    <t>Depositos </t>
  </si>
  <si>
    <t>1.2.05.02.01 </t>
  </si>
  <si>
    <t>1.2.05.02.02 </t>
  </si>
  <si>
    <t>1.2.05.02.03 </t>
  </si>
  <si>
    <t>1.2.05.02.04 </t>
  </si>
  <si>
    <t>1.2.05.02.05 </t>
  </si>
  <si>
    <t>Rendimientos Estampillas </t>
  </si>
  <si>
    <t>1.2.05.02.05.01 </t>
  </si>
  <si>
    <t>Rendimientos Procultura </t>
  </si>
  <si>
    <t>1.2.05.02.05.01.01 </t>
  </si>
  <si>
    <t>1.2.05.02.05.01.02 </t>
  </si>
  <si>
    <t>1.2.05.02.05.01.03 </t>
  </si>
  <si>
    <t>1.2.05.02.05.01.04 </t>
  </si>
  <si>
    <t>1.2.05.02.05.02 </t>
  </si>
  <si>
    <t>Rendimientos Prodesarrollo </t>
  </si>
  <si>
    <t>1.2.05.02.05.02.01 </t>
  </si>
  <si>
    <t>1.2.05.02.05.02.02 </t>
  </si>
  <si>
    <t>1.2.05.02.05.02.03 </t>
  </si>
  <si>
    <t>1.2.05.02.05.02.04 </t>
  </si>
  <si>
    <t>1.2.05.02.05.03 </t>
  </si>
  <si>
    <t>Rendimientos Proelectrificacion </t>
  </si>
  <si>
    <t>1.2.05.02.05.03.01 </t>
  </si>
  <si>
    <t>1.2.05.02.05.03.02 </t>
  </si>
  <si>
    <t>1.2.05.02.05.04 </t>
  </si>
  <si>
    <t>1.2.05.02.05.04.01 </t>
  </si>
  <si>
    <t>1.2.05.02.05.04.02 </t>
  </si>
  <si>
    <t>1.2.05.02.05.04.03 </t>
  </si>
  <si>
    <t>1.2.05.02.05.05 </t>
  </si>
  <si>
    <t>Rendimientos Pro-UIS </t>
  </si>
  <si>
    <t>1.2.05.02.05.05.01 </t>
  </si>
  <si>
    <t>1.2.05.02.05.05.02 </t>
  </si>
  <si>
    <t>1.2.05.02.05.05.03 </t>
  </si>
  <si>
    <t>1.2.05.02.05.05.04 </t>
  </si>
  <si>
    <t>1.2.05.02.05.05.05 </t>
  </si>
  <si>
    <t>1.2.05.02.05.06 </t>
  </si>
  <si>
    <t>Rendimientos Para el Bienestar del Adulto Mayor </t>
  </si>
  <si>
    <t>1.2.05.02.05.06.01 </t>
  </si>
  <si>
    <t>1.2.05.02.05.07 </t>
  </si>
  <si>
    <t>Rendimientos Proanciano </t>
  </si>
  <si>
    <t>1.2.05.02.05.07.01 </t>
  </si>
  <si>
    <t>1.2.05.02.05.07.02 </t>
  </si>
  <si>
    <t>Rendimientos Proanciano - PENSIONES 20% </t>
  </si>
  <si>
    <t>1.2.05.02.06 </t>
  </si>
  <si>
    <t>Rendimientos Tasa Prodeporte y Recreacion </t>
  </si>
  <si>
    <t>1.2.05.02.07 </t>
  </si>
  <si>
    <t>1.2.05.02.08 </t>
  </si>
  <si>
    <t>Rendimientos Venta de Acciones Fondo Ganadero de Santander  </t>
  </si>
  <si>
    <t>1.2.05.02.09 </t>
  </si>
  <si>
    <t>Rendimiento Fondo de Vivienda  </t>
  </si>
  <si>
    <t>1.2.05.02.10 </t>
  </si>
  <si>
    <t>Rendimientos Fondo de Contingencia  </t>
  </si>
  <si>
    <t>1.2.05.02.11 </t>
  </si>
  <si>
    <t>Rendimientos pensiones FED  </t>
  </si>
  <si>
    <t>1.2.05.02.12 </t>
  </si>
  <si>
    <t>Rendimientos Fondo de Rentas  </t>
  </si>
  <si>
    <t>1.2.05.02.13 </t>
  </si>
  <si>
    <t>Rendimientos Fondo Reforestacion </t>
  </si>
  <si>
    <t>1.2.05.02.14 </t>
  </si>
  <si>
    <t>Rendimientos Contribución Sobre Contrato De Obra Publica </t>
  </si>
  <si>
    <t>1.2.05.02.15 </t>
  </si>
  <si>
    <t>Rendimientos Fondo De Reinserción Y Paz  </t>
  </si>
  <si>
    <t>1.2.05.02.16 </t>
  </si>
  <si>
    <t>Rendimientos Cesantias FED  </t>
  </si>
  <si>
    <t>1.2.05.02.17 </t>
  </si>
  <si>
    <t>Rendimientos Hospitales Liquidados  </t>
  </si>
  <si>
    <t>1.2.05.02.18 </t>
  </si>
  <si>
    <t>Rendimientos Financieros Excedentes IDESAN  </t>
  </si>
  <si>
    <t>1.2.05.02.19 </t>
  </si>
  <si>
    <t>Rendimientos Crédito Interno Banca Comercial  </t>
  </si>
  <si>
    <t>1.2.05.02.20 </t>
  </si>
  <si>
    <t>Rendimientos Margen De Comercialización  </t>
  </si>
  <si>
    <t>1.2.05.02.21 </t>
  </si>
  <si>
    <t>Rendimientos Financieros Area Interés Ambiental  </t>
  </si>
  <si>
    <t>1.2.05.02.22 </t>
  </si>
  <si>
    <t>Rendimientos Cuotas Partes Pensionales  </t>
  </si>
  <si>
    <t>1.2.05.02.23 </t>
  </si>
  <si>
    <t>Rendimientos Escisión Essa  </t>
  </si>
  <si>
    <t>1.2.05.02.24 </t>
  </si>
  <si>
    <t>1.2.05.02.25 </t>
  </si>
  <si>
    <t>1.2.05.02.26 </t>
  </si>
  <si>
    <t>1.2.05.02.27 </t>
  </si>
  <si>
    <t>1.2.05.02.28 </t>
  </si>
  <si>
    <t>1.2.05.02.29 </t>
  </si>
  <si>
    <t>1.2.05.02.30 </t>
  </si>
  <si>
    <t>1.2.05.02.31 </t>
  </si>
  <si>
    <t>1.2.05.02.32 </t>
  </si>
  <si>
    <t>1.2.05.02.33 </t>
  </si>
  <si>
    <t>1.2.05.02.34 </t>
  </si>
  <si>
    <t>1.2.05.02.35 </t>
  </si>
  <si>
    <t>1.2.05.02.36 </t>
  </si>
  <si>
    <t>Rendimientos Financieros Monopolio Licores y alcoholes potables -Educacion (14% LEY 1816/16) </t>
  </si>
  <si>
    <t>1.2.05.02.37 </t>
  </si>
  <si>
    <t>Rendimientos Financieros Monopolio Licores y alcoholes potables -Salud (14% LEY 1816/16) </t>
  </si>
  <si>
    <t>1.2.05.02.38 </t>
  </si>
  <si>
    <t>Rendimientos Financieros Participación por el ejercicio del monopolio de licores y alcoholes potables -Educacion (2% LEY 1816/16) </t>
  </si>
  <si>
    <t>1.2.05.02.39 </t>
  </si>
  <si>
    <t>Rendimientos Financieros Participación por el ejercicio del monopolio de licores y alcoholes potables -Salud (2% LEY 1816/16) </t>
  </si>
  <si>
    <t>1.2.05.02.40 </t>
  </si>
  <si>
    <t>1.2.05.02.41 </t>
  </si>
  <si>
    <t>Rendimientos Regalias Antiguas  </t>
  </si>
  <si>
    <t>1.2.05.02.42 </t>
  </si>
  <si>
    <t>1.2.05.02.43 </t>
  </si>
  <si>
    <t>1.2.08 </t>
  </si>
  <si>
    <t>Transferencia de Capital </t>
  </si>
  <si>
    <t>1.2.08.06 </t>
  </si>
  <si>
    <t>De otras entidades de gobieno general </t>
  </si>
  <si>
    <t>1.2.08.06.002 </t>
  </si>
  <si>
    <t>Condicionadas a la adquisicion de un activo </t>
  </si>
  <si>
    <t>1.2.08.06.002.01 </t>
  </si>
  <si>
    <t>Recursos de Cofinanciación </t>
  </si>
  <si>
    <t>1.2.08.06.002.01.01 </t>
  </si>
  <si>
    <t>1.2.10 </t>
  </si>
  <si>
    <t>1.2.10.02 </t>
  </si>
  <si>
    <t>Superávit fiscal  </t>
  </si>
  <si>
    <t>1.2.10.02.03 </t>
  </si>
  <si>
    <t>Recursos -Fondo de Mitigación de Emergencias (FOME) </t>
  </si>
  <si>
    <t>1.2.10.02.03.01 </t>
  </si>
  <si>
    <t>Resolución No 014663 del 10 de agosto de 2020 Rec Bce </t>
  </si>
  <si>
    <t>1.2.10.02.03.02 </t>
  </si>
  <si>
    <t>Directiva 17 del 20 de Noviembre del 2020- Min Educacion y Resolución No 022751 del 09 de diciembre de 2020 Rec Bce </t>
  </si>
  <si>
    <t>1.2.10.02.03.03 </t>
  </si>
  <si>
    <t>Directiva 18 del 28 de Diciembre y Resolución No 023869 del 28 de diciembre de 2020 Rec Bce </t>
  </si>
  <si>
    <t>1.2.10.02.04 </t>
  </si>
  <si>
    <t>Rendimientos Financieros Recursos Balance </t>
  </si>
  <si>
    <t>1.2.10.02.04.01 </t>
  </si>
  <si>
    <t>Rendimientos Financieros Recursos FOME Rec Bce </t>
  </si>
  <si>
    <t>1.2.10.02.04.01.001 </t>
  </si>
  <si>
    <t>1.2.12 </t>
  </si>
  <si>
    <t>Retiros FONPET </t>
  </si>
  <si>
    <t>1.2.12.01 </t>
  </si>
  <si>
    <t>Para el pago de bonos pensionales o cuotas partes de bonos pensionales Sin Sirtuacion de Fondos </t>
  </si>
  <si>
    <t>1.2.12.01.001 </t>
  </si>
  <si>
    <t>Para el pago de bonos y cuotas partes de bonos pensionales A y B Sin situacion de Fondos </t>
  </si>
  <si>
    <t>1.2.12.01.002 </t>
  </si>
  <si>
    <t>Para el pago de bonos y cuotas partes de bonos pensionales C y E Sin Sirtuacion de Fondos </t>
  </si>
  <si>
    <t>1.2.12.09 </t>
  </si>
  <si>
    <t>Retiro para pago de mesadas pensionales cuando la entidad ha cubierto el pasivo pensional. Con situación de fondos.  </t>
  </si>
  <si>
    <t>1.2.12.09.01 </t>
  </si>
  <si>
    <t>Desahorro FONPET  </t>
  </si>
  <si>
    <t>1.2.13 </t>
  </si>
  <si>
    <t>Reintegros y otros recursos no apropiados </t>
  </si>
  <si>
    <t>1.2.13.01 </t>
  </si>
  <si>
    <t>Reintegros </t>
  </si>
  <si>
    <t>1.2.13.01.01 </t>
  </si>
  <si>
    <t>1.2.13.01.02 </t>
  </si>
  <si>
    <t>1.2.13.01.03 </t>
  </si>
  <si>
    <t>Reintegros Estampillas </t>
  </si>
  <si>
    <t>1.2.13.01.03.01 </t>
  </si>
  <si>
    <t>1.2.13.01.03.01.01 </t>
  </si>
  <si>
    <t>1.2.13.01.03.02 </t>
  </si>
  <si>
    <t>1.2.13.01.03.02.01 </t>
  </si>
  <si>
    <t>Reintegros Pro Reforestacion - Inversion </t>
  </si>
  <si>
    <t>1.2.13.01.03.03 </t>
  </si>
  <si>
    <t>1.2.13.01.03.03.01 </t>
  </si>
  <si>
    <t>Reintegros Pro Cultura -Inversion </t>
  </si>
  <si>
    <t>1.2.13.01.03.04 </t>
  </si>
  <si>
    <t>1.2.13.01.03.04.01 </t>
  </si>
  <si>
    <t>Reintegros Pro-Anciano - Inversion </t>
  </si>
  <si>
    <t>1.2.13.01.03.05 </t>
  </si>
  <si>
    <t>1.2.13.01.03.05.01 </t>
  </si>
  <si>
    <t>Reintegros Pro-Electrificación - Inversion </t>
  </si>
  <si>
    <t>1.2.13.01.03.06 </t>
  </si>
  <si>
    <t>1.2.13.01.03.06.01 </t>
  </si>
  <si>
    <t>1.2.13.01.03.07 </t>
  </si>
  <si>
    <t>Reintegros Pro-Desarrollo </t>
  </si>
  <si>
    <t>1.2.13.01.03.07.01 </t>
  </si>
  <si>
    <t>1.2.13.01.03.07.02 </t>
  </si>
  <si>
    <t>1.2.13.01.03.07.03 </t>
  </si>
  <si>
    <t>1.2.13.01.04 </t>
  </si>
  <si>
    <t>1.2.13.01.05 </t>
  </si>
  <si>
    <t>1.2.13.01.06 </t>
  </si>
  <si>
    <t>1.2.13.01.07 </t>
  </si>
  <si>
    <t>1.2.13.01.08 </t>
  </si>
  <si>
    <t>1.2.13.01.09 </t>
  </si>
  <si>
    <t>1.2.13.01.10 </t>
  </si>
  <si>
    <t>1.2.13.01.11 </t>
  </si>
  <si>
    <t>1.2.13.01.12 </t>
  </si>
  <si>
    <t>1.2.13.01.13 </t>
  </si>
  <si>
    <t>1.2.13.01.14 </t>
  </si>
  <si>
    <t>Reintegros Crédito Interno FINDETER Vias  </t>
  </si>
  <si>
    <t>1.2.13.01.15 </t>
  </si>
  <si>
    <t>1.2.13.01.16 </t>
  </si>
  <si>
    <t>1.2.13.01.17 </t>
  </si>
  <si>
    <t>Reintegros Contribución Sobre Contrato de Obra Pública </t>
  </si>
  <si>
    <t>1.2.13.01.18 </t>
  </si>
  <si>
    <t>Reintegros Lectura de Bibliotecas ley 1379/2010  </t>
  </si>
  <si>
    <t>1.2.13.01.19 </t>
  </si>
  <si>
    <t>Reintegros ICLD Fondo de paz  </t>
  </si>
  <si>
    <t>1.2.13.01.20 </t>
  </si>
  <si>
    <t>Reintegros Programa PAE- 2016  </t>
  </si>
  <si>
    <t>1.2.13.01.21 </t>
  </si>
  <si>
    <t>1.2.13.01.40 </t>
  </si>
  <si>
    <t>Reintegros Rendimientos Margen De Comercialización  </t>
  </si>
  <si>
    <t>1.2.13.01.41 </t>
  </si>
  <si>
    <t>Reintegros Rendimientos ICLD Fondo De Contingencia  </t>
  </si>
  <si>
    <t>1.2.13.01.42 </t>
  </si>
  <si>
    <t>1.2.13.01.43 </t>
  </si>
  <si>
    <t>Reintegros Rendimientos Pro anciano  </t>
  </si>
  <si>
    <t>1.2.13.01.44 </t>
  </si>
  <si>
    <t>Reintegros Rendimientos Pro Cultura  </t>
  </si>
  <si>
    <t>1.2.13.01.45 </t>
  </si>
  <si>
    <t>Reintegros Rendimientos Pro Electrificación  </t>
  </si>
  <si>
    <t>1.2.13.01.46 </t>
  </si>
  <si>
    <t>Reintegros Rendimientos Pro Hospitales  </t>
  </si>
  <si>
    <t>1.2.13.01.47 </t>
  </si>
  <si>
    <t>Reintegros Rendimientos Pro Reforestación  </t>
  </si>
  <si>
    <t>1.2.13.01.48 </t>
  </si>
  <si>
    <t>1.2.13.01.49 </t>
  </si>
  <si>
    <t>1.2.13.01.50 </t>
  </si>
  <si>
    <t>1.2.13.01.51 </t>
  </si>
  <si>
    <t>1.2.13.01.52 </t>
  </si>
  <si>
    <t>1.2.13.01.53 </t>
  </si>
  <si>
    <t>1.2.13.01.54 </t>
  </si>
  <si>
    <t>1.2.13.01.55 </t>
  </si>
  <si>
    <t>1.2.13.01.56 </t>
  </si>
  <si>
    <t>1.2.13.01.57 </t>
  </si>
  <si>
    <t>1.2.13.01.58 </t>
  </si>
  <si>
    <t>1.2.13.01.59 </t>
  </si>
  <si>
    <t>1.2.13.01.60 </t>
  </si>
  <si>
    <t>1.2.13.01.61 </t>
  </si>
  <si>
    <t>1.2.13.01.62 </t>
  </si>
  <si>
    <t>1.2.13.01.63 </t>
  </si>
  <si>
    <t>1.2.13.01.64 </t>
  </si>
  <si>
    <t>1.2.13.01.65 </t>
  </si>
  <si>
    <t>Reintegros Rendimientos Finacieros Regalias Petroliferas  </t>
  </si>
  <si>
    <t>1.2.13.01.66 </t>
  </si>
  <si>
    <t>Reintegros Rendimientos Financieros ICLD Equidad de Genero Ord 28-2010  </t>
  </si>
  <si>
    <t>1.2.13.01.67 </t>
  </si>
  <si>
    <t>Reintegros Rendimientos Financieros Agua Potable y Saneamiento Basico (PDA)  </t>
  </si>
  <si>
    <t>1.2.13.01.68 </t>
  </si>
  <si>
    <t>Reintegros Rendimientos Financieros Areas de Interes ley 1450-2011  </t>
  </si>
  <si>
    <t>1.2.13.01.69 </t>
  </si>
  <si>
    <t>Reintegros Rendimientos Financieros Contribución a la Valorización  </t>
  </si>
  <si>
    <t>1.2.13.01.70 </t>
  </si>
  <si>
    <t>Reintegros Rendimientos Financieros Contrato No 368-2004  </t>
  </si>
  <si>
    <t>1.2.13.01.71 </t>
  </si>
  <si>
    <t>Reintegros Rendimientos Financieros Lectura de Bibliotecas ley 1379/2010  </t>
  </si>
  <si>
    <t>1.2.13.01.72 </t>
  </si>
  <si>
    <t>1.2.13.01.73 </t>
  </si>
  <si>
    <t>Reintegros Rendimientos Financieros ICLD Fondo de paz  </t>
  </si>
  <si>
    <t>1.2.13.01.74 </t>
  </si>
  <si>
    <t>Reintegros Rendimientos Financieros Crédito Interno Banca Comercial  </t>
  </si>
  <si>
    <t>1.1.01.02.105.01</t>
  </si>
  <si>
    <t>Impuesto al consumo de cervezas, sifones, refajos y mezclas - Nacionales</t>
  </si>
  <si>
    <t>1.1.01.02.105.01.01</t>
  </si>
  <si>
    <t xml:space="preserve">Impuesto al Consumo de Cerveza Nacional - Libre Destinacion - Administracion Central </t>
  </si>
  <si>
    <t>1.1.01.02.105.01.02</t>
  </si>
  <si>
    <t>Impuesto al Consumo de Cerveza Nacional - Fondo de Paz</t>
  </si>
  <si>
    <t>1.1.01.02.105.01.03</t>
  </si>
  <si>
    <t>Impuesto al Consumo de Cerveza Nacional - FONPET</t>
  </si>
  <si>
    <t>1.1.01.02.105.01.04</t>
  </si>
  <si>
    <t xml:space="preserve">Impuesto al Consumo de Cerveza Nacional - Patrimonio Autonomo </t>
  </si>
  <si>
    <t>1.1.01.02.105.01.05</t>
  </si>
  <si>
    <t xml:space="preserve">Impuesto al Consumo de Cerveza Naciona - 1%   I.C.L.D. (Areas   de  Interes Ambiental Ley  1450/2011  ART. 210) </t>
  </si>
  <si>
    <t>INGRESOS TOTALES  </t>
  </si>
  <si>
    <t>INGRESOS CORRIENTES  </t>
  </si>
  <si>
    <t>INGRESOS TRIBUTARIOS  </t>
  </si>
  <si>
    <t>IMPUESTOS DIRECTOS </t>
  </si>
  <si>
    <t>1.1.01.01.101 </t>
  </si>
  <si>
    <t>Impuesto a ganadores sorteos ordinarios </t>
  </si>
  <si>
    <t>1.1.01.01.101.01 </t>
  </si>
  <si>
    <t>1.1.01.01.101.02 </t>
  </si>
  <si>
    <t>1.1.01.01.101.03 </t>
  </si>
  <si>
    <t>Subcuenta Otros Gastos en Salud-Inversion  </t>
  </si>
  <si>
    <t>1.1.01.01.101.03.01 </t>
  </si>
  <si>
    <t>IMPUESTOS INDIRECTOS </t>
  </si>
  <si>
    <t>1.1.01.02.101 </t>
  </si>
  <si>
    <t>Impuesto de Loterias Fóraneas </t>
  </si>
  <si>
    <t>1.1.01.02.101.01 </t>
  </si>
  <si>
    <t>1.1.01.02.101.02 </t>
  </si>
  <si>
    <t>1.1.01.02.101.03 </t>
  </si>
  <si>
    <t>1.1.01.02.101.03.01 </t>
  </si>
  <si>
    <t>1.1.01.02.103 </t>
  </si>
  <si>
    <t>IVA SOBRE LICORES, VINOS APERITIVOS Y SIMILARES- NUEVO IVA 5% </t>
  </si>
  <si>
    <t>1.1.01.02.103.01 </t>
  </si>
  <si>
    <t>1.1.01.02.103.02 </t>
  </si>
  <si>
    <t>Subcuenta Otros Gastos en Salud-Inversión  </t>
  </si>
  <si>
    <t>1.1.01.02.103.02.01 </t>
  </si>
  <si>
    <t>IMPUESTO AL CONSUMO DE LICORES, VINOS , APERITIVOS Y SIMILARES  </t>
  </si>
  <si>
    <t>Impuesto al consumo de licores </t>
  </si>
  <si>
    <t>Derechos de Explotación de la Introducción de Licores de Producción Extranjera. </t>
  </si>
  <si>
    <t>1.1.01.02.104.01.02.03.01 </t>
  </si>
  <si>
    <t>Impuesto al consumo de vinos, aperitivos y similares </t>
  </si>
  <si>
    <t>Impuesto al consumo de vinos, aperitivos y similares con destinación a salud de producción nacional  </t>
  </si>
  <si>
    <t>1.1.01.02.104.02.01.03.01 </t>
  </si>
  <si>
    <t>Impuesto al consumo de vinos, aperitivos y similares con destinación a salud de producción extranjera </t>
  </si>
  <si>
    <t>1.1.01.02.104.02.02.03.01 </t>
  </si>
  <si>
    <t>IMPUESTO AL CONSUMO DE CERVEZA, SIFONES, REFAJOS Y MEZCLAS </t>
  </si>
  <si>
    <t>1.1.01.02.105.01 </t>
  </si>
  <si>
    <t>IMPUESTO AL CONSUMO DE CERVEZA, SIFONES, REFAJOS Y MEZCLAS -NACIONALES </t>
  </si>
  <si>
    <t>1.1.01.02.105.01.01 </t>
  </si>
  <si>
    <t>1.1.01.02.105.01.02 </t>
  </si>
  <si>
    <t>1.1.01.02.105.01.03 </t>
  </si>
  <si>
    <t>1.1.01.02.105.01.03.01 </t>
  </si>
  <si>
    <t>IMPUESTO AL CONSUMO DE CERVEZA, SIFONES, REFAJOS Y MEZCLAS -EXTRANJERO </t>
  </si>
  <si>
    <t>1.1.01.02.105.02.03.01 </t>
  </si>
  <si>
    <t>IMPUESTO AL CONSUMO DE CIGARRILLOS Y TABACOS </t>
  </si>
  <si>
    <t>1.1.01.02.106.02 </t>
  </si>
  <si>
    <t>COMPONENTE ADVALOREM DEL IMPUESTO DEL CONSUMO DE CIGARRILLOS Y TABACOS ELABORADOS </t>
  </si>
  <si>
    <t>1.1.01.02.106.02.01 </t>
  </si>
  <si>
    <t>COMPONENTE ADVALOREM DEL IMPUESTO DL CONSUMO DE CIGARRILLOS Y TABACOS ELABORADOS - NACIONAL </t>
  </si>
  <si>
    <t>1.1.01.02.106.02.01.01 </t>
  </si>
  <si>
    <t>1.1.01.02.106.02.02 </t>
  </si>
  <si>
    <t>COMPONENTE ADVALOREM DEL IMPUESTO DL CONSUMO DE CIGARRILLOS Y TABACOS ELABORADOS - EXTRANJERO </t>
  </si>
  <si>
    <t>1.1.01.02.106.02.02.02 </t>
  </si>
  <si>
    <t>1.1.02.02 </t>
  </si>
  <si>
    <t>TASAS Y DERECHOS ADMINISTRATIVOS </t>
  </si>
  <si>
    <t>1.1.02.02.101 </t>
  </si>
  <si>
    <t>AUTORIZACION DE MANEJO DE MEDICAMENTOS DE CONTROL ESPECIAL DEL ESTADO </t>
  </si>
  <si>
    <t>1.1.02.02.101.01 </t>
  </si>
  <si>
    <t>Venta de Medicamentos de Control Especial </t>
  </si>
  <si>
    <t>1.1.02.02.101.02 </t>
  </si>
  <si>
    <t>1.1.02.02.101.03 </t>
  </si>
  <si>
    <t>1.1.02.02.101.04 </t>
  </si>
  <si>
    <t>1.1.02.05.002 </t>
  </si>
  <si>
    <t>VENTAS INCIDENTALES DE ESTABLECIMIENTOS NO DE MERCADO </t>
  </si>
  <si>
    <t>1.1.02.05.002.003 </t>
  </si>
  <si>
    <t>Otros bienes transportables </t>
  </si>
  <si>
    <t>1.1.02.05.002.003.01 </t>
  </si>
  <si>
    <t>Venta de Servicios de Laboratorio Salud Publica </t>
  </si>
  <si>
    <t>TRANSFERENCIAS CORRIENTES </t>
  </si>
  <si>
    <t>SISTEMA GENERAL DE PARTICIPACION </t>
  </si>
  <si>
    <t>1.1.02.06.001.02 </t>
  </si>
  <si>
    <t>PARTICIPACION PARA SALUD </t>
  </si>
  <si>
    <t>1.1.02.06.001.02.02 </t>
  </si>
  <si>
    <t>S. G. P. Salud - Salud Publica  </t>
  </si>
  <si>
    <t>1.1.02.06.001.02.04 </t>
  </si>
  <si>
    <t>S. G. P. Salud - Complemento y Compensación Prestación de servicios a población pobre no afiliada ( municipios certificados )  </t>
  </si>
  <si>
    <t>TRANSFERENCIAS DE OTRAS ENTIDADES DEL GOBIERNO GENERAL </t>
  </si>
  <si>
    <t>1.1.02.06.006.01 </t>
  </si>
  <si>
    <t>APORTES NACION </t>
  </si>
  <si>
    <t>1.1.02.06.006.01.01 </t>
  </si>
  <si>
    <t>AYUDAS FINANCIERAS DE LA NACION PARA PROGRAMAS Y CAMPAÑAS DE SALUD PUBLICA  </t>
  </si>
  <si>
    <t>1.1.02.06.006.01.01.02 </t>
  </si>
  <si>
    <t>Campañas Directas ETV  </t>
  </si>
  <si>
    <t>1.1.02.06.006.01.01.03 </t>
  </si>
  <si>
    <t>Campañas Control Lepra  </t>
  </si>
  <si>
    <t>1.1.02.06.006.01.01.04 </t>
  </si>
  <si>
    <t>Campaña Control Tuberculosis  </t>
  </si>
  <si>
    <t>OTRAS UNIDADES DE GOBIERNO </t>
  </si>
  <si>
    <t>OTRAS TRANSFERENCIAS DEL NIVEL DEPARTAMENTAL  </t>
  </si>
  <si>
    <t>1.1.02.06.006.06.01.01 </t>
  </si>
  <si>
    <t>1.1.02.06.006.06.01.01.01 </t>
  </si>
  <si>
    <t>1.1.02.06.006.06.01.01.02 </t>
  </si>
  <si>
    <t>Otros Gastos en Salud-Inversion  </t>
  </si>
  <si>
    <t>1.1.02.06.006.06.01.02 </t>
  </si>
  <si>
    <t>SUB CUENTA DE PRESTACION DE SERVICIOS DE SALUD EN LO NO CUBIERTO POR SUBSIDIOS A LA DEMANDA  </t>
  </si>
  <si>
    <t>Ayudas Financieras de la Nacion para Programas de Salud -Prestacion Servicios  </t>
  </si>
  <si>
    <t>COLJUEGOS 75 % - Inversión en salud. ( Ley 643 de 2001, Ley 1122 de 2007 y Ley 1151 de 2007 )  </t>
  </si>
  <si>
    <t>Subcuenta Otros Gastos en Salud Funcionamiento  </t>
  </si>
  <si>
    <t>COLJUEGOS (máximo el 25 % en los términos del Art. 60 de la Ley 715)  </t>
  </si>
  <si>
    <t>PARTICIPACION Y DERECHO DE MONOPOLIO </t>
  </si>
  <si>
    <t>1.1.02.07.001 </t>
  </si>
  <si>
    <t>Derechos por la explotación Juegos de Suerte y Azar </t>
  </si>
  <si>
    <t>1.1.02.07.001.03 </t>
  </si>
  <si>
    <t>Derechos por la explotación Juegos de Suerte y Azar de loteria tradicional </t>
  </si>
  <si>
    <t>1.1.02.07.001.03.01 </t>
  </si>
  <si>
    <t>1.1.02.07.001.03.02 </t>
  </si>
  <si>
    <t>1.1.02.07.001.03.03 </t>
  </si>
  <si>
    <t>1.1.02.07.001.03.03.01 </t>
  </si>
  <si>
    <t>1.1.02.07.001.04 </t>
  </si>
  <si>
    <t>Derechos por la explotación Juegos de Suerte y Azar por Apuestas permanente o chance </t>
  </si>
  <si>
    <t>1.1.02.07.001.04.01 </t>
  </si>
  <si>
    <t>1.1.02.07.001.04.02 </t>
  </si>
  <si>
    <t>1.1.02.07.001.04.03 </t>
  </si>
  <si>
    <t>1.1.02.07.001.04.03.01 </t>
  </si>
  <si>
    <t>1.1.02.07.001.06 </t>
  </si>
  <si>
    <t>Derechos por la explotación Juegos de Suerte y Azar de juegos promocionales. </t>
  </si>
  <si>
    <t>1.1.02.07.001.06.01 </t>
  </si>
  <si>
    <t>1.1.02.07.001.06.02 </t>
  </si>
  <si>
    <t>1.1.02.07.001.06.03 </t>
  </si>
  <si>
    <t>1.1.02.07.001.06.03.01 </t>
  </si>
  <si>
    <t>RECURSOS DE CAPITAL </t>
  </si>
  <si>
    <t>1.2.05 </t>
  </si>
  <si>
    <t>RENDIMIENTOS FINANCIEROS </t>
  </si>
  <si>
    <t>Depósitos </t>
  </si>
  <si>
    <t>SUBCUENTA OTROS GASTOS EN SALUD - FUNCIONAMIENTO  </t>
  </si>
  <si>
    <t>1.2.05.02.01.01 </t>
  </si>
  <si>
    <t>Rendimientos Financieros-Subcuent Otros Gastos en Salud - Funcionamiento  </t>
  </si>
  <si>
    <t>1.2.05.02.02.01 </t>
  </si>
  <si>
    <t>Rendimientos Financieros Subcta Otros Gastos en Salud Inversión  </t>
  </si>
  <si>
    <t>1.2.05.02.02.02 </t>
  </si>
  <si>
    <t>Rendimientos Financieros Subcta Prestacion Servicios Poblacion Pobre no Asegurada  </t>
  </si>
  <si>
    <t>1.2.05.02.02.03 </t>
  </si>
  <si>
    <t>Rendimientos Financieros Subcta Salud Publica Colectiva  </t>
  </si>
  <si>
    <t>TRANSFERENCIA DE CAPITAL </t>
  </si>
  <si>
    <t>1.2.08.04 </t>
  </si>
  <si>
    <t>PREMIOS NO RECLAMADOS </t>
  </si>
  <si>
    <t>1.2.08.04.002 </t>
  </si>
  <si>
    <t>Premios de Loterias </t>
  </si>
  <si>
    <t>1.2.08.04.002.01 </t>
  </si>
  <si>
    <t>SUBCUENTA OTROS GASTOS EN SALUD-INVERSION  </t>
  </si>
  <si>
    <t>1.2.08.04.002.01.01 </t>
  </si>
  <si>
    <t>1.2.08.04.004 </t>
  </si>
  <si>
    <t>Premios de Juegos novedosos </t>
  </si>
  <si>
    <t>1.2.08.04.004.01 </t>
  </si>
  <si>
    <t>SUBCUENTA OTROS GASTOS EN SALUD INVERSION   </t>
  </si>
  <si>
    <t>1.2.08.04.004.01.01 </t>
  </si>
  <si>
    <t>Eje Programatico de Aseguramiento  </t>
  </si>
  <si>
    <t>Ingresos </t>
  </si>
  <si>
    <t>Ingresos Corrientes </t>
  </si>
  <si>
    <t>Ingresos no tributarios </t>
  </si>
  <si>
    <t>1.1.02.06.001.01.01 </t>
  </si>
  <si>
    <t>Prestación de servicio educativo </t>
  </si>
  <si>
    <t>Calidad </t>
  </si>
  <si>
    <t>1.1.02.06.001.01.03.01 </t>
  </si>
  <si>
    <t>Calidad por matrícula oficial </t>
  </si>
  <si>
    <t>Recursos de capital </t>
  </si>
  <si>
    <t>Recursos del balance </t>
  </si>
  <si>
    <t>1.2.10.01 </t>
  </si>
  <si>
    <t>Cancelación reservas </t>
  </si>
  <si>
    <t>Superávit fiscal </t>
  </si>
  <si>
    <t>1.2.10.02.01 </t>
  </si>
  <si>
    <t>1.2.10.02.02 </t>
  </si>
  <si>
    <t>Registro de Programas </t>
  </si>
  <si>
    <t>1.2.13.02 </t>
  </si>
  <si>
    <t>Recursos no apropiados </t>
  </si>
  <si>
    <t>1.02 </t>
  </si>
  <si>
    <t>1.02.6 </t>
  </si>
  <si>
    <t>ASIGNACIONES Y DISTRIBUCIONES DEL SISTEMA GENERAL DE REGALÍAS </t>
  </si>
  <si>
    <t>1.02.6.01 </t>
  </si>
  <si>
    <t>ADMINISTRACIÓN, SSEC, INVERSIÓN Y AHORRO PARA LA ESTABILIZACIÓN DE LA INVERSIÓN DEL SGR </t>
  </si>
  <si>
    <t>1.02.6.01.01 </t>
  </si>
  <si>
    <t>ADMINISTRACIÓN DEL SISTEMA GENERAL DE REGALÍAS </t>
  </si>
  <si>
    <t>1.02.6.01.01.01 </t>
  </si>
  <si>
    <t>FUNCIONAMIENTO, OPERATIVIDAD Y ADMINISTRACIÓN DEL SISTEMA Y EVALUACIÓN Y MONITOREO DEL LICENCIAMIENTO AMBIENTAL A LOS PROYECTOS DE EXPLORACIÓN Y EXPLOTACIÓN </t>
  </si>
  <si>
    <t>1.02.6.01.01.01.4 </t>
  </si>
  <si>
    <t>FORTALECIMIENTO DE LAS SECRETARÍA TÉCNICAS DE LOS OCADS REGIONALES, DEL OCAD PARA LA PAZ Y DEL OCAD DE CTEI </t>
  </si>
  <si>
    <t>1.02.6.01.03 </t>
  </si>
  <si>
    <t>ASIGNACIONES DEL SISTEMA GENERAL DE REGALÍAS </t>
  </si>
  <si>
    <t>1.02.6.01.03.01 </t>
  </si>
  <si>
    <t>ASIGNACIONES DIRECTAS </t>
  </si>
  <si>
    <t>1.02.6.01.03.01.1 </t>
  </si>
  <si>
    <t>ASIGNACIONES DIRECTAS (20% DEL SGR) </t>
  </si>
  <si>
    <t>1.02.6.01.03.02 </t>
  </si>
  <si>
    <t>ASIGNACIÓN PARA LA INVERSIÓN LOCAL </t>
  </si>
  <si>
    <t>1.02.6.01.03.02.1 </t>
  </si>
  <si>
    <t>ASIGNACIÓN PARA LA INVERSIÓN LOCAL SEGÚN NBI Y CUARTA, QUINTA, Y SEXTA CATEGORÍA </t>
  </si>
  <si>
    <t>1.02.6.01.03.03 </t>
  </si>
  <si>
    <t>ASIGNACIÓN PARA LA INVERSIÓN REGIONAL </t>
  </si>
  <si>
    <t>1.02.6.01.03.03.1 </t>
  </si>
  <si>
    <t>ASIGNACIÓN PARA LA INVERSIÓN REGIONAL - DEPARTAMENTOS </t>
  </si>
  <si>
    <t>1.02.6.01.03.06 </t>
  </si>
  <si>
    <t>ASIGNACIÓN PARA LA CIENCIA, TECNOLOGÍA E INNOVACIÓN </t>
  </si>
  <si>
    <t>1.02.6.01.03.06.3 </t>
  </si>
  <si>
    <t>ASIGNACIÓN PARA LA CIENCIA, TECNOLOGÍA E INNOVACIÓN - CONVOCATORIAS 2021 </t>
  </si>
  <si>
    <t>1.02.6.01.03.07 </t>
  </si>
  <si>
    <t>ASIGNACIÓN PARA LA PAZ </t>
  </si>
  <si>
    <t>1.02.6.01.03.07.1 </t>
  </si>
  <si>
    <t>1.02.6.01.03.07.4 </t>
  </si>
  <si>
    <t>PROYECTOS DE INFRAESTRUCTURA DE TRANSPORTE PARA LA IMPLEMENTACIÓN DEL ACUERDO FINAL, PARAGRAFO 8° TRANSITORIO DEL ART . 361 DE LA C.P </t>
  </si>
  <si>
    <t>  </t>
  </si>
  <si>
    <t>SISTEMA GENERAL DE REGALIAS CUENTA MAESTRA </t>
  </si>
  <si>
    <t>INGRESOS </t>
  </si>
  <si>
    <t>SISTEMA GENERAL DE REGALIAS SPGR </t>
  </si>
  <si>
    <t>TOTAL PRESUPUESTO </t>
  </si>
  <si>
    <t>TOTAL PRESUPUESTO DE INGRESOS  SISTEMA GENERAL DE REGALIAS</t>
  </si>
  <si>
    <t>PARTICIPACION POR EL EJERCICIO DE MONOPOLIO DE LICORES Y ALCOHOLES POTABLES - EDUCACION (2% LEY 1816/16) REC BCE </t>
  </si>
  <si>
    <t>PRO-CULTURA-LECTURA DE BIBLIOTECAS LEY 1379/10 REC BCE </t>
  </si>
  <si>
    <t>RENDIMIENTOS CONTRIBUCIóN SOBRE CONTRATO DE OBRA PUBLICA-FONDO ESPECIAL GOBERNADOR  REC BCE </t>
  </si>
  <si>
    <t>REINTEGRO POR INCAPACIDADES LABORALES REC BCE </t>
  </si>
  <si>
    <t>RENDIMIENTOS FINANCIEROS MONOPOLIO LICORES Y ALCOHOLES POTABLES -EDUCACION (14% LEY 1816/16) </t>
  </si>
  <si>
    <t>RENDIMIENTOS FINANCIEROS EXCEDENTES IDESAN REC BCE </t>
  </si>
  <si>
    <t>RENDIMIENTOS FINANCIEROS BOLSA COMUN DE LOS 82 DEL DPTO DE SDER ALIMENTACION ESCOLAR REC BCE </t>
  </si>
  <si>
    <t>RENDIMIENTOS FINANCIEROS ALIMENTACION ESCOLAR LEY 1450/11 (ICBF/MEN) REC BCE </t>
  </si>
  <si>
    <t>APORTE M. ZAPATOCA SGP-AGUA POTABLE Y S BASICO P. 2019000050054, S. ACUERD OCAD DPTAL N° 078/19  C. INT. NO 638/19 NACION R. GOB.2098/19 C ENTRE MIN-VIVIENDA CIUD TERRIT D.SDER -M. ZAPATOC REC BCE </t>
  </si>
  <si>
    <t>CONVENIO 2057-2018 MININTERIOR-FONSECON RADICADO GOBERNACION N° 2120-2018 REC BCE </t>
  </si>
  <si>
    <t>APORTE MINIST VIVIENDA PGN PROY 2019000050054, SEGúN ACUERDO OCAD DTAL N° 078 DE 2019 CONV. I.ADM NO 638/19 NACION RAD GOB N° 2098/19 CEL. ENT MIN.VIVIENDA CIUD.TERRIT.DPTO SDER M. ZAPATOCA REC.BCE </t>
  </si>
  <si>
    <t>ESCISION ESSA REC. BCE </t>
  </si>
  <si>
    <t>ICLD (FONDO DE VIVIENDA) REC.BCE </t>
  </si>
  <si>
    <t>DIVIDENDOS ELECTRIFICADORA ESSA REC BCE </t>
  </si>
  <si>
    <t>DIVIDENDOS INMOBILIARIA CADENALCO TERPEL REC BCE </t>
  </si>
  <si>
    <t>DIVIDENDOS BANCO POPULAR REC.BCE </t>
  </si>
  <si>
    <t>DIVIDENDOS:</t>
  </si>
  <si>
    <t>ALIMENTACION ESCOLAR LEY 1450 DE 2011 (PAE JORNADA UNICA)  </t>
  </si>
  <si>
    <t>ALIMENTACION ESCOLAR LEY 1450 DE 2011 (PAE REGULAR)  </t>
  </si>
  <si>
    <t>BOLSA COMUN DE LOS 82 MUNICIPIOS DEL DPTO DE SDER ALIMENTACION ESCOLAR REC BCE </t>
  </si>
  <si>
    <t>BOLSA COMUN-MUNICIPIOS NO CERTIFICADOS EN EDUCACION </t>
  </si>
  <si>
    <t>SUPERAVIT FISCAL ADICIONADOS Y NO EJECUTADOS ALIMENTACION ESCOLAR LEY 1450/11 (ICBF/MEN) (VIG 2018) REC BCE </t>
  </si>
  <si>
    <t>SUPERAVIT FISCAL ALIMENTACION ESCOLAR LEY 1450/11 (ICBF MEN) (VIG 2019) REC BCE </t>
  </si>
  <si>
    <t>SISTEMA GENERAL DE PARTICIPACION-EDUCACION-RECURSOS DE CALIDAD DOCUMENTO 046-2020 </t>
  </si>
  <si>
    <t>VENTA DE ACTIVOS ELECTRIFICACION LINEA 115 REC BCE </t>
  </si>
  <si>
    <t>SGP CANCELACIONES FED </t>
  </si>
  <si>
    <t>PRO-HOSPITAL-PATRIMONIO AUTONOMO REC BCE </t>
  </si>
  <si>
    <t>AFN - RESOL. MINSOCIAL NO. 1516 DE 2020 - DISCAPACIDAD </t>
  </si>
  <si>
    <t>AFN - RESOL. MINSOCIAL NO. 1762 DE 2020 - MUJERES VICTIMAS DE VIOLENCIA </t>
  </si>
  <si>
    <t>AFN - RESOL. MINSOCIAL NO. 504/20 CONTROL LEPRA </t>
  </si>
  <si>
    <t>AFN - RESOL. MINSOCIAL NO.626 /20 COVID-19  </t>
  </si>
  <si>
    <t>AFN.ETV-VIATICOS-REC. BCE. </t>
  </si>
  <si>
    <t>AFN-ETV-GASTOS GENERALES  REC.BCE. </t>
  </si>
  <si>
    <t>AFN-ETV-SERV. PERS ASOCIAD A LA NOMINA </t>
  </si>
  <si>
    <t>AFN-RESOL. MINSOCIAL  NO.506/20 CONTROL TUBERCULOSIS </t>
  </si>
  <si>
    <t>MARGEN DE COMERCIALIZACION REC.BCE </t>
  </si>
  <si>
    <t>RENTAS CEDIDAS - LICORES (MONOPOLIO) - INVERSION OFERTA </t>
  </si>
  <si>
    <t>RENTAS CEDIDAS- CERVEZA NACIONAL - INVERSION OFERTA </t>
  </si>
  <si>
    <t>RENTAS CEDIDAS- CERVEZA EXTRANJERA - INVERSION OFERTA </t>
  </si>
  <si>
    <t>VENTA DE ACCIONES FONDO GANADERO DE SANTANDER REC BCE </t>
  </si>
  <si>
    <t>VENTA Y DISTRIBUCION SOMETIDOS A FISCALIZACION Y MONOPOLIO REC.BCE. </t>
  </si>
  <si>
    <t>REINTEGRO APORTE 5.5% CONTRATO 0898/2010 REC.BCE </t>
  </si>
  <si>
    <t>CONT ESPEC N° 2200863 DERIVADO DEL CONT. PLAN NACION DNP Y EL DPTO DE SADER. RAD DPTO 1155/2020 </t>
  </si>
  <si>
    <t>1.2.10.02.04.02 </t>
  </si>
  <si>
    <t>Rendimientos Financieros ICLD Rec Bce </t>
  </si>
  <si>
    <t>1.2.10.02.04.02.01 </t>
  </si>
  <si>
    <t>1.2.10.02.04.03 </t>
  </si>
  <si>
    <t>Rendimientos Financieros Contribución Sobre Contratos de Obra Publica Rec.Bce </t>
  </si>
  <si>
    <t>1.2.10.02.04.03.01 </t>
  </si>
  <si>
    <t>Rendimientos Financieros Contribución Sobre Contratos de Obra Publica Ejercito Nacional Rec.Bce </t>
  </si>
  <si>
    <t>1.2.10.02.05 </t>
  </si>
  <si>
    <t>ICLD Rec Bce </t>
  </si>
  <si>
    <t>1.2.10.02.05.01 </t>
  </si>
  <si>
    <t>1.2.10.02.06 </t>
  </si>
  <si>
    <t>Utilidades Empresa Essa Rec Bce </t>
  </si>
  <si>
    <t>1.2.10.02.06.01 </t>
  </si>
  <si>
    <t>1.2.10.02.07 </t>
  </si>
  <si>
    <t>Contribución sobre contratos de Obra Pública Rec Bce </t>
  </si>
  <si>
    <t>1.2.10.02.07.01 </t>
  </si>
  <si>
    <t>Contribución Sobre Contrato de Obra Publica-Unidad Especial Migración Colombia Rec.Bce </t>
  </si>
  <si>
    <t>1.2.10.02.07.02 </t>
  </si>
  <si>
    <t>Contribución Sobre Contrato de Obra Publica - Ejercito Nacional Rec. Bce </t>
  </si>
  <si>
    <t>1.2.10.02.07.03 </t>
  </si>
  <si>
    <t>Contribución Sobre Cto de Obra Publica- Policia Nacional Rec.Bce </t>
  </si>
  <si>
    <t>1.2.10.02.07.04 </t>
  </si>
  <si>
    <t>Contribución Sobre Contrato de Obra Publica -CTI Rec.Bce </t>
  </si>
  <si>
    <t>1.2.10.02.07.05 </t>
  </si>
  <si>
    <t>Contribución Sobre Contrato de Obra Publica - Unidad Nacional De Protección UNP Rec.Bce </t>
  </si>
  <si>
    <t>1.2.10.02.07.06 </t>
  </si>
  <si>
    <t>Contribución Sobre Contratos Obra Publica Fondo de Seguridad Ciudadana Rec Bce </t>
  </si>
  <si>
    <t>1.2.10.02.08 </t>
  </si>
  <si>
    <t>Recursos de Cofinanciación Rec.Bce </t>
  </si>
  <si>
    <t>1.2.10.02.08.001 </t>
  </si>
  <si>
    <t>Convenio Especifico N° 3036318 Ecopetrol Radicado Dpto de Sder N°2273/2020 Rec.Bce </t>
  </si>
  <si>
    <t>RECURSOS DE BALANCE </t>
  </si>
  <si>
    <t>SUPERÁVIT FISCAL </t>
  </si>
  <si>
    <t>SUPERÁVIT FISCAL SALUD </t>
  </si>
  <si>
    <t>1.2.10.02.01.01 </t>
  </si>
  <si>
    <t>Subcuenta Salud Pública Rec. Bce </t>
  </si>
  <si>
    <t>Otros Gastos en Salud-Inversion  14%  Monopolio</t>
  </si>
  <si>
    <t>1.1.02.06.006.01.02 </t>
  </si>
  <si>
    <t>1.1.02.06.006.01.02.01 </t>
  </si>
  <si>
    <t>1.1.02.06.006.01.03 </t>
  </si>
  <si>
    <t>1.1.02.06.006.01.03.01 </t>
  </si>
  <si>
    <t>1.1.02.06.006.01.03.01.01 </t>
  </si>
  <si>
    <t>1.1.02.06.006.01.03.02 </t>
  </si>
  <si>
    <t>Ayudas Financieras de la Nación para Programas de Salud - Otros Gastos en Salud </t>
  </si>
  <si>
    <t>1.1.02.06.006.01.04 </t>
  </si>
  <si>
    <t>1.1.02.06.006.01.04.01 </t>
  </si>
  <si>
    <t>1.2.07.01.001.01 </t>
  </si>
  <si>
    <t>Crédito Interno Banca Comercial 2021 Banco de Occidente </t>
  </si>
  <si>
    <t>1.2.07.01.001.02 </t>
  </si>
  <si>
    <t>Crédito Interno Banca Comercial 2021 Banco Popular S.A </t>
  </si>
  <si>
    <t>1.2.07 </t>
  </si>
  <si>
    <t>Recursos de crédito interno </t>
  </si>
  <si>
    <t>1.2.07.01 </t>
  </si>
  <si>
    <t>Recursos de contratos de empréstitos internos </t>
  </si>
  <si>
    <t>1.2.07.01.001 </t>
  </si>
  <si>
    <t>Banca comercial </t>
  </si>
  <si>
    <t>RECURSOS DE CREDITO INTERNO </t>
  </si>
  <si>
    <t>Banca Comercial </t>
  </si>
  <si>
    <t>1.2.10.02.04.04 </t>
  </si>
  <si>
    <t>Rendimientos Financieros Estampillas </t>
  </si>
  <si>
    <t>1.2.10.02.04.04.01 </t>
  </si>
  <si>
    <t>Rendimientos Financieros Pro Anciano Rec Bce </t>
  </si>
  <si>
    <t>1.2.10.02.04.04.02 </t>
  </si>
  <si>
    <t>Rendimientos Financieros del Gestor Creador Rec Bce </t>
  </si>
  <si>
    <t>1.2.10.02.04.04.03 </t>
  </si>
  <si>
    <t>Rendimientos Financieros Procultura Lectura de Bibliotecas ley 1379/10 Rec Bce </t>
  </si>
  <si>
    <t>1.2.10.02.04.04.04 </t>
  </si>
  <si>
    <t>Rendimientos Financieros Pro Electrificacion Rec Bce </t>
  </si>
  <si>
    <t>1.2.10.02.04.04.05 </t>
  </si>
  <si>
    <t>Rendimientos Pro Reforestacion Rec Bce </t>
  </si>
  <si>
    <t>1.2.10.02.04.04.06 </t>
  </si>
  <si>
    <t>Rendimientos Financieros Pro-Hospital Rec Bce </t>
  </si>
  <si>
    <t>1.2.10.02.04.04.07 </t>
  </si>
  <si>
    <t>Rendimientos Financieros Pro Hospitales Pasivo Pensional Hospitales Universitarios Liquidados Rec Bce </t>
  </si>
  <si>
    <t>1.2.10.02.04.04.08 </t>
  </si>
  <si>
    <t>Rendimientos Financieros Pro Anciano 20% Pasivo Pensional Rec Bce </t>
  </si>
  <si>
    <t>1.2.10.02.04.04.09 </t>
  </si>
  <si>
    <t>Rendimientos Financieros Pro-Hospital 20% Pasivo Pensional Rec Bce </t>
  </si>
  <si>
    <t>1.2.10.02.04.04.10 </t>
  </si>
  <si>
    <t>Rendimientos Financieros Pro-Cultura 20% Pasivo Pensional Rec Bce </t>
  </si>
  <si>
    <t>1.2.10.02.04.04.11 </t>
  </si>
  <si>
    <t>Rendimientos Financieros Pro-Electrificacion 20% Pasivo Pensional Rec Bce </t>
  </si>
  <si>
    <t>1.2.10.02.04.04.12 </t>
  </si>
  <si>
    <t>Rendimientos Financieros Pro Desarrollo 20% Pasivo Pensional Rec Bce </t>
  </si>
  <si>
    <t>1.2.10.02.04.04.13 </t>
  </si>
  <si>
    <t>Rendimientos Financieros Pro-desarrollo - Inversion 25% Infraestruct. Deportiva Rec Bce </t>
  </si>
  <si>
    <t>1.2.10.02.04.04.14 </t>
  </si>
  <si>
    <t>Rendimientos Pro-desarrollo - Inversion 25% Infraestruct. Educativa Rec Bce </t>
  </si>
  <si>
    <t>1.2.10.02.04.04.15 </t>
  </si>
  <si>
    <t>Rendimientos Financieros Pro Reforestacion 20% Pasivo Pensional Rec Bce </t>
  </si>
  <si>
    <t>1.2.10.02.04.04.16 </t>
  </si>
  <si>
    <t>Rendimientos Financieros Pro Uis (Unipaz ) 20% Pasivo Pensional </t>
  </si>
  <si>
    <t>Rendimientos Financieros Pro-Cultura Inversion Rec Bce </t>
  </si>
  <si>
    <t>1.2.10.02.04.04.17 </t>
  </si>
  <si>
    <t>Rendimientos Financieros Pro Uis (Unidades Tecnologicas de Santander) 20% Pasivo Pensional Rec Bce </t>
  </si>
  <si>
    <t>1.2.10.02.04.05 </t>
  </si>
  <si>
    <t>Rendimientos Financieros Contribucion Valorizacion Rec Bce </t>
  </si>
  <si>
    <t>1.2.10.02.04.06 </t>
  </si>
  <si>
    <t>Rendimientos Financieros Escision Essa Rec Bce </t>
  </si>
  <si>
    <t>1.2.10.02.04.07 </t>
  </si>
  <si>
    <t>Rendimientos Financeros Acreencias Hospitales Liquidados Rec Bce </t>
  </si>
  <si>
    <t>1.2.10.02.04.08 </t>
  </si>
  <si>
    <t>Rendimientos Financieros de Excedentes Aportes Patronales Hospitales Liquidados Rec Bce </t>
  </si>
  <si>
    <t>1.2.10.02.04.09 </t>
  </si>
  <si>
    <t>Rendimientos Hospitales Liquidados Rec Bce </t>
  </si>
  <si>
    <t>1.2.10.02.04.10 </t>
  </si>
  <si>
    <t>Rendimientos Financieros Excedentes IDESAN Rec Bce </t>
  </si>
  <si>
    <t>1.2.10.02.04.11 </t>
  </si>
  <si>
    <t>Rendimientos Financieros Cuotas Partes Pensionales Rec Bce </t>
  </si>
  <si>
    <t>1.2.10.02.04.12 </t>
  </si>
  <si>
    <t>Rendimientos Financieros Valorizacion De Activos Empresa Essa (Compra De Actvos Electricos) Rec Bce </t>
  </si>
  <si>
    <t>1.2.10.02.04.13 </t>
  </si>
  <si>
    <t>Rendimientos Financieros Utilidades Empresa Essa Rec Bce </t>
  </si>
  <si>
    <t>1.2.10.02.04.15 </t>
  </si>
  <si>
    <t>Rendimientos Financieros Dividendos Rec Bce </t>
  </si>
  <si>
    <t>1.2.10.02.04.17 </t>
  </si>
  <si>
    <t>Rendimientos Financieros Remates (Venta De Terrenos) Rec Bce  </t>
  </si>
  <si>
    <t>1.2.10.02.04.19 </t>
  </si>
  <si>
    <t>Rendimientos Financieros Cesantias Fed Rec Bce </t>
  </si>
  <si>
    <t>1.2.10.02.04.20 </t>
  </si>
  <si>
    <t>Rendimientos Financieros Sgp Agua Potable y Saneamiento Basico Rec Bce </t>
  </si>
  <si>
    <t>1.2.10.02.04.21 </t>
  </si>
  <si>
    <t>Rendimientos Financieros Credito Interno Banca Comercial Rec Bce </t>
  </si>
  <si>
    <t>1.2.10.02.04.22 </t>
  </si>
  <si>
    <t>Rendimientos Financieros Fondo Tabacalero Rec Bce </t>
  </si>
  <si>
    <t>1.2.10.02.04.23 </t>
  </si>
  <si>
    <t>Rendimientos Financieros Fonpet 10% Rec Bce </t>
  </si>
  <si>
    <t>1.2.10.02.04.24 </t>
  </si>
  <si>
    <t>Rendimientos Financierosn Fondo de Paz Rec Bce </t>
  </si>
  <si>
    <t>1.2.10.02.04.25 </t>
  </si>
  <si>
    <t>Rendimientos Financieros Patrimonio Autonomo Rec Bce </t>
  </si>
  <si>
    <t>1.2.10.02.04.26 </t>
  </si>
  <si>
    <t>Rendimientos Financieros Areas de Interes Ambiental Rec Bce </t>
  </si>
  <si>
    <t>1.2.10.02.04.27 </t>
  </si>
  <si>
    <t>Rendimientos Financieros Fondo de Contingencia Rec Bce </t>
  </si>
  <si>
    <t>1.2.10.02.04.28 </t>
  </si>
  <si>
    <t>Rendimientos Financieros Equidad y Genero Rec Bce </t>
  </si>
  <si>
    <t>1.2.10.02.04.29 </t>
  </si>
  <si>
    <t>Rendimientos Financieros Fondo de Vivienda Rec Bce </t>
  </si>
  <si>
    <t>1.2.10.02.04.30 </t>
  </si>
  <si>
    <t>Rendimientos Financieros Cesantias Con Retroactividad Rec Bce </t>
  </si>
  <si>
    <t>1.2.10.02.04.31 </t>
  </si>
  <si>
    <t>Rendimientos Financieros Derechos de Explotacion Licores Destilados 2% Rec Bce </t>
  </si>
  <si>
    <t>1.2.10.02.04.32 </t>
  </si>
  <si>
    <t>Rendimientos Financieros Monopolio 14% ( Ley 1816/2016) Educacion Rec Bce </t>
  </si>
  <si>
    <t>1.2.10.02.04.33 </t>
  </si>
  <si>
    <t>Rendimientos Financieros Regalias Petroliferas Antiguas Rec Bce </t>
  </si>
  <si>
    <t>1.2.10.02.07.07 </t>
  </si>
  <si>
    <t>Contribución Sobre Contratos Obra Publica Rec Bce </t>
  </si>
  <si>
    <t>1.2.10.02.08.002 </t>
  </si>
  <si>
    <t>Convenio No 3044/2015 Prosperidad Social-Fondo Deinversion Para La Paz DPS FIP Cont Esp Deriv Cont Plan Nacion Dpto Sder 2013 -2018 Dpto Sder No 962/16 Rec Bce </t>
  </si>
  <si>
    <t>1.2.10.02.08.003 </t>
  </si>
  <si>
    <t>Contrato No 34 Especifico Derivado del Cto Plan-Radicado Gob 1294 del 29 De Junio/2017 Rec Bce </t>
  </si>
  <si>
    <t>1.2.10.02.08.004 </t>
  </si>
  <si>
    <t>Convenio Interadministrativo No 1384 Del 13 De Julio/2017 Municipio de Landazuri Rec Bce </t>
  </si>
  <si>
    <t>1.2.10.02.08.005 </t>
  </si>
  <si>
    <t>Adicional 2 Convenio Invias Contrato Plan No 2963/2013 Rad. Gobernación No 4859/2013 (Enajenación De ISAGEN) Via Socorro-Paramo Dpto Sder Rec Bce </t>
  </si>
  <si>
    <t>1.2.10.02.08.006 </t>
  </si>
  <si>
    <t>Adicional 2 Convenio Invias Contrato Plan No 2963/2013 Rad. Gobernación No 4859/2013 (Enajenación De ISAGEN) Via Contratación-Guadalupe Dpto Sder Rec Bce </t>
  </si>
  <si>
    <t>1.2.10.02.08.007 </t>
  </si>
  <si>
    <t>Adicional 2 Convenio Invias Contrato Plan No 2963/2013 Rad. Gobernación No 4859/2013 (Enajenación de ISAGEN) Via El Carmen-Yarima Dpto Sder Rec Bce </t>
  </si>
  <si>
    <t>1.2.10.02.08.008 </t>
  </si>
  <si>
    <t>Adicional 2 Convenio Invias Contrato Plan No 2963/2013 Rad. Gobernación No 4859/2013 (Enajenación De ISAGEN) Via Guacamayo-Contratación Dpto Sder Rec Bce </t>
  </si>
  <si>
    <t>1.2.10.02.08.009 </t>
  </si>
  <si>
    <t>Aporte Municipio De Contratación Proyecto 20181301010250, Según Ocad No. 086 De 2019 Rec.Bce </t>
  </si>
  <si>
    <t>1.2.10.02.08.010 </t>
  </si>
  <si>
    <t>Convenio 1-0006-2018 Cormagdalena Radicado Gobernacion N°2122-2018 Rec Bce </t>
  </si>
  <si>
    <t>1.2.10.02.08.011 </t>
  </si>
  <si>
    <t>Aporte Municipio De Sucre Proyecto 2018004680110 , Según Acuerdo N° 090 del 10 de Julio de 2019 Rec Bce </t>
  </si>
  <si>
    <t>1.2.10.02.08.012 </t>
  </si>
  <si>
    <t>Convenio Invias No 1245/17 Radicado Gobernación 2287/17 (Enajenación de ISAGEN ) Municipio de Aguada Rec Bce </t>
  </si>
  <si>
    <t>1.2.10.02.08.013 </t>
  </si>
  <si>
    <t>Convenio Invias No 1245/17 Radicado Gobernación 2287/17 (Enajenación de De ISAGEN) Municipio de Betulia Rec Bce </t>
  </si>
  <si>
    <t>1.2.10.02.08.014 </t>
  </si>
  <si>
    <t>Convenio Invias No 1245/17 Radicado Gobernación 2287/17 (Enajenación de ISAGEN) Municipio de Cimitarra Rec Bce </t>
  </si>
  <si>
    <t>1.2.10.02.08.015 </t>
  </si>
  <si>
    <t>Convenio Invias No 1245/17 Radicado Gobernacion 2287/17 (Enajenación de De ISAGEN) Municipio de Curiti Rec Bce </t>
  </si>
  <si>
    <t>1.2.10.02.08.016 </t>
  </si>
  <si>
    <t>Convenio Invias No 1245/17 Radicado Gobernación 2287/17 (Enajenación de ISAGEN) Municipio de Guaca Rec Bce </t>
  </si>
  <si>
    <t>1.2.10.02.08.017 </t>
  </si>
  <si>
    <t>Convenio Invias No 1245/17 Radicado Gobernación 2287/17 (Enajenacion de ISAGEN) Municipio de Paramo Rec Bce </t>
  </si>
  <si>
    <t>1.2.10.02.08.018 </t>
  </si>
  <si>
    <t>Convenio Invias No 1245/17 Radicado Gobernación 2287/17 (Enajenación de ISAGEN) Municipio de Puente Nacional Rec Bce </t>
  </si>
  <si>
    <t>1.2.10.02.08.019 </t>
  </si>
  <si>
    <t>Convenio Invias No 1245/17 Radicado Gobernación 2287/17 (Enajenación de ISAGEN) Municipio de Zapatoca Rec Bce </t>
  </si>
  <si>
    <t>1.2.10.02.08.020 </t>
  </si>
  <si>
    <t>Convenio Invias No 1245/17 Radicado Gobernacion 2287/17 (Enajenación de ISAGEN Municipio de Pinchote Rec Bce </t>
  </si>
  <si>
    <t>1.2.10.02.08.021 </t>
  </si>
  <si>
    <t>Convenio Invias No 1245/17 Radicado Gobernacion 2287/17 (Enajenacion de ISAGEN) Municipio de Bolivar Rec Bce </t>
  </si>
  <si>
    <t>1.2.10.02.08.022 </t>
  </si>
  <si>
    <t>Convenio Invias No 1245/17 Radicado Gobernacion 2287/17 (Enajenación de ISAGEN) Municipio de Cabrera Rec Bce </t>
  </si>
  <si>
    <t>1.2.10.02.08.023 </t>
  </si>
  <si>
    <t>Convenio Invias No 1245/17 Radicado Gobernación 2287/17 (Enajenación de ISAGEN) Municipio de Guapota Rec Bce </t>
  </si>
  <si>
    <t>1.2.10.02.08.024 </t>
  </si>
  <si>
    <t>Convenio Invias No 1245/17 Radicado Gobernación 2287/17 (Enajenación de ISAGEN) Municipio de Ocamonte Rec Bce </t>
  </si>
  <si>
    <t>1.2.10.02.08.025 </t>
  </si>
  <si>
    <t>Convenio Invias No 1245/17 Radicado Gobernación 2287/17 (Enajenación de ISAGEN) Municipio del Valle de San Jose Rec Bce </t>
  </si>
  <si>
    <t>1.2.10.02.08.026 </t>
  </si>
  <si>
    <t>Convenio Invias No 1245/17 Radicado Gobernación 2287/17 (Enajenación de ISAGEN) Municipio de Palmas del Socorro Rec Bce </t>
  </si>
  <si>
    <t>1.2.10.02.08.027 </t>
  </si>
  <si>
    <t>Convenio No 1112/2017 Municipio de Bucaramanga Rec Bce </t>
  </si>
  <si>
    <t>1.2.10.02.08.028 </t>
  </si>
  <si>
    <t>Convenio No 1112/2017 Municipio de Floridablanca Rec Bce </t>
  </si>
  <si>
    <t>1.2.10.02.08.029 </t>
  </si>
  <si>
    <t>Convenio Nro 3006765 Radicado Gob 1306 del 04 Julio-2017 Aporte Instituto Nacional de Vías "Invias" Rec Bce </t>
  </si>
  <si>
    <t>1.2.10.02.08.030 </t>
  </si>
  <si>
    <t>Convenio 1383/17 Unidad Atención y Rep Int Victimas Radicado Gob No 2292/17 Rec Bce </t>
  </si>
  <si>
    <t>1.2.10.02.08.031 </t>
  </si>
  <si>
    <t>Convenio No 1374/2017 Coldeportes Radicado Gob 2289/17 (Enajenación de (ISAGEN) Rec Bce </t>
  </si>
  <si>
    <t>1.2.10.02.08.032 </t>
  </si>
  <si>
    <t>Contrato Construvias No 368/2014 Rec Bce </t>
  </si>
  <si>
    <t>1.2.10.02.08.033 </t>
  </si>
  <si>
    <t>Convenio 020/11 Philips Morris Colombia y Coltabaco Rec.Bce </t>
  </si>
  <si>
    <t>1.2.10.02.08.034 </t>
  </si>
  <si>
    <t>Convenio 1510/16 Radicado Gob 2060 del 11 De Octubre 2016 Rec Bce </t>
  </si>
  <si>
    <t>1.2.10.02.08.035 </t>
  </si>
  <si>
    <t>Convenio 2095/2012 Ecopetrol S.A 5211731 (Parque Interactivo Centro Oriente Sder Barrancabermeja) Rec Bce  </t>
  </si>
  <si>
    <t>1.2.10.02.08.036 </t>
  </si>
  <si>
    <t>Convenio Interadministrativo No 770 De Julio 25 Del 2018 Celebrado entre el Departamento de Santander y el Instituto Municipal de Cultura y Turismo de Bucaramanga Sder Rec Bce  </t>
  </si>
  <si>
    <t>1.2.10.02.08.037 </t>
  </si>
  <si>
    <t>Convenio No 1363/17 Min-Educación Gob No 2290/17 (Enajenación ISAGEN) Rec Bce  </t>
  </si>
  <si>
    <t>1.2.10.02.08.038 </t>
  </si>
  <si>
    <t>Bolsa Comun-Municipios No Certificados en Educación  Rec Bce </t>
  </si>
  <si>
    <t>1.2.10.02.08.039 </t>
  </si>
  <si>
    <t>Convenio No 1692-2018 Area Metrolpolitana de Bucaramanga AMB Rec Bce  </t>
  </si>
  <si>
    <t>1.2.10.02.08.040 </t>
  </si>
  <si>
    <t>Convenio Interadministrativo No 16 /2017. Fnd Rad Gobernacion 1359 de Julio 11/2017 Rec Bce </t>
  </si>
  <si>
    <t>1.2.10.02.09 </t>
  </si>
  <si>
    <t>DIVIDENDOS </t>
  </si>
  <si>
    <t>1.2.10.02.09.001 </t>
  </si>
  <si>
    <t>Dividendos Terpel Rec.Bce  </t>
  </si>
  <si>
    <t>1.2.10.02.09.002 </t>
  </si>
  <si>
    <t>Dividendos Ingenio Risaralda Rec Bce  </t>
  </si>
  <si>
    <t>1.2.10.02.09.003 </t>
  </si>
  <si>
    <t>Dividendos Banco Bbva Rec Bce  </t>
  </si>
  <si>
    <t>1.2.10.02.09.004 </t>
  </si>
  <si>
    <t>Dividendos Inmobiliaria Cadenalco Rec.Bce  </t>
  </si>
  <si>
    <t>1.2.10.02.09.005 </t>
  </si>
  <si>
    <t>Dividendos Banco Davivienda Rec Bce  </t>
  </si>
  <si>
    <t>1.2.10.02.10 </t>
  </si>
  <si>
    <t>Estampillas Rec Bce </t>
  </si>
  <si>
    <t>1.2.10.02.10.01 </t>
  </si>
  <si>
    <t>Estampilla para el bienestar del adulto mayor Rec Bce </t>
  </si>
  <si>
    <t>1.2.10.02.10.01.01 </t>
  </si>
  <si>
    <t>Para el Bienestar del Adulto Mayor  Rec Bce </t>
  </si>
  <si>
    <t>1.2.10.02.10.02 </t>
  </si>
  <si>
    <t>Estampilla pro desarrollo departamental Rec Bce </t>
  </si>
  <si>
    <t>1.2.10.02.10.02.01 </t>
  </si>
  <si>
    <t>Pro-desarrollo - Inversion 25% Infraestruct. Deportiva Rec Bce </t>
  </si>
  <si>
    <t>1.2.10.02.10.02.03 </t>
  </si>
  <si>
    <t>Pro-desarrollo - Inversion 25% Infraestruct. Educativa Rec Bce </t>
  </si>
  <si>
    <t>1.2.10.02.10.02.04 </t>
  </si>
  <si>
    <t>Pro-desarrollo - PENSIONES 20% Rec Bce </t>
  </si>
  <si>
    <t>1.2.10.02.10.03 </t>
  </si>
  <si>
    <t>Pro-Electrificacion Rural Rec Bce </t>
  </si>
  <si>
    <t>1.2.10.02.10.03.01 </t>
  </si>
  <si>
    <t>Pro-Electrificacion - Inversion Rec Bce </t>
  </si>
  <si>
    <t>1.2.10.02.10.03.02 </t>
  </si>
  <si>
    <t>Pro Electrificacion - PENSIONES 20% Rec Bce </t>
  </si>
  <si>
    <t>1.2.10.02.10.04 </t>
  </si>
  <si>
    <t>Estampilla pro Universidad Industrial de Santander Rec Bce </t>
  </si>
  <si>
    <t>1.2.10.02.10.04.01 </t>
  </si>
  <si>
    <t>PRO-UIS - Educacion 75% uis Rec Bce </t>
  </si>
  <si>
    <t>1.2.10.02.10.04.02 </t>
  </si>
  <si>
    <t>PRO-UIS - Educacion 15% uts Rec Bce </t>
  </si>
  <si>
    <t>1.2.10.02.10.04.03 </t>
  </si>
  <si>
    <t>PRO-UIS - Educacion 10% unipaz Rec Bce </t>
  </si>
  <si>
    <t>1.2.10.02.10.04.04 </t>
  </si>
  <si>
    <t>PRO-UIS - PENSIONES 20% (15% uts) Rec Bce </t>
  </si>
  <si>
    <t>1.2.10.02.10.04.05 </t>
  </si>
  <si>
    <t>PRO-UIS - PENSIONES 20% (10% unipaz) Rec Bce </t>
  </si>
  <si>
    <t>1.2.10.02.10.05 </t>
  </si>
  <si>
    <t>Estampillas pro hospitales universitarios Rec Bce </t>
  </si>
  <si>
    <t>1.2.10.02.10.05.01 </t>
  </si>
  <si>
    <t>Pro-Hospital - Universitario de Santander Rec Bce </t>
  </si>
  <si>
    <t>1.2.10.02.10.05.02 </t>
  </si>
  <si>
    <t>Pro-Hospital - Pasivo Pensional Hospitales Universitarios Liquidados Rec Bce </t>
  </si>
  <si>
    <t>1.2.10.02.10.05.03 </t>
  </si>
  <si>
    <t>Pro-Hospital - Patrimonio Autonomo Rec Bce </t>
  </si>
  <si>
    <t>1.2.10.02.10.05.04 </t>
  </si>
  <si>
    <t>Pro-Hospital- PENSIONES 20% Rec Bce </t>
  </si>
  <si>
    <t>1.2.10.02.10.06 </t>
  </si>
  <si>
    <t>Pro-cultura Rec Bce </t>
  </si>
  <si>
    <t>1.2.10.02.10.06.01 </t>
  </si>
  <si>
    <t>Pro-Cultura - Inversion Rec Bce </t>
  </si>
  <si>
    <t>1.2.10.02.10.06.02 </t>
  </si>
  <si>
    <t>Pro-cultura - PENSIONES 20% Rec Bce </t>
  </si>
  <si>
    <t>1.2.10.02.10.06.03 </t>
  </si>
  <si>
    <t>Pro-Cultura - Seguridad Social del creador y gestor Rec Bce </t>
  </si>
  <si>
    <t>1.2.10.02.10.06.04 </t>
  </si>
  <si>
    <t>Pro-Cultura - Lectura de Bibliotecas ley 1379/10 Rec Bce </t>
  </si>
  <si>
    <t>1.2.10.02.10.07 </t>
  </si>
  <si>
    <t>Pro-Anciano  Rec Bce </t>
  </si>
  <si>
    <t>1.2.10.02.10.07.01 </t>
  </si>
  <si>
    <t>1.2.10.02.10.07.02 </t>
  </si>
  <si>
    <t>Pro-Anciano PENSIONES 20% Rec Bce </t>
  </si>
  <si>
    <t>1.2.10.02.10.08 </t>
  </si>
  <si>
    <t>Pro-Reforestación  Rec Bce </t>
  </si>
  <si>
    <t>1.2.10.02.10.08.01 </t>
  </si>
  <si>
    <t>1.2.10.02.10.08.02 </t>
  </si>
  <si>
    <t>Pro-Reforestación  PENSIONES 20% Rec Bce </t>
  </si>
  <si>
    <t>1.2.10.02.11 </t>
  </si>
  <si>
    <t>Escision Essa Rec Bce </t>
  </si>
  <si>
    <t>1.2.10.02.11.01 </t>
  </si>
  <si>
    <t>1.2.10.02.12 </t>
  </si>
  <si>
    <t>Fondo Tabacalero Rec Bce </t>
  </si>
  <si>
    <t>1.2.10.02.12.01 </t>
  </si>
  <si>
    <t>1.2.10.02.13 </t>
  </si>
  <si>
    <t>Fondo de Paz Rec Bce </t>
  </si>
  <si>
    <t>1.2.10.02.13.01 </t>
  </si>
  <si>
    <t>1.2.10.02.14 </t>
  </si>
  <si>
    <t>Fondo de Contingencia Rec Bce </t>
  </si>
  <si>
    <t>1.2.10.02.14.01 </t>
  </si>
  <si>
    <t>1.2.10.02.15 </t>
  </si>
  <si>
    <t>Fondo de Vivienda Rec Bce </t>
  </si>
  <si>
    <t>1.2.10.02.15.01 </t>
  </si>
  <si>
    <t>1.2.10.02.16 </t>
  </si>
  <si>
    <t>Fondo de Rentas Rec Bce </t>
  </si>
  <si>
    <t>1.2.10.02.16.01 </t>
  </si>
  <si>
    <t>1.2.10.02.17 </t>
  </si>
  <si>
    <t>FONPET 10% Rec Bce </t>
  </si>
  <si>
    <t>1.2.10.02.17.01 </t>
  </si>
  <si>
    <t>1.2.10.02.18 </t>
  </si>
  <si>
    <t>FONPET 20% Rec Bce </t>
  </si>
  <si>
    <t>1.2.10.02.18.01 </t>
  </si>
  <si>
    <t>1.2.10.02.19 </t>
  </si>
  <si>
    <t>10% Registro y Anotación Ley 1450-11 Art 25, Ley 1753-15 Art 147 (Cuotas Partes Pensionales) </t>
  </si>
  <si>
    <t>1.2.10.02.19.01 </t>
  </si>
  <si>
    <t>10% Registro y Anotación Ley 1450-11 Art 25, Ley 1753-15 Art 147 (Cuotas Partes Pensionales) Rec Bce </t>
  </si>
  <si>
    <t>1.2.10.02.20 </t>
  </si>
  <si>
    <t>Equidad de Genero 2% I.C.L.D. ORDENANZA No 28/2010 Rec Bce </t>
  </si>
  <si>
    <t>1.2.10.02.20.01 </t>
  </si>
  <si>
    <t>1.2.10.02.21 </t>
  </si>
  <si>
    <t>ICLD UNIPAZ Rec Bce </t>
  </si>
  <si>
    <t>1.2.10.02.21.01 </t>
  </si>
  <si>
    <t>1.2.10.02.22 </t>
  </si>
  <si>
    <t>ICLD UTS Rec Bce </t>
  </si>
  <si>
    <t>1.2.10.02.22.01 </t>
  </si>
  <si>
    <t>1.2.10.02.23 </t>
  </si>
  <si>
    <t>ICLD Apoyo a Educación Rec Bce </t>
  </si>
  <si>
    <t>1.2.10.02.23.01 </t>
  </si>
  <si>
    <t>1.2.10.02.25 </t>
  </si>
  <si>
    <t>ICLD. UIS Rec Bce </t>
  </si>
  <si>
    <t>1.2.10.02.25.01 </t>
  </si>
  <si>
    <t>1.2.10.02.26 </t>
  </si>
  <si>
    <t>ICLD Cesantias con Retroactividad Rec Bce </t>
  </si>
  <si>
    <t>1.2.10.02.26.01 </t>
  </si>
  <si>
    <t>1.2.10.02.27 </t>
  </si>
  <si>
    <t>Incapacidades Laborales Rec Bce </t>
  </si>
  <si>
    <t>1.2.10.02.27.01 </t>
  </si>
  <si>
    <t>1.2.10.02.28 </t>
  </si>
  <si>
    <t>Participación por el Ejercicio de Monopolio de Licores Y Alcoholes Potables-Educación (2% Ley 1816/16) Rec Bce </t>
  </si>
  <si>
    <t>1.2.10.02.28.01 </t>
  </si>
  <si>
    <t>1.2.10.02.29 </t>
  </si>
  <si>
    <t>Tasa de Pro-Deporte y Recreacion Rec Bce </t>
  </si>
  <si>
    <t>1.2.10.02.29.01 </t>
  </si>
  <si>
    <t>1.2.10.02.30 </t>
  </si>
  <si>
    <t>Contribucion Valorizacion Rec Bce </t>
  </si>
  <si>
    <t>1.2.10.02.30.01 </t>
  </si>
  <si>
    <t>1.2.10.02.31 </t>
  </si>
  <si>
    <t>Acreencias de Hospitales Liquidados Rec Bce </t>
  </si>
  <si>
    <t>1.2.10.02.31.01 </t>
  </si>
  <si>
    <t>1.2.10.02.32 </t>
  </si>
  <si>
    <t>Cuotas Partes Pensionales Rec Bce </t>
  </si>
  <si>
    <t>1.2.10.02.32.01 </t>
  </si>
  <si>
    <t>1.2.10.02.33 </t>
  </si>
  <si>
    <t>Excedentes Idesan Rec Bce </t>
  </si>
  <si>
    <t>1.2.10.02.33.01 </t>
  </si>
  <si>
    <t>1.2.10.02.34 </t>
  </si>
  <si>
    <t>Valorización de Activos Empresa Essa Rec. Bce </t>
  </si>
  <si>
    <t>1.2.10.02.34.01 </t>
  </si>
  <si>
    <t>1.2.10.02.35 </t>
  </si>
  <si>
    <t>Margen de Comercialización Rec Bce </t>
  </si>
  <si>
    <t>1.2.10.02.35.01 </t>
  </si>
  <si>
    <t>1.2.10.02.36 </t>
  </si>
  <si>
    <t>IVA Telefonía Movil- Resolución N° 633 Del 21 De Abril De 2020 Rec Bce </t>
  </si>
  <si>
    <t>1.2.10.02.36.01 </t>
  </si>
  <si>
    <t>1.2.10.02.37 </t>
  </si>
  <si>
    <t>Venta de acciones Fondo Ganadero de Santander Rec Bce </t>
  </si>
  <si>
    <t>1.2.10.02.37.01 </t>
  </si>
  <si>
    <t>1.2.10.02.38 </t>
  </si>
  <si>
    <t>Remates (Venta de Terrenos) Rec Bce </t>
  </si>
  <si>
    <t>1.2.10.02.38.01 </t>
  </si>
  <si>
    <t>1.2.10.02.39 </t>
  </si>
  <si>
    <t>FED-Cesantias Rec Bce </t>
  </si>
  <si>
    <t>1.2.10.02.39.01 </t>
  </si>
  <si>
    <t>1.2.10.02.40 </t>
  </si>
  <si>
    <t>SGP Agua Potables y Saneamiento Basico Rec Bce </t>
  </si>
  <si>
    <t>1.2.10.02.40.01 </t>
  </si>
  <si>
    <t>1.2.10.02.41 </t>
  </si>
  <si>
    <t>Credito Interno Findeter Vias Rec.Bce  </t>
  </si>
  <si>
    <t>1.2.10.02.41.01 </t>
  </si>
  <si>
    <t>1.2.10.02.42 </t>
  </si>
  <si>
    <t>1.2.10.02.42.01 </t>
  </si>
  <si>
    <t>Credito Interno Banca Comercial Rec Bce </t>
  </si>
  <si>
    <t>1.2.10.02.43 </t>
  </si>
  <si>
    <t>Reintegros Rec Bce </t>
  </si>
  <si>
    <t>1.2.10.02.43.01 </t>
  </si>
  <si>
    <t>Reintegros Estampillas Rec Bce </t>
  </si>
  <si>
    <t>1.2.10.02.43.01.01 </t>
  </si>
  <si>
    <t>Reintegros Pro-Cultura - Inversion Rec Bce </t>
  </si>
  <si>
    <t>1.2.10.02.43.02 </t>
  </si>
  <si>
    <t>Reintegros Regalias Petroliferas Rec Bce </t>
  </si>
  <si>
    <t>1.2.10.02.43.02.01 </t>
  </si>
  <si>
    <t>1.2.10.02.44 </t>
  </si>
  <si>
    <t>Reintegros Rendimientos Rec Bce </t>
  </si>
  <si>
    <t>1.2.10.02.44.01 </t>
  </si>
  <si>
    <t>Reintegros Rendimientos Regalias Petroliferas Rec Bce </t>
  </si>
  <si>
    <t>1.2.10.02.44.01.01 </t>
  </si>
  <si>
    <t>1.2.10.02.45 </t>
  </si>
  <si>
    <t>Recursos sin Situacion de Fondos Rec Bce </t>
  </si>
  <si>
    <t>1.2.10.02.45.01 </t>
  </si>
  <si>
    <t>Transferencias para Municipios 20% Impuesto Sobre Vehículos Automotores (Sin Situación De Fondos ) Rec. Bce. </t>
  </si>
  <si>
    <t>1.2.10.02.45.02 </t>
  </si>
  <si>
    <t>Sobretasa a la Gasolina 5% Sin Situación De Fondos Rec. Bce. </t>
  </si>
  <si>
    <t>1.2.15 </t>
  </si>
  <si>
    <t>Capitalizaciones </t>
  </si>
  <si>
    <t>1.2.15.01 </t>
  </si>
  <si>
    <t>Aportes de Capital </t>
  </si>
  <si>
    <t>1.2.15.01.004 </t>
  </si>
  <si>
    <t>De municipios </t>
  </si>
  <si>
    <t>1.2.15.01.004.01 </t>
  </si>
  <si>
    <t>Convenio Interadministrativo Nro 2446 del-2020 celebrado entre el Dpto de Santander y los Municipios de Bucaramanga, Floridablanca, Barrancabermeja y San Gil </t>
  </si>
  <si>
    <t>1.2.15.01.004.01.001 </t>
  </si>
  <si>
    <t>Convenio Interadministrativo Nro 2446 del-2020-Municipio de Bucaramanga </t>
  </si>
  <si>
    <t>1.2.15.01.004.01.002 </t>
  </si>
  <si>
    <t>Convenio Interadministrativo Nro 2446 del - 2020-Municipio de Floridablanca </t>
  </si>
  <si>
    <t>1.2.15.01.004.01.003 </t>
  </si>
  <si>
    <t>Convenio Interadministrativo Nro 2446 del -2020-Municipio de Barrancabermeja </t>
  </si>
  <si>
    <t>1.2.15.01.004.01.004 </t>
  </si>
  <si>
    <t>1.2.15.01.004.02 </t>
  </si>
  <si>
    <t>Convenio Interadministrativo Nro 2451 del- 2020 Departamento de Santander- y los Municipios de Bucaramanga, Floridablanca,Piedecuesta,Girón y Barrancabermeja </t>
  </si>
  <si>
    <t>1.2.15.01.004.02.001 </t>
  </si>
  <si>
    <t>Convenio Interadministrativo Nro 2451 del-2020-Municipio de Bucaramanga </t>
  </si>
  <si>
    <t>1.2.15.01.004.02.002 </t>
  </si>
  <si>
    <t>Convenio Interadministrativo Nro 2451 del-2020-Municipio de Floridablanca </t>
  </si>
  <si>
    <t>1.2.15.01.004.02.003 </t>
  </si>
  <si>
    <t>Convenio Interadministrativo Nro 2451 del-2020-Municipio de Piedecuesta </t>
  </si>
  <si>
    <t>1.2.15.01.004.02.004 </t>
  </si>
  <si>
    <t>Convenio Interadministrativo Nro 2451 del-2020-Municipio de Girón </t>
  </si>
  <si>
    <t>1.2.15.01.004.02.005 </t>
  </si>
  <si>
    <t>Convenio Interadministrativo Nro 2451 del-2020-Municipio de Barrancabermeja </t>
  </si>
  <si>
    <t>T </t>
  </si>
  <si>
    <t>TOTAL INGRESOS </t>
  </si>
  <si>
    <t>TI </t>
  </si>
  <si>
    <t>TI.B.6 </t>
  </si>
  <si>
    <t>RECURSOS DEL BALANCE  </t>
  </si>
  <si>
    <t>TI.B.6.2 </t>
  </si>
  <si>
    <t>SUPERAVIT FISCAL  </t>
  </si>
  <si>
    <t>TI.B.6.2.1 </t>
  </si>
  <si>
    <t>SUPERAVIT FISCAL DE LA VIGENCIA ANTERIOR  </t>
  </si>
  <si>
    <t>TI.B.6.2.1.1 </t>
  </si>
  <si>
    <t>Recursos de libre destinación  </t>
  </si>
  <si>
    <t>TI.B.6.2.1.1.2 </t>
  </si>
  <si>
    <t>Ingresos corrientes de libre destinación diferentes a la participación de libre destinación Propósito General  </t>
  </si>
  <si>
    <t>TI.B.6.2.1.1.2.01 </t>
  </si>
  <si>
    <t>I.C.L.D. REC.BCE  </t>
  </si>
  <si>
    <t>TI.B.6.2.1.1.2.02 </t>
  </si>
  <si>
    <t>Rendimientos I.C.L.D. Rec.Bce   </t>
  </si>
  <si>
    <t>TI.B.6.2.1.1.2.03 </t>
  </si>
  <si>
    <t>Reintegros I.C.L.D. Rec.Bce   </t>
  </si>
  <si>
    <t>TI.B.6.2.1.10 </t>
  </si>
  <si>
    <t>CREDITO INTERNO BANCA COMERCIAL REC BCE    </t>
  </si>
  <si>
    <t>TI.B.6.2.1.10.01 </t>
  </si>
  <si>
    <t>Crédito Interno - Banca Comercial Privada Rec Bce   </t>
  </si>
  <si>
    <t>TI.B.6.2.1.11 </t>
  </si>
  <si>
    <t>FONDO DE PAZ REC BCE </t>
  </si>
  <si>
    <t>TI.B.6.2.1.11.01 </t>
  </si>
  <si>
    <t>Fonde de Paz Rec Bce </t>
  </si>
  <si>
    <t>TI.B.6.2.1.12 </t>
  </si>
  <si>
    <t>MONOPOLIO LICORES DEST ESPEC 51% ERC BCE   </t>
  </si>
  <si>
    <t>TI.B.6.2.1.12.01 </t>
  </si>
  <si>
    <t>Monopolio de Licores 51% Rec.Bce. </t>
  </si>
  <si>
    <t>TI.B.6.2.1.13 </t>
  </si>
  <si>
    <t>Participación por el ejercicio del monopolio de licores y alcoholes potables -Educación (14% LEY 1816/16) Rec Bce  </t>
  </si>
  <si>
    <t>TI.B.6.2.1.13.01 </t>
  </si>
  <si>
    <t>TI.B.6.2.1.14 </t>
  </si>
  <si>
    <t>FONDO TABACALERO Rec Bce </t>
  </si>
  <si>
    <t>TI.B.6.2.1.14.01 </t>
  </si>
  <si>
    <t>TI.B.6.2.1.2 </t>
  </si>
  <si>
    <t>10% REGISTRO Y ANOTACION LEY 1450-11 ART 25 LEY 1753-15 ART 147 REC BCE  </t>
  </si>
  <si>
    <t>TI.B.6.2.1.2.01 </t>
  </si>
  <si>
    <t>10% Registro y Anotación Ley 1450-11 Art 25 Ley 1753-15 Art 147 Rec Bce  </t>
  </si>
  <si>
    <t>TI.B.6.2.1.3 </t>
  </si>
  <si>
    <t>MONOPOLIO 14% LEY 1816/2016 -EDUCACION REC BCE. </t>
  </si>
  <si>
    <t>TI.B.6.2.1.3.01 </t>
  </si>
  <si>
    <t>Monopolio 14% Ley 1816/2016 -Educacion Rec Bce. </t>
  </si>
  <si>
    <t>TI.B.6.2.1.4 </t>
  </si>
  <si>
    <t>S.G.P AGUA POTABLE Y SANEAMIENTO BASICO REC BCE  </t>
  </si>
  <si>
    <t>TI.B.6.2.1.4.01 </t>
  </si>
  <si>
    <t>S.G.P Agua Potable Y Saneamiento Basico Rec. Bce  </t>
  </si>
  <si>
    <t>TI.B.6.2.1.5 </t>
  </si>
  <si>
    <t>ESTAMPILLAS    </t>
  </si>
  <si>
    <t>TI.B.6.2.1.5.01 </t>
  </si>
  <si>
    <t>PRO -DESARROLLO REC. BCE   </t>
  </si>
  <si>
    <t>TI.B.6.2.1.5.01.01 </t>
  </si>
  <si>
    <t>Pro-Desarrollo Inversion 25% Inf. Deportiva Rec. Bce  </t>
  </si>
  <si>
    <t>TI.B.6.2.1.5.01.02 </t>
  </si>
  <si>
    <t>Pro-Desarrollo Inversión 50% Saneamiento Básico Rec. Bce   </t>
  </si>
  <si>
    <t>TI.B.6.2.1.5.02 </t>
  </si>
  <si>
    <t>PRO-ELECTRIFICACIÓN RURAL REC BCE   </t>
  </si>
  <si>
    <t>TI.B.6.2.1.5.02.01 </t>
  </si>
  <si>
    <t>Pro-Electrificación Rural Rec Bce    </t>
  </si>
  <si>
    <t>TI.B.6.2.1.5.03 </t>
  </si>
  <si>
    <t>Pro-Reforestación Rec Bce    </t>
  </si>
  <si>
    <t>TI.B.6.2.1.5.03.01 </t>
  </si>
  <si>
    <t>Pro-reforestación - Rec Bce    </t>
  </si>
  <si>
    <t>TI.B.6.2.1.6 </t>
  </si>
  <si>
    <t>CONTRIBUCION SOBRE CONTRATO DE OBRA PUBLICA    </t>
  </si>
  <si>
    <t>TI.B.6.2.1.6.01 </t>
  </si>
  <si>
    <t>Contribución Sobre Contrato de Obra Pública - Ejercito Nacional Rec.Bce  </t>
  </si>
  <si>
    <t>TI.B.6.2.1.6.02 </t>
  </si>
  <si>
    <t>Contribución Sobre Contrato de Obra Pública - Unidad Especial Migración Colombia Rec Bce  </t>
  </si>
  <si>
    <t>TI.B.6.2.1.6.03 </t>
  </si>
  <si>
    <t>Contribución Sobre Cto de Obra Pública Policía Nacional Rec.Bce  </t>
  </si>
  <si>
    <t>TI.B.6.2.1.6.04 </t>
  </si>
  <si>
    <t>Contribución Sobre Contratos Obra Publica Fondo de Seguridad Ciudadana  Rec Bce </t>
  </si>
  <si>
    <t>TI.B.6.2.1.7 </t>
  </si>
  <si>
    <t>RENDIMIENTOS  </t>
  </si>
  <si>
    <t>TI.B.6.2.1.7.01 </t>
  </si>
  <si>
    <t>TI.B.6.2.1.7.01.01 </t>
  </si>
  <si>
    <t>Rendimientos Prodesarrollo 50% Saneamiento Basico Rec.Bce </t>
  </si>
  <si>
    <t>TI.B.6.2.1.7.02 </t>
  </si>
  <si>
    <t>Rendimientos Financieros Pro Reforestación Rec Bce   </t>
  </si>
  <si>
    <t>TI.B.6.2.1.7.02.01 </t>
  </si>
  <si>
    <t>TI.B.6.2.1.7.03 </t>
  </si>
  <si>
    <t>RENDIMIENTOS UTILIDADES EMPRESA ESSA REC BCE  </t>
  </si>
  <si>
    <t>TI.B.6.2.1.7.03.01 </t>
  </si>
  <si>
    <t>Rendimientos Utilidades Empresa ESSA Rec Bce  </t>
  </si>
  <si>
    <t>TI.B.6.2.1.7.04 </t>
  </si>
  <si>
    <t>RENDIMIENTOS FINANCIEROS CREDITO INTERNO BANCA COMERCIAL REC BCE     </t>
  </si>
  <si>
    <t>TI.B.6.2.1.7.04.01 </t>
  </si>
  <si>
    <t>Rendimientos Financieros Crédito Interno - Banca Comercial Rec Bce    </t>
  </si>
  <si>
    <t>TI.B.6.2.1.7.05 </t>
  </si>
  <si>
    <t>RENDIMIENTOS ACPM REC BCE     </t>
  </si>
  <si>
    <t>TI.B.6.2.1.7.05.01 </t>
  </si>
  <si>
    <t>Rendimientos ACPM Rec Bce </t>
  </si>
  <si>
    <t>TI.B.6.2.1.8 </t>
  </si>
  <si>
    <t>UTILIDADES EMPRESA ESSA REC BCE    </t>
  </si>
  <si>
    <t>TI.B.6.2.1.8.01 </t>
  </si>
  <si>
    <t>utilidades Empresa ESSA Rec Bce    </t>
  </si>
  <si>
    <t>TI.B.6.2.1.9 </t>
  </si>
  <si>
    <t>RECURSOS DE COFINANCIACION    </t>
  </si>
  <si>
    <t>TI.B.6.2.1.9.001 </t>
  </si>
  <si>
    <t>Adicional 2 Convenio Invias Contrato Plan No 2963/2013 Rad. Gobernación No 4859/2013 (Enajenación De Isagen ) Via Zapatoca Giron Dpto Sder Rec Bce </t>
  </si>
  <si>
    <t>TI.B.6.2.1.9.002 </t>
  </si>
  <si>
    <t>Adicional 2 Convenio Invias Contrato Plan No 2963/2013 Rad. Gobernación No 4859/2013 (Enajenación De Isagen) Via Contratación-Guadalupe Dpto Sder Rec Bce    </t>
  </si>
  <si>
    <t>TI.B.6.2.1.9.003 </t>
  </si>
  <si>
    <t>Adicional 2 Convenio Invias Contrato Plan No 2963/2013 Rad. Gobernación No 4859/2013 (Enajenación De Isagen) Via Guacamayo-Contratación Dpto Sder Rec Bce </t>
  </si>
  <si>
    <t>TI.B.6.2.1.9.004 </t>
  </si>
  <si>
    <t>Adicional 2 Convenio Invias Contrato Plan No 2963/2013 Rad. Gobernación No 4859/2013 (Enajenación De Isagen) Via Socorro-Paramo Dpto Sder Rec Bce </t>
  </si>
  <si>
    <t>TI.B.6.2.1.9.005 </t>
  </si>
  <si>
    <t>Adicional Convenio 1233 Del 9 de Marzo de 2015 Rec Bce </t>
  </si>
  <si>
    <t>TI.B.6.2.1.9.006 </t>
  </si>
  <si>
    <t>Adicional N° 2 Al Convenio Interadministrativo Derivado N° 2133772 Fonade Sin Situacion de Fondos </t>
  </si>
  <si>
    <t>TI.B.6.2.1.9.007 </t>
  </si>
  <si>
    <t>Aporte Municipio de Jesus Maria Proyecto 2018004680060 Segun Ocad N° 072 De 2018 Rec Bce </t>
  </si>
  <si>
    <t>TI.B.6.2.1.9.008 </t>
  </si>
  <si>
    <t>Aporte Municipio de Matanza Proyecto 2019004680029, Según Acuerdo Ocad Departamental N° 077 de 2019 </t>
  </si>
  <si>
    <t>TI.B.6.2.1.9.009 </t>
  </si>
  <si>
    <t>Coldeportes Conv. 1365/17 Rad. Gob.2286/17 (Ord. 11/2018) </t>
  </si>
  <si>
    <t>TI.B.6.2.1.9.010 </t>
  </si>
  <si>
    <t>Cont Espec No 002 Derivado del Cont Plan Nación Dpto de Sder 2013-2018 Rad Dpto 1506 Agost 18-2016 Rec Bce </t>
  </si>
  <si>
    <t>TI.B.6.2.1.9.011 </t>
  </si>
  <si>
    <t>Contrato Especifico N° 2182482 FONADE Rad.Gobernacion 2073-2018 Rec Bce </t>
  </si>
  <si>
    <t>TI.B.6.2.1.9.012 </t>
  </si>
  <si>
    <t>Contrato Especifico N°2191867/19 Derivado del Contrato Plan Celebrado Entre el DNP Y El Dpto De Sder. Radicado Gobernación No 2097/2019 Rec Bce </t>
  </si>
  <si>
    <t>TI.B.6.2.1.9.013 </t>
  </si>
  <si>
    <t>Contrato Especifico N°2191868/19 Derivado del Contrato Plan Celebrado Entre el DNP y el Dpto de Sder Radicado Gobernación No 2096/2019 Rec Bce </t>
  </si>
  <si>
    <t>TI.B.6.2.1.9.014 </t>
  </si>
  <si>
    <t>Contrato Plan (Conv Invias Nº 4859 De 01 De Nov-2013) Rec Bce </t>
  </si>
  <si>
    <t>TI.B.6.2.1.9.015 </t>
  </si>
  <si>
    <t>Convenio 2095/2012 Ecopetrol S.A 5211731 (Parque Interactivo Centro Oriente Sder Barrancabermeja) Rec Bce </t>
  </si>
  <si>
    <t>TI.B.6.2.1.9.016 </t>
  </si>
  <si>
    <t>Convenio Interadministrativo Derivado No 2133772 Rec Bce Sin Situacion De Fondos  </t>
  </si>
  <si>
    <t>TI.B.6.2.1.9.017 </t>
  </si>
  <si>
    <t>Convenio Interadministrativo No 1550/2019 Celebrado Entre el Departamento de Santander y el Municipio de Barrancabermeja  </t>
  </si>
  <si>
    <t>TI.B.6.2.1.9.018 </t>
  </si>
  <si>
    <t>Convenio Invias No 1245/17 Radicado Gobernación 2287/17 (Enajenación de Isagen) Municipio de Betulia (Ord. 11/2018 </t>
  </si>
  <si>
    <t>TI.B.6.2.1.9.019 </t>
  </si>
  <si>
    <t>Convenio Invias No 1245/17 Radicado Gobernación 2287/17 (Enajenación de Isagen Municipio De Pinchote Rec B </t>
  </si>
  <si>
    <t>TI.B.6.2.1.9.020 </t>
  </si>
  <si>
    <t>Convenio Invias No 1245/17 Radicado Gobernación 2287/17 (Enajenación de Isagen) Municipio de Betulia Rec Bce  </t>
  </si>
  <si>
    <t>TI.B.6.2.1.9.021 </t>
  </si>
  <si>
    <t>Convenio Invias No 1245/17 Radicado Gobernacion 2287/17 (Enajenacion De De Isagen) Municipio de Bolivar Rec Bce  </t>
  </si>
  <si>
    <t>TI.B.6.2.1.9.022 </t>
  </si>
  <si>
    <t>Convenio Invias No 1245/17 Radicado Gobernacion 2287/17 (Enajenación de Isagen) Municipio de Curiti Rec Bce  </t>
  </si>
  <si>
    <t>TI.B.6.2.1.9.023 </t>
  </si>
  <si>
    <t>Convenio Invias No 1245/17 Radicado Gobernación 2287/17 (Enajenación de Isagen) Municipio de Guapota Rec Bce  </t>
  </si>
  <si>
    <t>TI.B.6.2.1.9.024 </t>
  </si>
  <si>
    <t>Convenio Invias No 1245/17 Radicado Gobernación 2287/17 (Enajenación de Isagen) Municipio de Ocamonte Rec Bce  </t>
  </si>
  <si>
    <t>TI.B.6.2.1.9.025 </t>
  </si>
  <si>
    <t>Convenio Invias No 1245/17 Radicado Gobernación 2287/17 (Enajenación de Isagen) Municipio de Palmas del Socorro Rec Bce  </t>
  </si>
  <si>
    <t>TI.B.6.2.1.9.026 </t>
  </si>
  <si>
    <t>Convenio Invias No 1245/17 Radicado Gobernación 2287/17 (Enajenación De De Isagen) Municipio de Valle de San Jose Rec Bce  </t>
  </si>
  <si>
    <t>TI.B.6.2.1.9.027 </t>
  </si>
  <si>
    <t>Convenio Invias No 1245/17 Radicado Gobernación 2287/17 (Enajenación de Isagen) Municipio de Zapatoca Rec Bce  </t>
  </si>
  <si>
    <t>TI.B.6.2.1.9.028 </t>
  </si>
  <si>
    <t>Convenio Invias No 1245/17 Radicado Gobernación 2287/17 (Enajenación de Isagen ) Municipio de Aguada Rec Bce  </t>
  </si>
  <si>
    <t>TI.B.6.2.1.9.029 </t>
  </si>
  <si>
    <t>Convenio Invias No 1245/17 Radicado Gobernación 2287/17 (Enajenación de Isagen) Municipio de Bolívar (Ord. 11/2018)   </t>
  </si>
  <si>
    <t>TI.B.6.2.1.9.030 </t>
  </si>
  <si>
    <t>Convenio Invias No 1245/17 Radicado Gobernacion 2287/17 (Enajenación de Isagen) Municipio de Cabrera Rec Bce  </t>
  </si>
  <si>
    <t>TI.B.6.2.1.9.031 </t>
  </si>
  <si>
    <t>Convenio Invias No 1245/17 Radicado Gobernación 2287/17 (Enajenación de Isagen) Municipio de Cimitarra Rec Bce  </t>
  </si>
  <si>
    <t>TI.B.6.2.1.9.032 </t>
  </si>
  <si>
    <t>Convenio Invias No 1245/17 Radicado Gobernación 2287/17 (Enajenación de Isagen) Municipio De Guaca (Ord. 11/2018) </t>
  </si>
  <si>
    <t>TI.B.6.2.1.9.033 </t>
  </si>
  <si>
    <t>Convenio Invias No 1245/17 Radicado Gobernación 2287/17 (Enajenación de Isagen) Municipio de Ocamonte (Ord. 11/2018) </t>
  </si>
  <si>
    <t>TI.B.6.2.1.9.034 </t>
  </si>
  <si>
    <t>Convenio Invias No 1245/17 Radicado Gobernación 2287/17 (Enajenación de Isagen) Municipio de Palmas Del Socorro (Ord. 11/2018)   </t>
  </si>
  <si>
    <t>TI.B.6.2.1.9.035 </t>
  </si>
  <si>
    <t>Convenio Invias No 1245/17 Radicado Gobernación 2287/17 (Enajenación de Isagen) Municipio de Paramo (Ord. 11/2018)   </t>
  </si>
  <si>
    <t>TI.B.6.2.1.9.036 </t>
  </si>
  <si>
    <t>Convenio Invias No 1245/17 Radicado Gobernación 2287/17 (Enajenación de Isagen) Municipio de Puente Nacional Rec Bce </t>
  </si>
  <si>
    <t>TI.B.6.2.1.9.037 </t>
  </si>
  <si>
    <t>Convenio No 1250/17 Radicado Gob No 2288/17 (Enajenación de De Isagen) Invias Rec Bce  </t>
  </si>
  <si>
    <t>TI.B.6.2.1.9.038 </t>
  </si>
  <si>
    <t>Convenio No 1250/2017 Radicado Gob No 2288/17 (Enajenación de Isagen) Municipio De Piedecuesta Rec Bce  </t>
  </si>
  <si>
    <t>TI.B.6.2.1.9.039 </t>
  </si>
  <si>
    <t>Convenio No 1365/17 Coldeportes Radicado Gob 2286/17 Municipio de Piedecuesta Rec Bce </t>
  </si>
  <si>
    <t>TI.B.6.2.1.9.040 </t>
  </si>
  <si>
    <t>Convenio No 3044/2015 Prosperidad Social-Fondo de inversión Para La Paz Dps Fip Cont Esp Deriv Cont Plan Nación Dpto Sder 2013 -2018 Dpto Sder No 962/16 Rec Bce </t>
  </si>
  <si>
    <t>TI.B.6.2.1.9.041 </t>
  </si>
  <si>
    <t>Convenio Invias No 1245/17 Radicado Gobernación 2287/17 (Enajenación de Isagen) Municipio de Curiti (Ord. 11/2018)   </t>
  </si>
  <si>
    <t>TI.B.6.2.1.9.042 </t>
  </si>
  <si>
    <t>Convenio Invias No 1245/17 Radicado Gobernación 2287/17 (Enajenación de Isagen) Municipio de Paramo (Ord. 11/2018) </t>
  </si>
  <si>
    <t>TI.B.6.2.1.9.043 </t>
  </si>
  <si>
    <t>Programa Infraestructura Contrato Plan Rec Bce </t>
  </si>
  <si>
    <t>TI.B.6.2.1.9.044 </t>
  </si>
  <si>
    <t>Recursos Cofinanciacion (Convenio 1233 del 9 De Marzo De 2015 Rec Bce </t>
  </si>
  <si>
    <t>TI.B.6.2.1.9.045 </t>
  </si>
  <si>
    <t>Recursos de Cofinanciacion Convenio Nº 3044/2015 Rec Bce </t>
  </si>
  <si>
    <t>Subcuenta Salud Pública </t>
  </si>
  <si>
    <t>1.2.10.02.01.02 </t>
  </si>
  <si>
    <t>Subcuenta de Prestación de Servicios de Salud en lo no cubierto por Subsidio a la Demanda. </t>
  </si>
  <si>
    <t>1.2.10.02.01.03 </t>
  </si>
  <si>
    <t>Subcuenta otros gastos en salud - Inversión </t>
  </si>
  <si>
    <t>1.2.10.02.01.04 </t>
  </si>
  <si>
    <t>Subcuenta otros gastos en salud - Funcionamiento </t>
  </si>
  <si>
    <t>REINTEGROS Y OTROS RECURSOS NO APROPIADOS </t>
  </si>
  <si>
    <t>TI.B </t>
  </si>
  <si>
    <t>INGRESOS DE CAPITAL  </t>
  </si>
  <si>
    <t>TI.B.6.2.1.01 </t>
  </si>
  <si>
    <t>Subcuenta salud pública </t>
  </si>
  <si>
    <t>TI.B.6.2.1.02 </t>
  </si>
  <si>
    <t>Subcuenta de prestación de servicios de salud en lo no cubierto por subsidios a la demanda </t>
  </si>
  <si>
    <t>TI.B.6.2.1.03 </t>
  </si>
  <si>
    <t>Subcuenta otros gastos en salud inversión </t>
  </si>
  <si>
    <t>1.2.10.02.04.04.18</t>
  </si>
  <si>
    <t>1.2.07.01.001.03 </t>
  </si>
  <si>
    <t>Crédito Interno Banca Comercial 2021 Banco Agrario de Colombia S.A </t>
  </si>
  <si>
    <t>Otros Gastos en Salud-Inversion  ICLD REC. BCE</t>
  </si>
  <si>
    <t xml:space="preserve">Otros Gastos en Salud-Inversion  ICLD </t>
  </si>
  <si>
    <t xml:space="preserve">Subcuenta Otros Gastos en Salud-Funcionamiento   ICLD </t>
  </si>
  <si>
    <t>1.2.05.02.44 </t>
  </si>
  <si>
    <t>Rendimientos Financieros Convenio Interadministrativo Nro 2446 del-2020 </t>
  </si>
  <si>
    <t>1.2.05.02.45 </t>
  </si>
  <si>
    <t>Rendimientos Financieros Convenio Interadministrativo Nro 2451 del-2020 </t>
  </si>
  <si>
    <t>1.2.10.02.04.04.18 </t>
  </si>
  <si>
    <t>1.1.02.06.006.01.02.02 </t>
  </si>
  <si>
    <t>Programas de Salud - Prestación de Servicios </t>
  </si>
  <si>
    <t>1.1.02.06.009 </t>
  </si>
  <si>
    <t>RECURSOS DEL SISTEMA DE SEGURIDAD SOCIAL INTEGRAL </t>
  </si>
  <si>
    <t>1.1.02.06.009.01 </t>
  </si>
  <si>
    <t>SISTEMA GENERAL DE SEGURIDAD SOCIAL EN SALUD </t>
  </si>
  <si>
    <t>1.1.02.06.009.01.06 </t>
  </si>
  <si>
    <t>Recursos ADRES - cofinanciación UPC régimen subsidiado </t>
  </si>
  <si>
    <t>1.1.02.06.009.01.06.01 </t>
  </si>
  <si>
    <t>Eje Programático de Aseguramiento </t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</si>
  <si>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Es importarnte aclarar que el recaudo de la estampilla para el bienestar del adulto mayor en los meses de marzo y mayo se realizaron devoluciones mayores a los recaudado,   las cuales arrojaron saldos negarivos  asi:   En el mes de marzo  arroja un  valor de -$364.560.236 y en el mes de mayo  arroja un valor de -$161.852.959 debido a los ajustes realizados.</t>
    </r>
  </si>
  <si>
    <t>1.2.15.01.001 </t>
  </si>
  <si>
    <t>De la Nación </t>
  </si>
  <si>
    <t>1.2.15.01.001.01 </t>
  </si>
  <si>
    <t>Convenio Interadministrativo Nro 1289 derivado del proceso UARIV-CD-2021-890201235, Suscrito entre la Unidad para la Atención y Reparación Integral a las Víctimas y el Departamento de Santander Radicado Departamento de Santander No 202100001446 del 21 de mayo del 2021 </t>
  </si>
  <si>
    <t>1.2.15.01.001.02 </t>
  </si>
  <si>
    <t>Convenio Interadministrativo No 028/2021 FND Radicado Gobernacion N° 1679 De Junio 24/2021   </t>
  </si>
  <si>
    <t>EJECUCION PRESUPUESTAL  DE INGRESOS   JULIO  31  DE  2021</t>
  </si>
  <si>
    <t>1.1.02.06.001.06 </t>
  </si>
  <si>
    <t>Sistema General de Participación Agua Potable Saneamiento Basico-ultima Doceava 2020  </t>
  </si>
  <si>
    <t>EJECUCION PRESUPUESTAL  DE INGRESOS  SISTEMA GENERAL DE REGALIAS  JULIO  31  DE  2021</t>
  </si>
  <si>
    <t xml:space="preserve">EJECUCION PRESUPUESTAL  DE INGRESOS  RESERVA PRESUPUESTAL   JULIO  31  DE 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</si>
</sst>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-* #,##0_-;\-* #,##0_-;_-* &quot;-&quot;_-;_-@_-"/>
    <numFmt numFmtId="164" formatCode="_(* #,##0.00_);_(* \(#,##0.00\);_(* &quot;-&quot;??_);_(@_)"/>
    <numFmt numFmtId="165" formatCode="_ * #,##0.00_ ;_ * \-#,##0.00_ ;_ * &quot;-&quot;??_ ;_ @_ "/>
    <numFmt numFmtId="166" formatCode="_-* #,##0.00_-;\-* #,##0.00_-;_-* &quot;-&quot;_-;_-@_-"/>
    <numFmt numFmtId="167" formatCode="#,##0.0"/>
    <numFmt numFmtId="168" formatCode="_(* #,##0_);_(* \(#,##0\);_(* &quot;-&quot;??_);_(@_)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3"/>
      <name val="Arial Black"/>
      <family val="2"/>
    </font>
    <font>
      <b/>
      <sz val="10"/>
      <name val="Arial"/>
      <family val="2"/>
    </font>
    <font>
      <b/>
      <i/>
      <sz val="13"/>
      <name val="Arial Black"/>
      <family val="2"/>
    </font>
    <font>
      <sz val="12"/>
      <name val="Arial Black"/>
      <family val="2"/>
    </font>
    <font>
      <sz val="10"/>
      <color theme="1"/>
      <name val="Tahoma"/>
      <family val="2"/>
    </font>
    <font>
      <b/>
      <sz val="13"/>
      <name val="Arial Black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indexed="8"/>
      <name val="Arial"/>
      <family val="2"/>
    </font>
    <font>
      <b/>
      <sz val="12"/>
      <name val="Arial Black"/>
      <family val="2"/>
    </font>
    <font>
      <sz val="10"/>
      <name val="Arial"/>
      <family val="2"/>
    </font>
    <font>
      <b/>
      <sz val="10"/>
      <name val="Arial Black"/>
      <family val="2"/>
    </font>
    <font>
      <b/>
      <sz val="8"/>
      <color theme="1"/>
      <name val="Tahoma"/>
      <family val="2"/>
    </font>
    <font>
      <sz val="9"/>
      <color theme="1"/>
      <name val="Tahoma"/>
      <family val="2"/>
    </font>
    <font>
      <sz val="11"/>
      <name val="Arial Black"/>
      <family val="2"/>
    </font>
    <font>
      <sz val="10"/>
      <name val="Arial"/>
      <family val="2"/>
      <charset val="1"/>
    </font>
    <font>
      <b/>
      <sz val="12"/>
      <color theme="1"/>
      <name val="Arial Black"/>
      <family val="2"/>
    </font>
    <font>
      <b/>
      <sz val="11"/>
      <name val="Arial Black"/>
      <family val="2"/>
    </font>
    <font>
      <b/>
      <sz val="9"/>
      <name val="Arial Blac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4"/>
      <name val="Arial Black"/>
      <family val="2"/>
    </font>
    <font>
      <b/>
      <sz val="13"/>
      <name val="Arial"/>
      <family val="2"/>
    </font>
    <font>
      <sz val="8"/>
      <color theme="1"/>
      <name val="Tahoma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sz val="10"/>
      <name val="Arial Black"/>
      <family val="2"/>
    </font>
    <font>
      <b/>
      <sz val="10"/>
      <color theme="1"/>
      <name val="Arial Black"/>
      <family val="2"/>
    </font>
    <font>
      <b/>
      <sz val="10"/>
      <color theme="1"/>
      <name val="Arial"/>
      <family val="2"/>
    </font>
    <font>
      <b/>
      <i/>
      <sz val="12"/>
      <name val="Arial Black"/>
      <family val="2"/>
    </font>
  </fonts>
  <fills count="2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019">
    <xf numFmtId="165" fontId="0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164" fontId="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9" fontId="3" fillId="0" borderId="0" applyFont="0" applyFill="0" applyBorder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37" fontId="3" fillId="0" borderId="0"/>
    <xf numFmtId="41" fontId="45" fillId="0" borderId="0" applyFont="0" applyFill="0" applyBorder="0" applyAlignment="0" applyProtection="0"/>
    <xf numFmtId="0" fontId="50" fillId="0" borderId="0"/>
    <xf numFmtId="41" fontId="3" fillId="0" borderId="0" applyFont="0" applyFill="0" applyBorder="0" applyAlignment="0" applyProtection="0"/>
    <xf numFmtId="0" fontId="3" fillId="0" borderId="0"/>
  </cellStyleXfs>
  <cellXfs count="497">
    <xf numFmtId="0" fontId="0" fillId="0" borderId="0" xfId="0" applyNumberFormat="1"/>
    <xf numFmtId="3" fontId="4" fillId="0" borderId="0" xfId="0" applyNumberFormat="1" applyFont="1" applyFill="1" applyAlignment="1">
      <alignment vertical="center" wrapText="1"/>
    </xf>
    <xf numFmtId="3" fontId="7" fillId="0" borderId="13" xfId="0" applyNumberFormat="1" applyFont="1" applyFill="1" applyBorder="1" applyAlignment="1">
      <alignment vertical="center" wrapText="1"/>
    </xf>
    <xf numFmtId="3" fontId="7" fillId="0" borderId="14" xfId="0" applyNumberFormat="1" applyFont="1" applyFill="1" applyBorder="1" applyAlignment="1">
      <alignment vertical="center" wrapText="1"/>
    </xf>
    <xf numFmtId="3" fontId="4" fillId="0" borderId="13" xfId="0" applyNumberFormat="1" applyFont="1" applyFill="1" applyBorder="1" applyAlignment="1">
      <alignment vertical="center" wrapText="1"/>
    </xf>
    <xf numFmtId="3" fontId="7" fillId="0" borderId="0" xfId="0" applyNumberFormat="1" applyFont="1" applyFill="1" applyAlignment="1">
      <alignment vertical="center" wrapText="1"/>
    </xf>
    <xf numFmtId="3" fontId="7" fillId="0" borderId="13" xfId="810" applyNumberFormat="1" applyFont="1" applyFill="1" applyBorder="1" applyAlignment="1">
      <alignment vertical="center" wrapText="1"/>
    </xf>
    <xf numFmtId="3" fontId="12" fillId="0" borderId="13" xfId="0" applyNumberFormat="1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3" fontId="14" fillId="0" borderId="13" xfId="0" applyNumberFormat="1" applyFont="1" applyFill="1" applyBorder="1" applyAlignment="1">
      <alignment vertical="center" wrapText="1"/>
    </xf>
    <xf numFmtId="3" fontId="7" fillId="0" borderId="15" xfId="0" applyNumberFormat="1" applyFont="1" applyFill="1" applyBorder="1" applyAlignment="1">
      <alignment vertical="center" wrapText="1"/>
    </xf>
    <xf numFmtId="3" fontId="4" fillId="0" borderId="15" xfId="0" applyNumberFormat="1" applyFont="1" applyFill="1" applyBorder="1" applyAlignment="1">
      <alignment vertical="center" wrapText="1"/>
    </xf>
    <xf numFmtId="3" fontId="12" fillId="0" borderId="14" xfId="0" applyNumberFormat="1" applyFont="1" applyFill="1" applyBorder="1" applyAlignment="1">
      <alignment vertical="center" wrapText="1"/>
    </xf>
    <xf numFmtId="3" fontId="4" fillId="0" borderId="14" xfId="0" applyNumberFormat="1" applyFont="1" applyFill="1" applyBorder="1" applyAlignment="1">
      <alignment vertical="center" wrapText="1"/>
    </xf>
    <xf numFmtId="3" fontId="4" fillId="0" borderId="13" xfId="810" applyNumberFormat="1" applyFont="1" applyFill="1" applyBorder="1" applyAlignment="1">
      <alignment vertical="center" wrapText="1"/>
    </xf>
    <xf numFmtId="3" fontId="7" fillId="0" borderId="19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4" fillId="0" borderId="14" xfId="685" applyNumberFormat="1" applyFont="1" applyFill="1" applyBorder="1" applyAlignment="1">
      <alignment vertical="center" wrapText="1"/>
    </xf>
    <xf numFmtId="3" fontId="4" fillId="0" borderId="13" xfId="685" applyNumberFormat="1" applyFont="1" applyFill="1" applyBorder="1" applyAlignment="1">
      <alignment vertical="center" wrapText="1"/>
    </xf>
    <xf numFmtId="3" fontId="6" fillId="0" borderId="0" xfId="0" applyNumberFormat="1" applyFont="1" applyFill="1" applyAlignment="1">
      <alignment vertical="center" wrapText="1"/>
    </xf>
    <xf numFmtId="3" fontId="4" fillId="0" borderId="20" xfId="0" applyNumberFormat="1" applyFont="1" applyFill="1" applyBorder="1" applyAlignment="1">
      <alignment horizontal="right" vertical="center" wrapText="1"/>
    </xf>
    <xf numFmtId="3" fontId="7" fillId="0" borderId="16" xfId="0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right" vertical="center" wrapText="1"/>
    </xf>
    <xf numFmtId="3" fontId="7" fillId="0" borderId="13" xfId="685" applyNumberFormat="1" applyFont="1" applyFill="1" applyBorder="1" applyAlignment="1">
      <alignment horizontal="right" vertical="center" wrapText="1"/>
    </xf>
    <xf numFmtId="3" fontId="4" fillId="0" borderId="13" xfId="0" applyNumberFormat="1" applyFont="1" applyFill="1" applyBorder="1" applyAlignment="1">
      <alignment horizontal="right" vertical="center" wrapText="1"/>
    </xf>
    <xf numFmtId="3" fontId="4" fillId="0" borderId="13" xfId="685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 applyAlignment="1">
      <alignment vertical="center" wrapText="1"/>
    </xf>
    <xf numFmtId="3" fontId="12" fillId="0" borderId="14" xfId="685" applyNumberFormat="1" applyFont="1" applyFill="1" applyBorder="1" applyAlignment="1">
      <alignment horizontal="right" vertical="center" wrapText="1"/>
    </xf>
    <xf numFmtId="3" fontId="14" fillId="0" borderId="14" xfId="0" applyNumberFormat="1" applyFont="1" applyFill="1" applyBorder="1" applyAlignment="1">
      <alignment vertical="center" wrapText="1"/>
    </xf>
    <xf numFmtId="3" fontId="12" fillId="0" borderId="13" xfId="685" applyNumberFormat="1" applyFont="1" applyFill="1" applyBorder="1" applyAlignment="1">
      <alignment horizontal="right" vertical="center" wrapText="1"/>
    </xf>
    <xf numFmtId="3" fontId="4" fillId="0" borderId="0" xfId="685" applyNumberFormat="1" applyFont="1" applyFill="1" applyAlignment="1">
      <alignment horizontal="right" vertical="center" wrapText="1"/>
    </xf>
    <xf numFmtId="9" fontId="7" fillId="0" borderId="11" xfId="835" applyNumberFormat="1" applyFont="1" applyFill="1" applyBorder="1" applyAlignment="1">
      <alignment horizontal="center" vertical="center" wrapText="1"/>
    </xf>
    <xf numFmtId="9" fontId="7" fillId="0" borderId="10" xfId="835" applyNumberFormat="1" applyFont="1" applyFill="1" applyBorder="1" applyAlignment="1">
      <alignment horizontal="center" vertical="center" wrapText="1"/>
    </xf>
    <xf numFmtId="9" fontId="7" fillId="0" borderId="18" xfId="835" applyNumberFormat="1" applyFont="1" applyFill="1" applyBorder="1" applyAlignment="1">
      <alignment horizontal="right" vertical="center" wrapText="1"/>
    </xf>
    <xf numFmtId="9" fontId="4" fillId="0" borderId="18" xfId="835" applyNumberFormat="1" applyFont="1" applyFill="1" applyBorder="1" applyAlignment="1">
      <alignment horizontal="right" vertical="center" wrapText="1"/>
    </xf>
    <xf numFmtId="9" fontId="4" fillId="0" borderId="17" xfId="835" applyNumberFormat="1" applyFont="1" applyFill="1" applyBorder="1" applyAlignment="1">
      <alignment horizontal="right" vertical="center" wrapText="1"/>
    </xf>
    <xf numFmtId="9" fontId="4" fillId="0" borderId="0" xfId="835" applyNumberFormat="1" applyFont="1" applyFill="1" applyAlignment="1">
      <alignment horizontal="right" vertical="center" wrapText="1"/>
    </xf>
    <xf numFmtId="9" fontId="4" fillId="0" borderId="0" xfId="0" applyNumberFormat="1" applyFont="1" applyFill="1" applyAlignment="1">
      <alignment horizontal="right" vertical="center" wrapText="1"/>
    </xf>
    <xf numFmtId="9" fontId="4" fillId="0" borderId="0" xfId="0" applyNumberFormat="1" applyFont="1" applyFill="1" applyAlignment="1">
      <alignment horizontal="left" vertical="center" wrapText="1"/>
    </xf>
    <xf numFmtId="3" fontId="4" fillId="0" borderId="15" xfId="685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left" vertical="center" wrapText="1"/>
    </xf>
    <xf numFmtId="4" fontId="4" fillId="0" borderId="13" xfId="0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Alignment="1">
      <alignment vertical="center" wrapText="1"/>
    </xf>
    <xf numFmtId="3" fontId="35" fillId="0" borderId="28" xfId="0" applyNumberFormat="1" applyFont="1" applyFill="1" applyBorder="1" applyAlignment="1">
      <alignment vertical="center" wrapText="1"/>
    </xf>
    <xf numFmtId="3" fontId="7" fillId="0" borderId="35" xfId="0" applyNumberFormat="1" applyFont="1" applyFill="1" applyBorder="1" applyAlignment="1">
      <alignment vertical="center" wrapText="1"/>
    </xf>
    <xf numFmtId="3" fontId="12" fillId="0" borderId="35" xfId="0" applyNumberFormat="1" applyFont="1" applyFill="1" applyBorder="1" applyAlignment="1">
      <alignment vertical="center" wrapText="1"/>
    </xf>
    <xf numFmtId="3" fontId="12" fillId="0" borderId="0" xfId="0" applyNumberFormat="1" applyFont="1" applyFill="1" applyBorder="1" applyAlignment="1">
      <alignment vertical="center" wrapText="1"/>
    </xf>
    <xf numFmtId="3" fontId="40" fillId="0" borderId="34" xfId="0" applyNumberFormat="1" applyFont="1" applyFill="1" applyBorder="1" applyAlignment="1">
      <alignment vertical="center" wrapText="1"/>
    </xf>
    <xf numFmtId="3" fontId="12" fillId="0" borderId="31" xfId="0" applyNumberFormat="1" applyFont="1" applyFill="1" applyBorder="1" applyAlignment="1">
      <alignment vertical="center" wrapText="1"/>
    </xf>
    <xf numFmtId="3" fontId="7" fillId="0" borderId="31" xfId="685" applyNumberFormat="1" applyFont="1" applyFill="1" applyBorder="1" applyAlignment="1">
      <alignment horizontal="right" vertical="center" wrapText="1"/>
    </xf>
    <xf numFmtId="9" fontId="4" fillId="0" borderId="36" xfId="835" applyNumberFormat="1" applyFont="1" applyFill="1" applyBorder="1" applyAlignment="1">
      <alignment horizontal="right" vertical="center" wrapText="1"/>
    </xf>
    <xf numFmtId="9" fontId="7" fillId="0" borderId="33" xfId="835" applyNumberFormat="1" applyFont="1" applyFill="1" applyBorder="1" applyAlignment="1">
      <alignment horizontal="right" vertical="center" wrapText="1"/>
    </xf>
    <xf numFmtId="9" fontId="4" fillId="0" borderId="19" xfId="835" applyNumberFormat="1" applyFont="1" applyFill="1" applyBorder="1" applyAlignment="1">
      <alignment horizontal="right" vertical="center" wrapText="1"/>
    </xf>
    <xf numFmtId="9" fontId="5" fillId="0" borderId="12" xfId="835" applyNumberFormat="1" applyFont="1" applyFill="1" applyBorder="1" applyAlignment="1">
      <alignment vertical="center" wrapText="1"/>
    </xf>
    <xf numFmtId="3" fontId="7" fillId="0" borderId="20" xfId="0" applyNumberFormat="1" applyFont="1" applyFill="1" applyBorder="1" applyAlignment="1">
      <alignment vertical="center" wrapText="1"/>
    </xf>
    <xf numFmtId="3" fontId="3" fillId="0" borderId="16" xfId="0" quotePrefix="1" applyNumberFormat="1" applyFont="1" applyFill="1" applyBorder="1" applyAlignment="1">
      <alignment vertical="center" wrapText="1"/>
    </xf>
    <xf numFmtId="3" fontId="36" fillId="0" borderId="16" xfId="0" applyNumberFormat="1" applyFont="1" applyFill="1" applyBorder="1" applyAlignment="1">
      <alignment vertical="center" wrapText="1"/>
    </xf>
    <xf numFmtId="3" fontId="3" fillId="0" borderId="16" xfId="0" applyNumberFormat="1" applyFont="1" applyFill="1" applyBorder="1" applyAlignment="1">
      <alignment vertical="center" wrapText="1"/>
    </xf>
    <xf numFmtId="3" fontId="36" fillId="0" borderId="16" xfId="0" quotePrefix="1" applyNumberFormat="1" applyFont="1" applyFill="1" applyBorder="1" applyAlignment="1">
      <alignment vertical="center" wrapText="1"/>
    </xf>
    <xf numFmtId="3" fontId="11" fillId="0" borderId="16" xfId="0" applyNumberFormat="1" applyFont="1" applyFill="1" applyBorder="1" applyAlignment="1">
      <alignment vertical="center" wrapText="1"/>
    </xf>
    <xf numFmtId="3" fontId="11" fillId="0" borderId="21" xfId="0" applyNumberFormat="1" applyFont="1" applyFill="1" applyBorder="1" applyAlignment="1">
      <alignment vertical="center" wrapText="1"/>
    </xf>
    <xf numFmtId="4" fontId="5" fillId="0" borderId="13" xfId="0" applyNumberFormat="1" applyFont="1" applyFill="1" applyBorder="1" applyAlignment="1">
      <alignment vertical="center" wrapText="1"/>
    </xf>
    <xf numFmtId="4" fontId="5" fillId="0" borderId="12" xfId="0" applyNumberFormat="1" applyFont="1" applyFill="1" applyBorder="1" applyAlignment="1">
      <alignment vertical="center" wrapText="1"/>
    </xf>
    <xf numFmtId="3" fontId="5" fillId="0" borderId="0" xfId="0" applyNumberFormat="1" applyFont="1" applyFill="1" applyAlignment="1">
      <alignment vertical="center" wrapText="1"/>
    </xf>
    <xf numFmtId="3" fontId="4" fillId="0" borderId="27" xfId="685" applyNumberFormat="1" applyFont="1" applyFill="1" applyBorder="1" applyAlignment="1">
      <alignment horizontal="right" vertical="center" wrapText="1"/>
    </xf>
    <xf numFmtId="3" fontId="7" fillId="0" borderId="12" xfId="685" applyNumberFormat="1" applyFont="1" applyFill="1" applyBorder="1" applyAlignment="1">
      <alignment horizontal="right" vertical="center" wrapText="1"/>
    </xf>
    <xf numFmtId="3" fontId="14" fillId="0" borderId="31" xfId="0" applyNumberFormat="1" applyFont="1" applyFill="1" applyBorder="1" applyAlignment="1">
      <alignment vertical="center" wrapText="1"/>
    </xf>
    <xf numFmtId="3" fontId="10" fillId="0" borderId="0" xfId="0" applyNumberFormat="1" applyFont="1" applyFill="1" applyBorder="1" applyAlignment="1">
      <alignment vertical="center" wrapText="1"/>
    </xf>
    <xf numFmtId="0" fontId="10" fillId="0" borderId="0" xfId="0" applyNumberFormat="1" applyFont="1" applyFill="1" applyBorder="1" applyAlignment="1">
      <alignment vertical="center" wrapText="1"/>
    </xf>
    <xf numFmtId="3" fontId="8" fillId="0" borderId="0" xfId="0" applyNumberFormat="1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vertical="center" wrapText="1"/>
    </xf>
    <xf numFmtId="3" fontId="6" fillId="0" borderId="0" xfId="0" applyNumberFormat="1" applyFont="1" applyFill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3" fontId="43" fillId="0" borderId="13" xfId="0" applyNumberFormat="1" applyFont="1" applyFill="1" applyBorder="1" applyAlignment="1">
      <alignment vertical="center" wrapText="1"/>
    </xf>
    <xf numFmtId="3" fontId="43" fillId="0" borderId="24" xfId="0" applyNumberFormat="1" applyFont="1" applyFill="1" applyBorder="1" applyAlignment="1">
      <alignment vertical="center" wrapText="1"/>
    </xf>
    <xf numFmtId="3" fontId="36" fillId="0" borderId="13" xfId="0" applyNumberFormat="1" applyFont="1" applyFill="1" applyBorder="1" applyAlignment="1">
      <alignment vertical="center" wrapText="1"/>
    </xf>
    <xf numFmtId="165" fontId="4" fillId="0" borderId="16" xfId="0" applyFont="1" applyFill="1" applyBorder="1" applyAlignment="1">
      <alignment horizontal="right" vertical="center" wrapText="1"/>
    </xf>
    <xf numFmtId="165" fontId="4" fillId="0" borderId="13" xfId="0" applyFont="1" applyFill="1" applyBorder="1" applyAlignment="1">
      <alignment vertical="center" wrapText="1"/>
    </xf>
    <xf numFmtId="41" fontId="5" fillId="0" borderId="13" xfId="1015" applyFont="1" applyFill="1" applyBorder="1" applyAlignment="1">
      <alignment horizontal="right" vertical="center" wrapText="1"/>
    </xf>
    <xf numFmtId="165" fontId="5" fillId="0" borderId="13" xfId="0" applyFont="1" applyFill="1" applyBorder="1" applyAlignment="1">
      <alignment vertical="center" wrapText="1"/>
    </xf>
    <xf numFmtId="4" fontId="5" fillId="0" borderId="13" xfId="812" applyNumberFormat="1" applyFont="1" applyFill="1" applyBorder="1" applyAlignment="1">
      <alignment horizontal="left" vertical="center" wrapText="1"/>
    </xf>
    <xf numFmtId="165" fontId="5" fillId="0" borderId="16" xfId="0" applyFont="1" applyFill="1" applyBorder="1" applyAlignment="1">
      <alignment horizontal="right" vertical="center" wrapText="1"/>
    </xf>
    <xf numFmtId="165" fontId="6" fillId="0" borderId="16" xfId="0" applyFont="1" applyFill="1" applyBorder="1" applyAlignment="1">
      <alignment horizontal="right" vertical="center" wrapText="1"/>
    </xf>
    <xf numFmtId="165" fontId="6" fillId="0" borderId="13" xfId="0" applyFont="1" applyFill="1" applyBorder="1" applyAlignment="1">
      <alignment vertical="center" wrapText="1"/>
    </xf>
    <xf numFmtId="3" fontId="44" fillId="0" borderId="16" xfId="0" applyNumberFormat="1" applyFont="1" applyFill="1" applyBorder="1" applyAlignment="1">
      <alignment vertical="center" wrapText="1"/>
    </xf>
    <xf numFmtId="3" fontId="46" fillId="0" borderId="20" xfId="0" applyNumberFormat="1" applyFont="1" applyFill="1" applyBorder="1" applyAlignment="1">
      <alignment vertical="center" wrapText="1"/>
    </xf>
    <xf numFmtId="3" fontId="36" fillId="0" borderId="0" xfId="0" applyNumberFormat="1" applyFont="1" applyFill="1" applyBorder="1" applyAlignment="1">
      <alignment vertical="center" wrapText="1"/>
    </xf>
    <xf numFmtId="0" fontId="36" fillId="0" borderId="0" xfId="0" applyNumberFormat="1" applyFont="1" applyFill="1" applyBorder="1" applyAlignment="1">
      <alignment vertical="center" wrapText="1"/>
    </xf>
    <xf numFmtId="4" fontId="36" fillId="0" borderId="18" xfId="0" applyNumberFormat="1" applyFont="1" applyFill="1" applyBorder="1" applyAlignment="1">
      <alignment vertical="center" wrapText="1"/>
    </xf>
    <xf numFmtId="165" fontId="41" fillId="0" borderId="16" xfId="0" applyFont="1" applyFill="1" applyBorder="1" applyAlignment="1">
      <alignment horizontal="right" vertical="center" wrapText="1"/>
    </xf>
    <xf numFmtId="165" fontId="34" fillId="0" borderId="16" xfId="0" applyFont="1" applyFill="1" applyBorder="1" applyAlignment="1">
      <alignment horizontal="right" vertical="center" wrapText="1"/>
    </xf>
    <xf numFmtId="165" fontId="34" fillId="0" borderId="13" xfId="0" applyFont="1" applyFill="1" applyBorder="1" applyAlignment="1">
      <alignment vertical="center" wrapText="1"/>
    </xf>
    <xf numFmtId="165" fontId="41" fillId="0" borderId="13" xfId="0" applyFont="1" applyFill="1" applyBorder="1" applyAlignment="1">
      <alignment vertical="center" wrapText="1"/>
    </xf>
    <xf numFmtId="4" fontId="7" fillId="0" borderId="18" xfId="0" applyNumberFormat="1" applyFont="1" applyFill="1" applyBorder="1" applyAlignment="1">
      <alignment vertical="center" wrapText="1"/>
    </xf>
    <xf numFmtId="166" fontId="4" fillId="0" borderId="13" xfId="1015" applyNumberFormat="1" applyFont="1" applyFill="1" applyBorder="1" applyAlignment="1">
      <alignment vertical="center" wrapText="1"/>
    </xf>
    <xf numFmtId="3" fontId="35" fillId="0" borderId="34" xfId="0" applyNumberFormat="1" applyFont="1" applyFill="1" applyBorder="1" applyAlignment="1">
      <alignment vertical="center" wrapText="1"/>
    </xf>
    <xf numFmtId="3" fontId="3" fillId="0" borderId="32" xfId="0" applyNumberFormat="1" applyFont="1" applyFill="1" applyBorder="1" applyAlignment="1">
      <alignment vertical="center" wrapText="1"/>
    </xf>
    <xf numFmtId="3" fontId="4" fillId="0" borderId="27" xfId="810" applyNumberFormat="1" applyFont="1" applyFill="1" applyBorder="1" applyAlignment="1">
      <alignment vertical="center" wrapText="1"/>
    </xf>
    <xf numFmtId="3" fontId="38" fillId="0" borderId="28" xfId="0" applyNumberFormat="1" applyFont="1" applyFill="1" applyBorder="1" applyAlignment="1">
      <alignment vertical="center" wrapText="1"/>
    </xf>
    <xf numFmtId="9" fontId="7" fillId="0" borderId="12" xfId="0" applyNumberFormat="1" applyFont="1" applyFill="1" applyBorder="1" applyAlignment="1">
      <alignment vertical="center" wrapText="1"/>
    </xf>
    <xf numFmtId="3" fontId="7" fillId="0" borderId="0" xfId="0" applyNumberFormat="1" applyFont="1" applyFill="1" applyAlignment="1">
      <alignment horizontal="center" vertical="center" wrapText="1"/>
    </xf>
    <xf numFmtId="4" fontId="5" fillId="0" borderId="13" xfId="0" applyNumberFormat="1" applyFont="1" applyFill="1" applyBorder="1" applyAlignment="1">
      <alignment horizontal="left" vertical="center" wrapText="1"/>
    </xf>
    <xf numFmtId="4" fontId="36" fillId="0" borderId="17" xfId="0" applyNumberFormat="1" applyFont="1" applyFill="1" applyBorder="1" applyAlignment="1">
      <alignment vertical="center" wrapText="1"/>
    </xf>
    <xf numFmtId="0" fontId="36" fillId="0" borderId="13" xfId="805" applyFont="1" applyFill="1" applyBorder="1" applyAlignment="1" applyProtection="1">
      <alignment vertical="center" wrapText="1"/>
    </xf>
    <xf numFmtId="0" fontId="3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3" fillId="0" borderId="0" xfId="0" applyNumberFormat="1" applyFont="1" applyFill="1" applyAlignment="1">
      <alignment horizontal="left" vertical="center" wrapText="1"/>
    </xf>
    <xf numFmtId="0" fontId="36" fillId="0" borderId="0" xfId="0" applyNumberFormat="1" applyFont="1" applyFill="1" applyAlignment="1">
      <alignment vertical="center" wrapText="1"/>
    </xf>
    <xf numFmtId="3" fontId="36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vertical="center" wrapText="1"/>
    </xf>
    <xf numFmtId="3" fontId="5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vertical="center" wrapText="1"/>
    </xf>
    <xf numFmtId="4" fontId="5" fillId="24" borderId="35" xfId="0" applyNumberFormat="1" applyFont="1" applyFill="1" applyBorder="1" applyAlignment="1" applyProtection="1">
      <alignment horizontal="right" vertical="center" wrapText="1"/>
    </xf>
    <xf numFmtId="3" fontId="5" fillId="24" borderId="0" xfId="0" applyNumberFormat="1" applyFont="1" applyFill="1" applyBorder="1" applyAlignment="1">
      <alignment vertical="center" wrapText="1"/>
    </xf>
    <xf numFmtId="0" fontId="5" fillId="24" borderId="0" xfId="0" applyNumberFormat="1" applyFont="1" applyFill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Alignment="1">
      <alignment vertical="center" wrapText="1"/>
    </xf>
    <xf numFmtId="4" fontId="5" fillId="24" borderId="11" xfId="0" applyNumberFormat="1" applyFont="1" applyFill="1" applyBorder="1" applyAlignment="1">
      <alignment vertical="center" wrapText="1"/>
    </xf>
    <xf numFmtId="3" fontId="5" fillId="0" borderId="13" xfId="0" applyNumberFormat="1" applyFont="1" applyFill="1" applyBorder="1" applyAlignment="1">
      <alignment vertical="center" wrapText="1"/>
    </xf>
    <xf numFmtId="3" fontId="3" fillId="0" borderId="20" xfId="0" applyNumberFormat="1" applyFont="1" applyFill="1" applyBorder="1" applyAlignment="1">
      <alignment horizontal="left" vertical="center" wrapText="1"/>
    </xf>
    <xf numFmtId="3" fontId="36" fillId="0" borderId="14" xfId="0" applyNumberFormat="1" applyFont="1" applyFill="1" applyBorder="1" applyAlignment="1">
      <alignment vertical="center" wrapText="1"/>
    </xf>
    <xf numFmtId="3" fontId="43" fillId="0" borderId="14" xfId="0" applyNumberFormat="1" applyFont="1" applyFill="1" applyBorder="1" applyAlignment="1">
      <alignment vertical="center" wrapText="1"/>
    </xf>
    <xf numFmtId="41" fontId="43" fillId="0" borderId="14" xfId="1015" applyFont="1" applyFill="1" applyBorder="1" applyAlignment="1">
      <alignment vertical="center" wrapText="1"/>
    </xf>
    <xf numFmtId="41" fontId="4" fillId="0" borderId="0" xfId="1015" applyFont="1" applyFill="1" applyAlignment="1">
      <alignment vertical="center" wrapText="1"/>
    </xf>
    <xf numFmtId="41" fontId="4" fillId="0" borderId="0" xfId="1015" applyFont="1" applyFill="1" applyAlignment="1">
      <alignment horizontal="right" vertical="center" wrapText="1"/>
    </xf>
    <xf numFmtId="41" fontId="6" fillId="0" borderId="13" xfId="1015" applyFont="1" applyFill="1" applyBorder="1" applyAlignment="1">
      <alignment horizontal="right" vertical="center" wrapText="1"/>
    </xf>
    <xf numFmtId="41" fontId="7" fillId="0" borderId="13" xfId="1015" applyFont="1" applyFill="1" applyBorder="1" applyAlignment="1">
      <alignment horizontal="right" vertical="center" wrapText="1"/>
    </xf>
    <xf numFmtId="41" fontId="4" fillId="0" borderId="13" xfId="1015" applyFont="1" applyFill="1" applyBorder="1" applyAlignment="1">
      <alignment horizontal="right" vertical="center" wrapText="1"/>
    </xf>
    <xf numFmtId="41" fontId="4" fillId="0" borderId="15" xfId="1015" applyFont="1" applyFill="1" applyBorder="1" applyAlignment="1">
      <alignment horizontal="right" vertical="center" wrapText="1"/>
    </xf>
    <xf numFmtId="41" fontId="5" fillId="0" borderId="13" xfId="1015" applyFont="1" applyFill="1" applyBorder="1" applyAlignment="1" applyProtection="1">
      <alignment horizontal="right" vertical="center" wrapText="1"/>
    </xf>
    <xf numFmtId="41" fontId="4" fillId="0" borderId="13" xfId="1015" applyFont="1" applyFill="1" applyBorder="1" applyAlignment="1" applyProtection="1">
      <alignment horizontal="right" vertical="center" wrapText="1"/>
    </xf>
    <xf numFmtId="41" fontId="6" fillId="0" borderId="13" xfId="1015" applyFont="1" applyFill="1" applyBorder="1" applyAlignment="1" applyProtection="1">
      <alignment horizontal="right" vertical="center" wrapText="1"/>
    </xf>
    <xf numFmtId="41" fontId="41" fillId="0" borderId="13" xfId="1015" applyFont="1" applyFill="1" applyBorder="1" applyAlignment="1">
      <alignment horizontal="right" vertical="center" wrapText="1"/>
    </xf>
    <xf numFmtId="41" fontId="42" fillId="0" borderId="13" xfId="1015" applyFont="1" applyFill="1" applyBorder="1" applyAlignment="1">
      <alignment horizontal="right" vertical="center" wrapText="1"/>
    </xf>
    <xf numFmtId="41" fontId="34" fillId="0" borderId="13" xfId="1015" applyFont="1" applyFill="1" applyBorder="1" applyAlignment="1">
      <alignment horizontal="right" vertical="center" wrapText="1"/>
    </xf>
    <xf numFmtId="41" fontId="7" fillId="0" borderId="0" xfId="1015" applyFont="1" applyFill="1" applyAlignment="1">
      <alignment horizontal="right" vertical="center" wrapText="1"/>
    </xf>
    <xf numFmtId="3" fontId="4" fillId="0" borderId="21" xfId="0" applyNumberFormat="1" applyFont="1" applyFill="1" applyBorder="1" applyAlignment="1">
      <alignment horizontal="right" vertical="center" wrapText="1"/>
    </xf>
    <xf numFmtId="41" fontId="43" fillId="0" borderId="24" xfId="1015" applyFont="1" applyFill="1" applyBorder="1" applyAlignment="1">
      <alignment vertical="center" wrapText="1"/>
    </xf>
    <xf numFmtId="3" fontId="9" fillId="0" borderId="15" xfId="0" applyNumberFormat="1" applyFont="1" applyFill="1" applyBorder="1" applyAlignment="1">
      <alignment vertical="center" wrapText="1"/>
    </xf>
    <xf numFmtId="4" fontId="8" fillId="0" borderId="18" xfId="0" applyNumberFormat="1" applyFont="1" applyFill="1" applyBorder="1" applyAlignment="1">
      <alignment vertical="center" wrapText="1"/>
    </xf>
    <xf numFmtId="3" fontId="44" fillId="0" borderId="0" xfId="0" applyNumberFormat="1" applyFont="1" applyFill="1" applyAlignment="1">
      <alignment horizontal="center" vertical="center" wrapText="1"/>
    </xf>
    <xf numFmtId="3" fontId="44" fillId="0" borderId="0" xfId="0" applyNumberFormat="1" applyFont="1" applyFill="1" applyAlignment="1">
      <alignment vertical="center" wrapText="1"/>
    </xf>
    <xf numFmtId="167" fontId="4" fillId="0" borderId="0" xfId="0" applyNumberFormat="1" applyFont="1" applyFill="1" applyAlignment="1">
      <alignment horizontal="right" vertical="center" wrapText="1"/>
    </xf>
    <xf numFmtId="3" fontId="4" fillId="0" borderId="0" xfId="0" applyNumberFormat="1" applyFont="1" applyFill="1" applyBorder="1" applyAlignment="1">
      <alignment horizontal="right" vertical="center" wrapText="1"/>
    </xf>
    <xf numFmtId="41" fontId="4" fillId="0" borderId="0" xfId="1015" applyFont="1" applyFill="1" applyBorder="1" applyAlignment="1">
      <alignment horizontal="right" vertical="center" wrapText="1"/>
    </xf>
    <xf numFmtId="4" fontId="5" fillId="0" borderId="13" xfId="0" applyNumberFormat="1" applyFont="1" applyFill="1" applyBorder="1" applyAlignment="1">
      <alignment horizontal="right" vertical="center" wrapText="1"/>
    </xf>
    <xf numFmtId="41" fontId="4" fillId="0" borderId="14" xfId="1015" applyFont="1" applyFill="1" applyBorder="1" applyAlignment="1">
      <alignment horizontal="right" vertical="center" wrapText="1"/>
    </xf>
    <xf numFmtId="41" fontId="6" fillId="0" borderId="0" xfId="1015" applyFont="1" applyFill="1" applyAlignment="1">
      <alignment horizontal="right" vertical="center" wrapText="1"/>
    </xf>
    <xf numFmtId="41" fontId="10" fillId="0" borderId="14" xfId="1015" applyFont="1" applyFill="1" applyBorder="1" applyAlignment="1">
      <alignment horizontal="right" vertical="center" wrapText="1"/>
    </xf>
    <xf numFmtId="41" fontId="7" fillId="0" borderId="14" xfId="1015" applyFont="1" applyFill="1" applyBorder="1" applyAlignment="1">
      <alignment horizontal="right" vertical="center" wrapText="1"/>
    </xf>
    <xf numFmtId="41" fontId="6" fillId="0" borderId="14" xfId="1015" applyFont="1" applyFill="1" applyBorder="1" applyAlignment="1">
      <alignment horizontal="right" vertical="center" wrapText="1"/>
    </xf>
    <xf numFmtId="3" fontId="6" fillId="0" borderId="0" xfId="0" applyNumberFormat="1" applyFont="1" applyFill="1" applyBorder="1" applyAlignment="1">
      <alignment horizontal="left" vertical="center" wrapText="1"/>
    </xf>
    <xf numFmtId="3" fontId="3" fillId="24" borderId="0" xfId="0" applyNumberFormat="1" applyFont="1" applyFill="1" applyBorder="1" applyAlignment="1">
      <alignment vertical="center" wrapText="1"/>
    </xf>
    <xf numFmtId="4" fontId="4" fillId="0" borderId="13" xfId="0" applyNumberFormat="1" applyFont="1" applyFill="1" applyBorder="1" applyAlignment="1">
      <alignment horizontal="left" vertical="center" wrapText="1"/>
    </xf>
    <xf numFmtId="4" fontId="4" fillId="0" borderId="13" xfId="811" applyNumberFormat="1" applyFont="1" applyFill="1" applyBorder="1" applyAlignment="1">
      <alignment horizontal="left" vertical="center" wrapText="1"/>
    </xf>
    <xf numFmtId="0" fontId="5" fillId="0" borderId="16" xfId="805" applyFont="1" applyFill="1" applyBorder="1" applyAlignment="1" applyProtection="1">
      <alignment horizontal="right" vertical="center" wrapText="1"/>
    </xf>
    <xf numFmtId="0" fontId="4" fillId="0" borderId="16" xfId="805" applyFont="1" applyFill="1" applyBorder="1" applyAlignment="1" applyProtection="1">
      <alignment horizontal="right" vertical="center" wrapText="1"/>
    </xf>
    <xf numFmtId="165" fontId="4" fillId="0" borderId="21" xfId="0" applyFont="1" applyFill="1" applyBorder="1" applyAlignment="1">
      <alignment horizontal="right" vertical="center" wrapText="1"/>
    </xf>
    <xf numFmtId="4" fontId="8" fillId="0" borderId="17" xfId="0" applyNumberFormat="1" applyFont="1" applyFill="1" applyBorder="1" applyAlignment="1">
      <alignment vertical="center" wrapText="1"/>
    </xf>
    <xf numFmtId="165" fontId="44" fillId="0" borderId="13" xfId="0" applyFont="1" applyFill="1" applyBorder="1" applyAlignment="1">
      <alignment vertical="center" wrapText="1"/>
    </xf>
    <xf numFmtId="165" fontId="44" fillId="0" borderId="16" xfId="0" applyFont="1" applyFill="1" applyBorder="1" applyAlignment="1">
      <alignment horizontal="right" vertical="center" wrapText="1"/>
    </xf>
    <xf numFmtId="41" fontId="44" fillId="0" borderId="13" xfId="1015" applyFont="1" applyFill="1" applyBorder="1" applyAlignment="1">
      <alignment horizontal="right" vertical="center" wrapText="1"/>
    </xf>
    <xf numFmtId="165" fontId="44" fillId="0" borderId="20" xfId="0" applyFont="1" applyFill="1" applyBorder="1" applyAlignment="1">
      <alignment horizontal="right" vertical="center" wrapText="1"/>
    </xf>
    <xf numFmtId="165" fontId="44" fillId="0" borderId="14" xfId="0" applyFont="1" applyFill="1" applyBorder="1" applyAlignment="1">
      <alignment vertical="center" wrapText="1"/>
    </xf>
    <xf numFmtId="41" fontId="44" fillId="0" borderId="13" xfId="1015" applyFont="1" applyFill="1" applyBorder="1" applyAlignment="1" applyProtection="1">
      <alignment horizontal="right" vertical="center" wrapText="1"/>
    </xf>
    <xf numFmtId="165" fontId="51" fillId="0" borderId="16" xfId="0" applyFont="1" applyFill="1" applyBorder="1" applyAlignment="1">
      <alignment horizontal="right" vertical="center" wrapText="1"/>
    </xf>
    <xf numFmtId="165" fontId="51" fillId="0" borderId="13" xfId="0" applyFont="1" applyFill="1" applyBorder="1" applyAlignment="1">
      <alignment vertical="center" wrapText="1"/>
    </xf>
    <xf numFmtId="41" fontId="51" fillId="0" borderId="13" xfId="1015" applyFont="1" applyFill="1" applyBorder="1" applyAlignment="1">
      <alignment horizontal="right" vertical="center" wrapText="1"/>
    </xf>
    <xf numFmtId="41" fontId="4" fillId="0" borderId="13" xfId="1015" applyFont="1" applyFill="1" applyBorder="1" applyAlignment="1">
      <alignment vertical="center" wrapText="1"/>
    </xf>
    <xf numFmtId="3" fontId="49" fillId="0" borderId="0" xfId="0" applyNumberFormat="1" applyFont="1" applyFill="1" applyAlignment="1">
      <alignment vertical="center" wrapText="1"/>
    </xf>
    <xf numFmtId="3" fontId="52" fillId="0" borderId="0" xfId="0" applyNumberFormat="1" applyFont="1" applyFill="1" applyAlignment="1">
      <alignment horizontal="center" vertical="center" wrapText="1"/>
    </xf>
    <xf numFmtId="9" fontId="4" fillId="0" borderId="0" xfId="835" applyFont="1" applyFill="1" applyAlignment="1">
      <alignment horizontal="right" vertical="center" wrapText="1"/>
    </xf>
    <xf numFmtId="9" fontId="44" fillId="0" borderId="18" xfId="835" applyFont="1" applyFill="1" applyBorder="1" applyAlignment="1">
      <alignment horizontal="right" vertical="center" wrapText="1"/>
    </xf>
    <xf numFmtId="9" fontId="5" fillId="0" borderId="18" xfId="835" applyFont="1" applyFill="1" applyBorder="1" applyAlignment="1">
      <alignment horizontal="right" vertical="center" wrapText="1"/>
    </xf>
    <xf numFmtId="9" fontId="4" fillId="0" borderId="18" xfId="835" applyFont="1" applyFill="1" applyBorder="1" applyAlignment="1">
      <alignment horizontal="right" vertical="center" wrapText="1"/>
    </xf>
    <xf numFmtId="9" fontId="7" fillId="0" borderId="18" xfId="835" applyFont="1" applyFill="1" applyBorder="1" applyAlignment="1">
      <alignment horizontal="right" vertical="center" wrapText="1"/>
    </xf>
    <xf numFmtId="9" fontId="4" fillId="0" borderId="17" xfId="835" applyFont="1" applyFill="1" applyBorder="1" applyAlignment="1">
      <alignment horizontal="right" vertical="center" wrapText="1"/>
    </xf>
    <xf numFmtId="9" fontId="44" fillId="0" borderId="33" xfId="835" applyFont="1" applyFill="1" applyBorder="1" applyAlignment="1">
      <alignment horizontal="right" vertical="center" wrapText="1"/>
    </xf>
    <xf numFmtId="9" fontId="4" fillId="0" borderId="0" xfId="835" applyFont="1" applyFill="1" applyBorder="1" applyAlignment="1">
      <alignment horizontal="right" vertical="center" wrapText="1"/>
    </xf>
    <xf numFmtId="9" fontId="6" fillId="0" borderId="18" xfId="835" applyFont="1" applyFill="1" applyBorder="1" applyAlignment="1">
      <alignment horizontal="right" vertical="center" wrapText="1"/>
    </xf>
    <xf numFmtId="4" fontId="6" fillId="0" borderId="13" xfId="0" applyNumberFormat="1" applyFont="1" applyFill="1" applyBorder="1" applyAlignment="1">
      <alignment horizontal="right" vertical="center" wrapText="1"/>
    </xf>
    <xf numFmtId="41" fontId="3" fillId="0" borderId="16" xfId="1015" applyFont="1" applyFill="1" applyBorder="1" applyAlignment="1">
      <alignment vertical="center" wrapText="1"/>
    </xf>
    <xf numFmtId="3" fontId="6" fillId="0" borderId="16" xfId="0" applyNumberFormat="1" applyFont="1" applyFill="1" applyBorder="1" applyAlignment="1">
      <alignment vertical="center" wrapText="1"/>
    </xf>
    <xf numFmtId="3" fontId="46" fillId="0" borderId="16" xfId="0" applyNumberFormat="1" applyFont="1" applyFill="1" applyBorder="1" applyAlignment="1">
      <alignment vertical="center" wrapText="1"/>
    </xf>
    <xf numFmtId="164" fontId="4" fillId="0" borderId="14" xfId="685" applyFont="1" applyFill="1" applyBorder="1" applyAlignment="1">
      <alignment horizontal="right" vertical="center" wrapText="1"/>
    </xf>
    <xf numFmtId="168" fontId="4" fillId="0" borderId="0" xfId="685" applyNumberFormat="1" applyFont="1" applyFill="1" applyAlignment="1">
      <alignment horizontal="right" vertical="center" wrapText="1"/>
    </xf>
    <xf numFmtId="168" fontId="5" fillId="0" borderId="13" xfId="685" applyNumberFormat="1" applyFont="1" applyFill="1" applyBorder="1" applyAlignment="1">
      <alignment horizontal="right" vertical="center" wrapText="1"/>
    </xf>
    <xf numFmtId="168" fontId="4" fillId="0" borderId="13" xfId="685" applyNumberFormat="1" applyFont="1" applyFill="1" applyBorder="1" applyAlignment="1">
      <alignment horizontal="right" vertical="center" wrapText="1"/>
    </xf>
    <xf numFmtId="168" fontId="4" fillId="0" borderId="14" xfId="685" applyNumberFormat="1" applyFont="1" applyFill="1" applyBorder="1" applyAlignment="1">
      <alignment horizontal="right" vertical="center" wrapText="1"/>
    </xf>
    <xf numFmtId="168" fontId="4" fillId="0" borderId="24" xfId="685" applyNumberFormat="1" applyFont="1" applyFill="1" applyBorder="1" applyAlignment="1">
      <alignment horizontal="right" vertical="center" wrapText="1"/>
    </xf>
    <xf numFmtId="168" fontId="6" fillId="0" borderId="0" xfId="685" applyNumberFormat="1" applyFont="1" applyFill="1" applyAlignment="1">
      <alignment horizontal="right" vertical="center" wrapText="1"/>
    </xf>
    <xf numFmtId="4" fontId="4" fillId="0" borderId="18" xfId="0" applyNumberFormat="1" applyFont="1" applyFill="1" applyBorder="1" applyAlignment="1">
      <alignment vertical="center" wrapText="1"/>
    </xf>
    <xf numFmtId="165" fontId="7" fillId="0" borderId="16" xfId="0" applyFont="1" applyFill="1" applyBorder="1" applyAlignment="1">
      <alignment horizontal="right" vertical="center" wrapText="1"/>
    </xf>
    <xf numFmtId="165" fontId="7" fillId="0" borderId="13" xfId="0" applyFont="1" applyFill="1" applyBorder="1" applyAlignment="1">
      <alignment vertical="center" wrapText="1"/>
    </xf>
    <xf numFmtId="41" fontId="7" fillId="0" borderId="17" xfId="835" applyNumberFormat="1" applyFont="1" applyFill="1" applyBorder="1" applyAlignment="1">
      <alignment horizontal="right" vertical="center" wrapText="1"/>
    </xf>
    <xf numFmtId="164" fontId="4" fillId="0" borderId="0" xfId="685" applyFont="1" applyFill="1" applyBorder="1" applyAlignment="1">
      <alignment horizontal="right" vertical="center" wrapText="1"/>
    </xf>
    <xf numFmtId="168" fontId="38" fillId="0" borderId="13" xfId="685" applyNumberFormat="1" applyFont="1" applyFill="1" applyBorder="1" applyAlignment="1">
      <alignment horizontal="right" vertical="center" wrapText="1"/>
    </xf>
    <xf numFmtId="4" fontId="10" fillId="0" borderId="18" xfId="0" applyNumberFormat="1" applyFont="1" applyFill="1" applyBorder="1" applyAlignment="1">
      <alignment vertical="center" wrapText="1"/>
    </xf>
    <xf numFmtId="3" fontId="11" fillId="0" borderId="24" xfId="0" applyNumberFormat="1" applyFont="1" applyFill="1" applyBorder="1" applyAlignment="1">
      <alignment vertical="center" wrapText="1"/>
    </xf>
    <xf numFmtId="4" fontId="53" fillId="0" borderId="18" xfId="0" applyNumberFormat="1" applyFont="1" applyFill="1" applyBorder="1" applyAlignment="1">
      <alignment vertical="center" wrapText="1"/>
    </xf>
    <xf numFmtId="3" fontId="46" fillId="0" borderId="0" xfId="0" applyNumberFormat="1" applyFont="1" applyFill="1" applyBorder="1" applyAlignment="1">
      <alignment vertical="center" wrapText="1"/>
    </xf>
    <xf numFmtId="0" fontId="46" fillId="0" borderId="0" xfId="0" applyNumberFormat="1" applyFont="1" applyFill="1" applyBorder="1" applyAlignment="1">
      <alignment vertical="center" wrapText="1"/>
    </xf>
    <xf numFmtId="41" fontId="5" fillId="0" borderId="12" xfId="1015" applyFont="1" applyFill="1" applyBorder="1" applyAlignment="1">
      <alignment horizontal="right" vertical="center" wrapText="1"/>
    </xf>
    <xf numFmtId="168" fontId="5" fillId="0" borderId="12" xfId="685" applyNumberFormat="1" applyFont="1" applyFill="1" applyBorder="1" applyAlignment="1">
      <alignment horizontal="right" vertical="center" wrapText="1"/>
    </xf>
    <xf numFmtId="9" fontId="5" fillId="0" borderId="33" xfId="835" applyFont="1" applyFill="1" applyBorder="1" applyAlignment="1">
      <alignment horizontal="right" vertical="center" wrapText="1"/>
    </xf>
    <xf numFmtId="41" fontId="38" fillId="0" borderId="13" xfId="1015" applyFont="1" applyFill="1" applyBorder="1" applyAlignment="1">
      <alignment horizontal="right" vertical="center" wrapText="1"/>
    </xf>
    <xf numFmtId="9" fontId="38" fillId="0" borderId="18" xfId="835" applyFont="1" applyFill="1" applyBorder="1" applyAlignment="1">
      <alignment horizontal="right" vertical="center" wrapText="1"/>
    </xf>
    <xf numFmtId="165" fontId="52" fillId="0" borderId="16" xfId="0" applyFont="1" applyFill="1" applyBorder="1" applyAlignment="1">
      <alignment horizontal="right" vertical="center" wrapText="1"/>
    </xf>
    <xf numFmtId="165" fontId="52" fillId="0" borderId="13" xfId="0" applyFont="1" applyFill="1" applyBorder="1" applyAlignment="1">
      <alignment vertical="center" wrapText="1"/>
    </xf>
    <xf numFmtId="4" fontId="7" fillId="0" borderId="13" xfId="0" applyNumberFormat="1" applyFont="1" applyFill="1" applyBorder="1" applyAlignment="1">
      <alignment horizontal="right" vertical="center" wrapText="1"/>
    </xf>
    <xf numFmtId="3" fontId="38" fillId="0" borderId="0" xfId="0" applyNumberFormat="1" applyFont="1" applyFill="1" applyAlignment="1">
      <alignment horizontal="center" vertical="center" wrapText="1"/>
    </xf>
    <xf numFmtId="165" fontId="38" fillId="0" borderId="16" xfId="0" applyFont="1" applyFill="1" applyBorder="1" applyAlignment="1">
      <alignment horizontal="right" vertical="center" wrapText="1"/>
    </xf>
    <xf numFmtId="165" fontId="38" fillId="0" borderId="13" xfId="0" applyFont="1" applyFill="1" applyBorder="1" applyAlignment="1">
      <alignment vertical="center" wrapText="1"/>
    </xf>
    <xf numFmtId="3" fontId="38" fillId="0" borderId="0" xfId="0" applyNumberFormat="1" applyFont="1" applyFill="1" applyAlignment="1">
      <alignment vertical="center" wrapText="1"/>
    </xf>
    <xf numFmtId="4" fontId="5" fillId="0" borderId="13" xfId="734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 applyAlignment="1">
      <alignment horizontal="center" vertical="center" wrapText="1"/>
    </xf>
    <xf numFmtId="4" fontId="44" fillId="0" borderId="13" xfId="0" applyNumberFormat="1" applyFont="1" applyFill="1" applyBorder="1" applyAlignment="1" applyProtection="1">
      <alignment vertical="center" wrapText="1"/>
    </xf>
    <xf numFmtId="4" fontId="4" fillId="0" borderId="13" xfId="0" applyNumberFormat="1" applyFont="1" applyFill="1" applyBorder="1" applyAlignment="1" applyProtection="1">
      <alignment vertical="center" wrapText="1"/>
    </xf>
    <xf numFmtId="4" fontId="49" fillId="0" borderId="13" xfId="0" applyNumberFormat="1" applyFont="1" applyFill="1" applyBorder="1" applyAlignment="1" applyProtection="1">
      <alignment vertical="center" wrapText="1"/>
    </xf>
    <xf numFmtId="4" fontId="38" fillId="0" borderId="13" xfId="0" applyNumberFormat="1" applyFont="1" applyFill="1" applyBorder="1" applyAlignment="1" applyProtection="1">
      <alignment vertical="center" wrapText="1"/>
    </xf>
    <xf numFmtId="165" fontId="4" fillId="0" borderId="15" xfId="0" applyFont="1" applyFill="1" applyBorder="1" applyAlignment="1">
      <alignment vertical="center" wrapText="1"/>
    </xf>
    <xf numFmtId="168" fontId="4" fillId="0" borderId="15" xfId="685" applyNumberFormat="1" applyFont="1" applyFill="1" applyBorder="1" applyAlignment="1">
      <alignment horizontal="right" vertical="center" wrapText="1"/>
    </xf>
    <xf numFmtId="4" fontId="5" fillId="0" borderId="13" xfId="0" applyNumberFormat="1" applyFont="1" applyFill="1" applyBorder="1" applyAlignment="1" applyProtection="1">
      <alignment vertical="center" wrapText="1"/>
    </xf>
    <xf numFmtId="3" fontId="49" fillId="0" borderId="0" xfId="0" applyNumberFormat="1" applyFont="1" applyFill="1" applyAlignment="1">
      <alignment horizontal="center" vertical="center" wrapText="1"/>
    </xf>
    <xf numFmtId="165" fontId="49" fillId="0" borderId="20" xfId="0" applyFont="1" applyFill="1" applyBorder="1" applyAlignment="1">
      <alignment horizontal="right" vertical="center" wrapText="1"/>
    </xf>
    <xf numFmtId="165" fontId="49" fillId="0" borderId="14" xfId="0" applyFont="1" applyFill="1" applyBorder="1" applyAlignment="1">
      <alignment vertical="center" wrapText="1"/>
    </xf>
    <xf numFmtId="41" fontId="49" fillId="0" borderId="14" xfId="1015" applyFont="1" applyFill="1" applyBorder="1" applyAlignment="1">
      <alignment horizontal="right" vertical="center" wrapText="1"/>
    </xf>
    <xf numFmtId="9" fontId="49" fillId="0" borderId="17" xfId="835" applyFont="1" applyFill="1" applyBorder="1" applyAlignment="1">
      <alignment horizontal="right" vertical="center" wrapText="1"/>
    </xf>
    <xf numFmtId="165" fontId="49" fillId="0" borderId="16" xfId="0" applyFont="1" applyFill="1" applyBorder="1" applyAlignment="1">
      <alignment horizontal="right" vertical="center" wrapText="1"/>
    </xf>
    <xf numFmtId="165" fontId="49" fillId="0" borderId="13" xfId="0" applyFont="1" applyFill="1" applyBorder="1" applyAlignment="1">
      <alignment vertical="center" wrapText="1"/>
    </xf>
    <xf numFmtId="41" fontId="49" fillId="0" borderId="13" xfId="1015" applyFont="1" applyFill="1" applyBorder="1" applyAlignment="1">
      <alignment horizontal="right" vertical="center" wrapText="1"/>
    </xf>
    <xf numFmtId="9" fontId="49" fillId="0" borderId="18" xfId="835" applyFont="1" applyFill="1" applyBorder="1" applyAlignment="1">
      <alignment horizontal="right" vertical="center" wrapText="1"/>
    </xf>
    <xf numFmtId="3" fontId="9" fillId="0" borderId="0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left" vertical="center" wrapText="1"/>
    </xf>
    <xf numFmtId="165" fontId="6" fillId="0" borderId="13" xfId="0" applyFont="1" applyFill="1" applyBorder="1" applyAlignment="1" applyProtection="1">
      <alignment horizontal="left" vertical="center" wrapText="1"/>
    </xf>
    <xf numFmtId="41" fontId="38" fillId="0" borderId="13" xfId="1015" applyFont="1" applyFill="1" applyBorder="1" applyAlignment="1" applyProtection="1">
      <alignment horizontal="right" vertical="center" wrapText="1"/>
    </xf>
    <xf numFmtId="165" fontId="42" fillId="0" borderId="16" xfId="0" applyFont="1" applyFill="1" applyBorder="1" applyAlignment="1">
      <alignment horizontal="right" vertical="center" wrapText="1"/>
    </xf>
    <xf numFmtId="165" fontId="42" fillId="0" borderId="13" xfId="0" applyFont="1" applyFill="1" applyBorder="1" applyAlignment="1">
      <alignment vertical="center" wrapText="1"/>
    </xf>
    <xf numFmtId="3" fontId="12" fillId="0" borderId="24" xfId="0" applyNumberFormat="1" applyFont="1" applyFill="1" applyBorder="1" applyAlignment="1">
      <alignment vertical="center" wrapText="1"/>
    </xf>
    <xf numFmtId="3" fontId="9" fillId="0" borderId="0" xfId="0" applyNumberFormat="1" applyFont="1" applyFill="1" applyBorder="1" applyAlignment="1">
      <alignment vertical="center" wrapText="1"/>
    </xf>
    <xf numFmtId="3" fontId="9" fillId="0" borderId="25" xfId="0" applyNumberFormat="1" applyFont="1" applyFill="1" applyBorder="1" applyAlignment="1">
      <alignment vertical="center" wrapText="1"/>
    </xf>
    <xf numFmtId="3" fontId="4" fillId="0" borderId="25" xfId="0" applyNumberFormat="1" applyFont="1" applyFill="1" applyBorder="1" applyAlignment="1">
      <alignment vertical="center" wrapText="1"/>
    </xf>
    <xf numFmtId="165" fontId="4" fillId="0" borderId="13" xfId="0" applyFont="1" applyFill="1" applyBorder="1" applyAlignment="1" applyProtection="1">
      <alignment horizontal="left" vertical="center" wrapText="1"/>
    </xf>
    <xf numFmtId="165" fontId="38" fillId="0" borderId="14" xfId="0" applyFont="1" applyFill="1" applyBorder="1" applyAlignment="1">
      <alignment vertical="center" wrapText="1"/>
    </xf>
    <xf numFmtId="4" fontId="38" fillId="0" borderId="14" xfId="0" applyNumberFormat="1" applyFont="1" applyFill="1" applyBorder="1" applyAlignment="1" applyProtection="1">
      <alignment vertical="center" wrapText="1"/>
    </xf>
    <xf numFmtId="41" fontId="38" fillId="0" borderId="14" xfId="1015" applyFont="1" applyFill="1" applyBorder="1" applyAlignment="1">
      <alignment horizontal="right" vertical="center" wrapText="1"/>
    </xf>
    <xf numFmtId="9" fontId="38" fillId="0" borderId="17" xfId="835" applyFont="1" applyFill="1" applyBorder="1" applyAlignment="1">
      <alignment horizontal="right" vertical="center" wrapText="1"/>
    </xf>
    <xf numFmtId="4" fontId="38" fillId="0" borderId="13" xfId="0" applyNumberFormat="1" applyFont="1" applyFill="1" applyBorder="1" applyAlignment="1">
      <alignment horizontal="right" vertical="center" wrapText="1"/>
    </xf>
    <xf numFmtId="3" fontId="38" fillId="0" borderId="0" xfId="0" applyNumberFormat="1" applyFont="1" applyFill="1" applyBorder="1" applyAlignment="1">
      <alignment horizontal="left" vertical="center" wrapText="1"/>
    </xf>
    <xf numFmtId="3" fontId="38" fillId="0" borderId="20" xfId="0" applyNumberFormat="1" applyFont="1" applyFill="1" applyBorder="1" applyAlignment="1">
      <alignment horizontal="center" vertical="center" wrapText="1"/>
    </xf>
    <xf numFmtId="4" fontId="4" fillId="0" borderId="15" xfId="0" applyNumberFormat="1" applyFont="1" applyFill="1" applyBorder="1" applyAlignment="1" applyProtection="1">
      <alignment vertical="center" wrapText="1"/>
    </xf>
    <xf numFmtId="41" fontId="38" fillId="0" borderId="15" xfId="1015" applyFont="1" applyFill="1" applyBorder="1" applyAlignment="1">
      <alignment horizontal="right" vertical="center" wrapText="1"/>
    </xf>
    <xf numFmtId="9" fontId="38" fillId="0" borderId="23" xfId="835" applyFont="1" applyFill="1" applyBorder="1" applyAlignment="1">
      <alignment horizontal="right" vertical="center" wrapText="1"/>
    </xf>
    <xf numFmtId="9" fontId="5" fillId="0" borderId="12" xfId="835" applyFont="1" applyFill="1" applyBorder="1" applyAlignment="1">
      <alignment horizontal="right" vertical="center" wrapText="1"/>
    </xf>
    <xf numFmtId="9" fontId="5" fillId="0" borderId="36" xfId="835" applyFont="1" applyFill="1" applyBorder="1" applyAlignment="1">
      <alignment horizontal="right" vertical="center" wrapText="1"/>
    </xf>
    <xf numFmtId="165" fontId="34" fillId="0" borderId="21" xfId="0" applyFont="1" applyFill="1" applyBorder="1" applyAlignment="1">
      <alignment horizontal="right" vertical="center" wrapText="1"/>
    </xf>
    <xf numFmtId="165" fontId="34" fillId="0" borderId="15" xfId="0" applyFont="1" applyFill="1" applyBorder="1" applyAlignment="1">
      <alignment vertical="center" wrapText="1"/>
    </xf>
    <xf numFmtId="41" fontId="34" fillId="0" borderId="15" xfId="1015" applyFont="1" applyFill="1" applyBorder="1" applyAlignment="1">
      <alignment horizontal="right" vertical="center" wrapText="1"/>
    </xf>
    <xf numFmtId="9" fontId="4" fillId="0" borderId="23" xfId="835" applyFont="1" applyFill="1" applyBorder="1" applyAlignment="1">
      <alignment horizontal="right" vertical="center" wrapText="1"/>
    </xf>
    <xf numFmtId="4" fontId="6" fillId="0" borderId="13" xfId="0" applyNumberFormat="1" applyFont="1" applyFill="1" applyBorder="1" applyAlignment="1" applyProtection="1">
      <alignment vertical="center" wrapText="1"/>
    </xf>
    <xf numFmtId="4" fontId="6" fillId="0" borderId="13" xfId="0" applyNumberFormat="1" applyFont="1" applyFill="1" applyBorder="1" applyAlignment="1">
      <alignment horizontal="left" vertical="center" wrapText="1"/>
    </xf>
    <xf numFmtId="3" fontId="35" fillId="0" borderId="0" xfId="0" applyNumberFormat="1" applyFont="1" applyFill="1" applyAlignment="1">
      <alignment vertical="center" wrapText="1"/>
    </xf>
    <xf numFmtId="0" fontId="6" fillId="0" borderId="16" xfId="805" applyFont="1" applyFill="1" applyBorder="1" applyAlignment="1" applyProtection="1">
      <alignment horizontal="right" vertical="center" wrapText="1"/>
    </xf>
    <xf numFmtId="4" fontId="6" fillId="0" borderId="13" xfId="812" applyNumberFormat="1" applyFont="1" applyFill="1" applyBorder="1" applyAlignment="1">
      <alignment horizontal="left" vertical="center" wrapText="1"/>
    </xf>
    <xf numFmtId="4" fontId="6" fillId="0" borderId="13" xfId="0" applyNumberFormat="1" applyFont="1" applyFill="1" applyBorder="1" applyAlignment="1">
      <alignment vertical="center" wrapText="1"/>
    </xf>
    <xf numFmtId="4" fontId="6" fillId="0" borderId="13" xfId="734" applyNumberFormat="1" applyFont="1" applyFill="1" applyBorder="1" applyAlignment="1">
      <alignment horizontal="left" vertical="center" wrapText="1"/>
    </xf>
    <xf numFmtId="3" fontId="4" fillId="0" borderId="32" xfId="0" applyNumberFormat="1" applyFont="1" applyFill="1" applyBorder="1" applyAlignment="1">
      <alignment horizontal="right" vertical="center" wrapText="1"/>
    </xf>
    <xf numFmtId="3" fontId="3" fillId="0" borderId="27" xfId="0" applyNumberFormat="1" applyFont="1" applyFill="1" applyBorder="1" applyAlignment="1">
      <alignment vertical="center" wrapText="1"/>
    </xf>
    <xf numFmtId="41" fontId="4" fillId="0" borderId="27" xfId="1015" applyFont="1" applyFill="1" applyBorder="1" applyAlignment="1">
      <alignment horizontal="right" vertical="center" wrapText="1"/>
    </xf>
    <xf numFmtId="9" fontId="4" fillId="0" borderId="26" xfId="835" applyFont="1" applyFill="1" applyBorder="1" applyAlignment="1">
      <alignment horizontal="right" vertical="center" wrapText="1"/>
    </xf>
    <xf numFmtId="41" fontId="57" fillId="0" borderId="22" xfId="1015" applyFont="1" applyFill="1" applyBorder="1" applyAlignment="1">
      <alignment horizontal="right" vertical="center" wrapText="1"/>
    </xf>
    <xf numFmtId="9" fontId="40" fillId="0" borderId="37" xfId="835" applyFont="1" applyFill="1" applyBorder="1" applyAlignment="1">
      <alignment horizontal="right" vertical="center" wrapText="1"/>
    </xf>
    <xf numFmtId="165" fontId="3" fillId="0" borderId="13" xfId="0" applyFont="1" applyFill="1" applyBorder="1" applyAlignment="1">
      <alignment vertical="center" wrapText="1"/>
    </xf>
    <xf numFmtId="41" fontId="6" fillId="0" borderId="27" xfId="1015" applyFont="1" applyFill="1" applyBorder="1" applyAlignment="1">
      <alignment horizontal="right" vertical="center" wrapText="1"/>
    </xf>
    <xf numFmtId="168" fontId="4" fillId="0" borderId="27" xfId="685" applyNumberFormat="1" applyFont="1" applyFill="1" applyBorder="1" applyAlignment="1">
      <alignment horizontal="right" vertical="center" wrapText="1"/>
    </xf>
    <xf numFmtId="41" fontId="7" fillId="0" borderId="27" xfId="1015" applyFont="1" applyFill="1" applyBorder="1" applyAlignment="1">
      <alignment horizontal="right" vertical="center" wrapText="1"/>
    </xf>
    <xf numFmtId="41" fontId="5" fillId="0" borderId="27" xfId="1015" applyFont="1" applyFill="1" applyBorder="1" applyAlignment="1">
      <alignment horizontal="right" vertical="center" wrapText="1"/>
    </xf>
    <xf numFmtId="168" fontId="5" fillId="0" borderId="35" xfId="685" applyNumberFormat="1" applyFont="1" applyFill="1" applyBorder="1" applyAlignment="1" applyProtection="1">
      <alignment horizontal="right" vertical="center" wrapText="1"/>
    </xf>
    <xf numFmtId="41" fontId="5" fillId="0" borderId="35" xfId="1015" applyFont="1" applyFill="1" applyBorder="1" applyAlignment="1" applyProtection="1">
      <alignment horizontal="right" vertical="center" wrapText="1"/>
    </xf>
    <xf numFmtId="41" fontId="5" fillId="0" borderId="22" xfId="1015" applyFont="1" applyFill="1" applyBorder="1" applyAlignment="1">
      <alignment horizontal="right" vertical="center" wrapText="1"/>
    </xf>
    <xf numFmtId="4" fontId="52" fillId="0" borderId="13" xfId="0" applyNumberFormat="1" applyFont="1" applyFill="1" applyBorder="1" applyAlignment="1" applyProtection="1">
      <alignment vertical="center" wrapText="1"/>
    </xf>
    <xf numFmtId="3" fontId="39" fillId="0" borderId="16" xfId="0" applyNumberFormat="1" applyFont="1" applyFill="1" applyBorder="1" applyAlignment="1">
      <alignment vertical="center" wrapText="1"/>
    </xf>
    <xf numFmtId="3" fontId="48" fillId="0" borderId="16" xfId="0" applyNumberFormat="1" applyFont="1" applyFill="1" applyBorder="1" applyAlignment="1">
      <alignment vertical="center" wrapText="1"/>
    </xf>
    <xf numFmtId="3" fontId="8" fillId="0" borderId="16" xfId="0" applyNumberFormat="1" applyFont="1" applyFill="1" applyBorder="1" applyAlignment="1">
      <alignment vertical="center" wrapText="1"/>
    </xf>
    <xf numFmtId="3" fontId="10" fillId="0" borderId="16" xfId="0" applyNumberFormat="1" applyFont="1" applyFill="1" applyBorder="1" applyAlignment="1">
      <alignment vertical="center" wrapText="1"/>
    </xf>
    <xf numFmtId="3" fontId="10" fillId="0" borderId="16" xfId="0" quotePrefix="1" applyNumberFormat="1" applyFont="1" applyFill="1" applyBorder="1" applyAlignment="1">
      <alignment vertical="center" wrapText="1"/>
    </xf>
    <xf numFmtId="3" fontId="4" fillId="24" borderId="13" xfId="0" applyNumberFormat="1" applyFont="1" applyFill="1" applyBorder="1" applyAlignment="1">
      <alignment horizontal="right" vertical="center" wrapText="1"/>
    </xf>
    <xf numFmtId="3" fontId="4" fillId="24" borderId="13" xfId="685" applyNumberFormat="1" applyFont="1" applyFill="1" applyBorder="1" applyAlignment="1">
      <alignment horizontal="right" vertical="center" wrapText="1"/>
    </xf>
    <xf numFmtId="3" fontId="4" fillId="24" borderId="13" xfId="810" applyNumberFormat="1" applyFont="1" applyFill="1" applyBorder="1" applyAlignment="1">
      <alignment vertical="center" wrapText="1"/>
    </xf>
    <xf numFmtId="41" fontId="4" fillId="24" borderId="13" xfId="1015" applyFont="1" applyFill="1" applyBorder="1" applyAlignment="1">
      <alignment vertical="center" wrapText="1"/>
    </xf>
    <xf numFmtId="3" fontId="4" fillId="24" borderId="13" xfId="0" applyNumberFormat="1" applyFont="1" applyFill="1" applyBorder="1" applyAlignment="1">
      <alignment vertical="center" wrapText="1"/>
    </xf>
    <xf numFmtId="3" fontId="7" fillId="24" borderId="13" xfId="810" applyNumberFormat="1" applyFont="1" applyFill="1" applyBorder="1" applyAlignment="1">
      <alignment vertical="center" wrapText="1"/>
    </xf>
    <xf numFmtId="3" fontId="7" fillId="24" borderId="13" xfId="0" applyNumberFormat="1" applyFont="1" applyFill="1" applyBorder="1" applyAlignment="1">
      <alignment vertical="center" wrapText="1"/>
    </xf>
    <xf numFmtId="4" fontId="47" fillId="0" borderId="38" xfId="0" applyNumberFormat="1" applyFont="1" applyFill="1" applyBorder="1" applyAlignment="1">
      <alignment horizontal="right" vertical="center" wrapText="1"/>
    </xf>
    <xf numFmtId="4" fontId="47" fillId="0" borderId="31" xfId="0" applyNumberFormat="1" applyFont="1" applyFill="1" applyBorder="1" applyAlignment="1">
      <alignment horizontal="right" vertical="center" wrapText="1"/>
    </xf>
    <xf numFmtId="4" fontId="47" fillId="0" borderId="0" xfId="0" applyNumberFormat="1" applyFont="1" applyFill="1" applyBorder="1" applyAlignment="1">
      <alignment horizontal="right" vertical="center" wrapText="1"/>
    </xf>
    <xf numFmtId="41" fontId="3" fillId="24" borderId="16" xfId="1015" applyFont="1" applyFill="1" applyBorder="1" applyAlignment="1">
      <alignment vertical="center" wrapText="1"/>
    </xf>
    <xf numFmtId="41" fontId="4" fillId="24" borderId="13" xfId="1015" applyFont="1" applyFill="1" applyBorder="1" applyAlignment="1">
      <alignment horizontal="right" vertical="center" wrapText="1"/>
    </xf>
    <xf numFmtId="9" fontId="4" fillId="24" borderId="18" xfId="835" applyNumberFormat="1" applyFont="1" applyFill="1" applyBorder="1" applyAlignment="1">
      <alignment horizontal="right" vertical="center" wrapText="1"/>
    </xf>
    <xf numFmtId="3" fontId="36" fillId="24" borderId="16" xfId="0" applyNumberFormat="1" applyFont="1" applyFill="1" applyBorder="1" applyAlignment="1">
      <alignment vertical="center" wrapText="1"/>
    </xf>
    <xf numFmtId="3" fontId="3" fillId="24" borderId="16" xfId="0" applyNumberFormat="1" applyFont="1" applyFill="1" applyBorder="1" applyAlignment="1">
      <alignment vertical="center" wrapText="1"/>
    </xf>
    <xf numFmtId="3" fontId="39" fillId="24" borderId="16" xfId="0" applyNumberFormat="1" applyFont="1" applyFill="1" applyBorder="1" applyAlignment="1">
      <alignment vertical="center" wrapText="1"/>
    </xf>
    <xf numFmtId="3" fontId="14" fillId="24" borderId="13" xfId="0" applyNumberFormat="1" applyFont="1" applyFill="1" applyBorder="1" applyAlignment="1">
      <alignment vertical="center" wrapText="1"/>
    </xf>
    <xf numFmtId="3" fontId="4" fillId="24" borderId="13" xfId="685" applyNumberFormat="1" applyFont="1" applyFill="1" applyBorder="1" applyAlignment="1">
      <alignment vertical="center" wrapText="1"/>
    </xf>
    <xf numFmtId="3" fontId="6" fillId="24" borderId="16" xfId="0" applyNumberFormat="1" applyFont="1" applyFill="1" applyBorder="1" applyAlignment="1">
      <alignment vertical="center" wrapText="1"/>
    </xf>
    <xf numFmtId="168" fontId="44" fillId="0" borderId="13" xfId="685" applyNumberFormat="1" applyFont="1" applyFill="1" applyBorder="1" applyAlignment="1">
      <alignment horizontal="right" vertical="center" wrapText="1"/>
    </xf>
    <xf numFmtId="168" fontId="38" fillId="0" borderId="14" xfId="685" applyNumberFormat="1" applyFont="1" applyFill="1" applyBorder="1" applyAlignment="1">
      <alignment horizontal="right" vertical="center" wrapText="1"/>
    </xf>
    <xf numFmtId="41" fontId="4" fillId="0" borderId="15" xfId="1015" applyFont="1" applyFill="1" applyBorder="1" applyAlignment="1" applyProtection="1">
      <alignment horizontal="right" vertical="center" wrapText="1"/>
    </xf>
    <xf numFmtId="4" fontId="5" fillId="0" borderId="18" xfId="0" applyNumberFormat="1" applyFont="1" applyFill="1" applyBorder="1" applyAlignment="1">
      <alignment vertical="center" wrapText="1"/>
    </xf>
    <xf numFmtId="41" fontId="38" fillId="0" borderId="14" xfId="1015" applyFont="1" applyFill="1" applyBorder="1" applyAlignment="1" applyProtection="1">
      <alignment vertical="center" wrapText="1"/>
    </xf>
    <xf numFmtId="41" fontId="38" fillId="0" borderId="13" xfId="1015" applyFont="1" applyFill="1" applyBorder="1" applyAlignment="1" applyProtection="1">
      <alignment vertical="center" wrapText="1"/>
    </xf>
    <xf numFmtId="41" fontId="5" fillId="0" borderId="13" xfId="1015" applyFont="1" applyFill="1" applyBorder="1" applyAlignment="1" applyProtection="1">
      <alignment vertical="center" wrapText="1"/>
    </xf>
    <xf numFmtId="41" fontId="4" fillId="0" borderId="13" xfId="1015" applyFont="1" applyFill="1" applyBorder="1" applyAlignment="1" applyProtection="1">
      <alignment vertical="center" wrapText="1"/>
    </xf>
    <xf numFmtId="41" fontId="4" fillId="0" borderId="15" xfId="1015" applyFont="1" applyFill="1" applyBorder="1" applyAlignment="1" applyProtection="1">
      <alignment vertical="center" wrapText="1"/>
    </xf>
    <xf numFmtId="41" fontId="4" fillId="0" borderId="25" xfId="1015" applyFont="1" applyFill="1" applyBorder="1" applyAlignment="1">
      <alignment vertical="center" wrapText="1"/>
    </xf>
    <xf numFmtId="41" fontId="4" fillId="0" borderId="0" xfId="1015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vertical="center" wrapText="1"/>
    </xf>
    <xf numFmtId="165" fontId="5" fillId="24" borderId="16" xfId="0" applyFont="1" applyFill="1" applyBorder="1" applyAlignment="1">
      <alignment horizontal="right" vertical="center" wrapText="1"/>
    </xf>
    <xf numFmtId="165" fontId="4" fillId="24" borderId="16" xfId="0" applyFont="1" applyFill="1" applyBorder="1" applyAlignment="1">
      <alignment horizontal="right" vertical="center" wrapText="1"/>
    </xf>
    <xf numFmtId="165" fontId="4" fillId="24" borderId="13" xfId="0" applyFont="1" applyFill="1" applyBorder="1" applyAlignment="1">
      <alignment vertical="center" wrapText="1"/>
    </xf>
    <xf numFmtId="4" fontId="8" fillId="24" borderId="18" xfId="0" applyNumberFormat="1" applyFont="1" applyFill="1" applyBorder="1" applyAlignment="1">
      <alignment vertical="center" wrapText="1"/>
    </xf>
    <xf numFmtId="3" fontId="36" fillId="24" borderId="0" xfId="0" applyNumberFormat="1" applyFont="1" applyFill="1" applyBorder="1" applyAlignment="1">
      <alignment vertical="center" wrapText="1"/>
    </xf>
    <xf numFmtId="0" fontId="36" fillId="24" borderId="0" xfId="0" applyNumberFormat="1" applyFont="1" applyFill="1" applyBorder="1" applyAlignment="1">
      <alignment vertical="center" wrapText="1"/>
    </xf>
    <xf numFmtId="4" fontId="5" fillId="24" borderId="18" xfId="0" applyNumberFormat="1" applyFont="1" applyFill="1" applyBorder="1" applyAlignment="1">
      <alignment vertical="center" wrapText="1"/>
    </xf>
    <xf numFmtId="3" fontId="36" fillId="24" borderId="0" xfId="0" applyNumberFormat="1" applyFont="1" applyFill="1" applyAlignment="1">
      <alignment vertical="center" wrapText="1"/>
    </xf>
    <xf numFmtId="41" fontId="6" fillId="0" borderId="0" xfId="1015" applyNumberFormat="1" applyFont="1" applyFill="1" applyAlignment="1">
      <alignment horizontal="right" vertical="center" wrapText="1"/>
    </xf>
    <xf numFmtId="41" fontId="49" fillId="0" borderId="14" xfId="0" applyNumberFormat="1" applyFont="1" applyFill="1" applyBorder="1" applyAlignment="1" applyProtection="1">
      <alignment vertical="center" wrapText="1"/>
    </xf>
    <xf numFmtId="41" fontId="49" fillId="0" borderId="13" xfId="0" applyNumberFormat="1" applyFont="1" applyFill="1" applyBorder="1" applyAlignment="1" applyProtection="1">
      <alignment vertical="center" wrapText="1"/>
    </xf>
    <xf numFmtId="41" fontId="5" fillId="0" borderId="13" xfId="0" applyNumberFormat="1" applyFont="1" applyFill="1" applyBorder="1" applyAlignment="1" applyProtection="1">
      <alignment vertical="center" wrapText="1"/>
    </xf>
    <xf numFmtId="41" fontId="4" fillId="0" borderId="13" xfId="0" applyNumberFormat="1" applyFont="1" applyFill="1" applyBorder="1" applyAlignment="1">
      <alignment horizontal="right" vertical="center" wrapText="1"/>
    </xf>
    <xf numFmtId="41" fontId="4" fillId="0" borderId="13" xfId="0" applyNumberFormat="1" applyFont="1" applyFill="1" applyBorder="1" applyAlignment="1" applyProtection="1">
      <alignment vertical="center" wrapText="1"/>
    </xf>
    <xf numFmtId="41" fontId="5" fillId="0" borderId="13" xfId="0" applyNumberFormat="1" applyFont="1" applyFill="1" applyBorder="1" applyAlignment="1">
      <alignment horizontal="right" vertical="center" wrapText="1"/>
    </xf>
    <xf numFmtId="41" fontId="5" fillId="0" borderId="13" xfId="1015" applyNumberFormat="1" applyFont="1" applyFill="1" applyBorder="1" applyAlignment="1">
      <alignment horizontal="right" vertical="center" wrapText="1"/>
    </xf>
    <xf numFmtId="41" fontId="4" fillId="0" borderId="13" xfId="1015" applyNumberFormat="1" applyFont="1" applyFill="1" applyBorder="1" applyAlignment="1">
      <alignment horizontal="right" vertical="center" wrapText="1"/>
    </xf>
    <xf numFmtId="41" fontId="5" fillId="0" borderId="13" xfId="0" applyNumberFormat="1" applyFont="1" applyFill="1" applyBorder="1" applyAlignment="1">
      <alignment vertical="center" wrapText="1"/>
    </xf>
    <xf numFmtId="41" fontId="5" fillId="0" borderId="12" xfId="1015" applyNumberFormat="1" applyFont="1" applyFill="1" applyBorder="1" applyAlignment="1">
      <alignment horizontal="right" vertical="center" wrapText="1"/>
    </xf>
    <xf numFmtId="41" fontId="5" fillId="0" borderId="14" xfId="1015" applyNumberFormat="1" applyFont="1" applyFill="1" applyBorder="1" applyAlignment="1">
      <alignment horizontal="right" vertical="center" wrapText="1"/>
    </xf>
    <xf numFmtId="41" fontId="44" fillId="0" borderId="13" xfId="1015" applyNumberFormat="1" applyFont="1" applyFill="1" applyBorder="1" applyAlignment="1" applyProtection="1">
      <alignment horizontal="right" vertical="center" wrapText="1"/>
    </xf>
    <xf numFmtId="41" fontId="5" fillId="0" borderId="13" xfId="1015" applyNumberFormat="1" applyFont="1" applyFill="1" applyBorder="1" applyAlignment="1" applyProtection="1">
      <alignment horizontal="right" vertical="center" wrapText="1"/>
    </xf>
    <xf numFmtId="41" fontId="4" fillId="0" borderId="13" xfId="1015" applyNumberFormat="1" applyFont="1" applyFill="1" applyBorder="1" applyAlignment="1" applyProtection="1">
      <alignment horizontal="right" vertical="center" wrapText="1"/>
    </xf>
    <xf numFmtId="41" fontId="38" fillId="0" borderId="13" xfId="1015" applyNumberFormat="1" applyFont="1" applyFill="1" applyBorder="1" applyAlignment="1" applyProtection="1">
      <alignment horizontal="right" vertical="center" wrapText="1"/>
    </xf>
    <xf numFmtId="41" fontId="6" fillId="0" borderId="14" xfId="1015" applyNumberFormat="1" applyFont="1" applyFill="1" applyBorder="1" applyAlignment="1">
      <alignment horizontal="right" vertical="center" wrapText="1"/>
    </xf>
    <xf numFmtId="41" fontId="6" fillId="0" borderId="13" xfId="1015" applyNumberFormat="1" applyFont="1" applyFill="1" applyBorder="1" applyAlignment="1">
      <alignment horizontal="right" vertical="center" wrapText="1"/>
    </xf>
    <xf numFmtId="41" fontId="6" fillId="0" borderId="27" xfId="1015" applyNumberFormat="1" applyFont="1" applyFill="1" applyBorder="1" applyAlignment="1">
      <alignment horizontal="right" vertical="center" wrapText="1"/>
    </xf>
    <xf numFmtId="41" fontId="44" fillId="0" borderId="35" xfId="1015" applyNumberFormat="1" applyFont="1" applyFill="1" applyBorder="1" applyAlignment="1" applyProtection="1">
      <alignment horizontal="right" vertical="center" wrapText="1"/>
    </xf>
    <xf numFmtId="41" fontId="51" fillId="0" borderId="13" xfId="1015" applyNumberFormat="1" applyFont="1" applyFill="1" applyBorder="1" applyAlignment="1">
      <alignment horizontal="right" vertical="center" wrapText="1"/>
    </xf>
    <xf numFmtId="41" fontId="41" fillId="0" borderId="13" xfId="1015" applyNumberFormat="1" applyFont="1" applyFill="1" applyBorder="1" applyAlignment="1">
      <alignment horizontal="right" vertical="center" wrapText="1"/>
    </xf>
    <xf numFmtId="41" fontId="42" fillId="0" borderId="13" xfId="1015" applyNumberFormat="1" applyFont="1" applyFill="1" applyBorder="1" applyAlignment="1">
      <alignment horizontal="right" vertical="center" wrapText="1"/>
    </xf>
    <xf numFmtId="41" fontId="34" fillId="0" borderId="13" xfId="1015" applyNumberFormat="1" applyFont="1" applyFill="1" applyBorder="1" applyAlignment="1">
      <alignment horizontal="right" vertical="center" wrapText="1"/>
    </xf>
    <xf numFmtId="41" fontId="34" fillId="0" borderId="15" xfId="1015" applyNumberFormat="1" applyFont="1" applyFill="1" applyBorder="1" applyAlignment="1">
      <alignment horizontal="right" vertical="center" wrapText="1"/>
    </xf>
    <xf numFmtId="41" fontId="5" fillId="0" borderId="22" xfId="1015" applyNumberFormat="1" applyFont="1" applyFill="1" applyBorder="1" applyAlignment="1">
      <alignment horizontal="right" vertical="center" wrapText="1"/>
    </xf>
    <xf numFmtId="41" fontId="4" fillId="0" borderId="0" xfId="0" applyNumberFormat="1" applyFont="1" applyFill="1" applyBorder="1" applyAlignment="1">
      <alignment vertical="center" wrapText="1"/>
    </xf>
    <xf numFmtId="41" fontId="4" fillId="0" borderId="0" xfId="685" applyNumberFormat="1" applyFont="1" applyFill="1" applyBorder="1" applyAlignment="1">
      <alignment horizontal="right" vertical="center" wrapText="1"/>
    </xf>
    <xf numFmtId="41" fontId="4" fillId="0" borderId="0" xfId="1015" applyNumberFormat="1" applyFont="1" applyFill="1" applyBorder="1" applyAlignment="1">
      <alignment horizontal="right" vertical="center" wrapText="1"/>
    </xf>
    <xf numFmtId="41" fontId="5" fillId="0" borderId="22" xfId="1015" applyNumberFormat="1" applyFont="1" applyFill="1" applyBorder="1" applyAlignment="1" applyProtection="1">
      <alignment horizontal="right" vertical="center" wrapText="1"/>
    </xf>
    <xf numFmtId="9" fontId="5" fillId="0" borderId="22" xfId="835" applyFont="1" applyFill="1" applyBorder="1" applyAlignment="1">
      <alignment horizontal="right" vertical="center" wrapText="1"/>
    </xf>
    <xf numFmtId="164" fontId="4" fillId="0" borderId="13" xfId="685" applyFont="1" applyFill="1" applyBorder="1" applyAlignment="1">
      <alignment horizontal="right" vertical="center" wrapText="1"/>
    </xf>
    <xf numFmtId="41" fontId="5" fillId="0" borderId="10" xfId="1015" applyNumberFormat="1" applyFont="1" applyFill="1" applyBorder="1" applyAlignment="1">
      <alignment horizontal="right" vertical="center" wrapText="1"/>
    </xf>
    <xf numFmtId="9" fontId="5" fillId="0" borderId="10" xfId="835" applyFont="1" applyFill="1" applyBorder="1" applyAlignment="1">
      <alignment horizontal="right" vertical="center" wrapText="1"/>
    </xf>
    <xf numFmtId="41" fontId="44" fillId="0" borderId="13" xfId="685" applyNumberFormat="1" applyFont="1" applyFill="1" applyBorder="1" applyAlignment="1" applyProtection="1">
      <alignment vertical="center" wrapText="1"/>
    </xf>
    <xf numFmtId="168" fontId="44" fillId="0" borderId="13" xfId="685" applyNumberFormat="1" applyFont="1" applyFill="1" applyBorder="1" applyAlignment="1" applyProtection="1">
      <alignment vertical="center" wrapText="1"/>
    </xf>
    <xf numFmtId="41" fontId="44" fillId="0" borderId="13" xfId="0" applyNumberFormat="1" applyFont="1" applyFill="1" applyBorder="1" applyAlignment="1" applyProtection="1">
      <alignment vertical="center" wrapText="1"/>
    </xf>
    <xf numFmtId="168" fontId="44" fillId="0" borderId="13" xfId="0" applyNumberFormat="1" applyFont="1" applyFill="1" applyBorder="1" applyAlignment="1" applyProtection="1">
      <alignment vertical="center" wrapText="1"/>
    </xf>
    <xf numFmtId="4" fontId="4" fillId="24" borderId="13" xfId="0" applyNumberFormat="1" applyFont="1" applyFill="1" applyBorder="1" applyAlignment="1">
      <alignment horizontal="right" vertical="center" wrapText="1"/>
    </xf>
    <xf numFmtId="165" fontId="5" fillId="24" borderId="13" xfId="0" applyFont="1" applyFill="1" applyBorder="1" applyAlignment="1">
      <alignment vertical="center" wrapText="1"/>
    </xf>
    <xf numFmtId="41" fontId="5" fillId="24" borderId="13" xfId="1015" applyFont="1" applyFill="1" applyBorder="1" applyAlignment="1">
      <alignment horizontal="right" vertical="center" wrapText="1"/>
    </xf>
    <xf numFmtId="0" fontId="7" fillId="0" borderId="41" xfId="0" applyNumberFormat="1" applyFont="1" applyFill="1" applyBorder="1" applyAlignment="1">
      <alignment horizontal="center" vertical="center" wrapText="1"/>
    </xf>
    <xf numFmtId="4" fontId="7" fillId="0" borderId="35" xfId="0" applyNumberFormat="1" applyFont="1" applyFill="1" applyBorder="1" applyAlignment="1">
      <alignment horizontal="center" vertical="center" wrapText="1"/>
    </xf>
    <xf numFmtId="4" fontId="7" fillId="0" borderId="36" xfId="0" applyNumberFormat="1" applyFont="1" applyFill="1" applyBorder="1" applyAlignment="1">
      <alignment horizontal="center" vertical="center" wrapText="1"/>
    </xf>
    <xf numFmtId="4" fontId="44" fillId="0" borderId="14" xfId="0" applyNumberFormat="1" applyFont="1" applyFill="1" applyBorder="1" applyAlignment="1" applyProtection="1">
      <alignment vertical="center" wrapText="1"/>
    </xf>
    <xf numFmtId="41" fontId="44" fillId="0" borderId="18" xfId="1015" applyFont="1" applyFill="1" applyBorder="1" applyAlignment="1">
      <alignment horizontal="right" vertical="center" wrapText="1"/>
    </xf>
    <xf numFmtId="4" fontId="8" fillId="0" borderId="23" xfId="0" applyNumberFormat="1" applyFont="1" applyFill="1" applyBorder="1" applyAlignment="1">
      <alignment vertical="center" wrapText="1"/>
    </xf>
    <xf numFmtId="4" fontId="5" fillId="0" borderId="44" xfId="0" applyNumberFormat="1" applyFont="1" applyFill="1" applyBorder="1" applyAlignment="1">
      <alignment vertical="center" wrapText="1"/>
    </xf>
    <xf numFmtId="4" fontId="5" fillId="0" borderId="45" xfId="0" applyNumberFormat="1" applyFont="1" applyFill="1" applyBorder="1" applyAlignment="1">
      <alignment vertical="center" wrapText="1"/>
    </xf>
    <xf numFmtId="164" fontId="43" fillId="0" borderId="13" xfId="685" applyFont="1" applyFill="1" applyBorder="1" applyAlignment="1">
      <alignment vertical="center" wrapText="1"/>
    </xf>
    <xf numFmtId="164" fontId="43" fillId="0" borderId="14" xfId="685" applyNumberFormat="1" applyFont="1" applyFill="1" applyBorder="1" applyAlignment="1">
      <alignment vertical="center" wrapText="1"/>
    </xf>
    <xf numFmtId="166" fontId="43" fillId="0" borderId="14" xfId="1015" applyNumberFormat="1" applyFont="1" applyFill="1" applyBorder="1" applyAlignment="1">
      <alignment vertical="center" wrapText="1"/>
    </xf>
    <xf numFmtId="3" fontId="3" fillId="0" borderId="16" xfId="0" applyNumberFormat="1" applyFont="1" applyFill="1" applyBorder="1" applyAlignment="1">
      <alignment horizontal="left" vertical="center" wrapText="1"/>
    </xf>
    <xf numFmtId="4" fontId="4" fillId="0" borderId="23" xfId="0" applyNumberFormat="1" applyFont="1" applyFill="1" applyBorder="1" applyAlignment="1">
      <alignment vertical="center" wrapText="1"/>
    </xf>
    <xf numFmtId="4" fontId="5" fillId="24" borderId="44" xfId="0" applyNumberFormat="1" applyFont="1" applyFill="1" applyBorder="1" applyAlignment="1" applyProtection="1">
      <alignment horizontal="right" vertical="center" wrapText="1"/>
    </xf>
    <xf numFmtId="4" fontId="5" fillId="0" borderId="22" xfId="0" applyNumberFormat="1" applyFont="1" applyFill="1" applyBorder="1" applyAlignment="1">
      <alignment vertical="center" wrapText="1"/>
    </xf>
    <xf numFmtId="165" fontId="42" fillId="0" borderId="21" xfId="0" applyFont="1" applyFill="1" applyBorder="1" applyAlignment="1">
      <alignment horizontal="right" vertical="center" wrapText="1"/>
    </xf>
    <xf numFmtId="165" fontId="42" fillId="0" borderId="15" xfId="0" applyFont="1" applyFill="1" applyBorder="1" applyAlignment="1">
      <alignment vertical="center" wrapText="1"/>
    </xf>
    <xf numFmtId="41" fontId="41" fillId="0" borderId="15" xfId="1015" applyFont="1" applyFill="1" applyBorder="1" applyAlignment="1">
      <alignment horizontal="right" vertical="center" wrapText="1"/>
    </xf>
    <xf numFmtId="4" fontId="58" fillId="0" borderId="13" xfId="0" applyNumberFormat="1" applyFont="1" applyFill="1" applyBorder="1" applyAlignment="1">
      <alignment horizontal="right" vertical="center" wrapText="1"/>
    </xf>
    <xf numFmtId="41" fontId="52" fillId="0" borderId="13" xfId="1015" applyFont="1" applyFill="1" applyBorder="1" applyAlignment="1">
      <alignment horizontal="right" vertical="center" wrapText="1"/>
    </xf>
    <xf numFmtId="41" fontId="5" fillId="0" borderId="12" xfId="1015" applyNumberFormat="1" applyFont="1" applyFill="1" applyBorder="1" applyAlignment="1" applyProtection="1">
      <alignment horizontal="right" vertical="center" wrapText="1"/>
    </xf>
    <xf numFmtId="41" fontId="6" fillId="0" borderId="13" xfId="1015" applyNumberFormat="1" applyFont="1" applyFill="1" applyBorder="1" applyAlignment="1" applyProtection="1">
      <alignment horizontal="right" vertical="center" wrapText="1"/>
    </xf>
    <xf numFmtId="41" fontId="49" fillId="0" borderId="13" xfId="1015" applyFont="1" applyFill="1" applyBorder="1" applyAlignment="1" applyProtection="1">
      <alignment horizontal="right" vertical="center" wrapText="1"/>
    </xf>
    <xf numFmtId="4" fontId="6" fillId="0" borderId="18" xfId="0" applyNumberFormat="1" applyFont="1" applyFill="1" applyBorder="1" applyAlignment="1">
      <alignment vertical="center" wrapText="1"/>
    </xf>
    <xf numFmtId="49" fontId="5" fillId="0" borderId="13" xfId="0" applyNumberFormat="1" applyFont="1" applyFill="1" applyBorder="1" applyAlignment="1">
      <alignment vertical="center" wrapText="1"/>
    </xf>
    <xf numFmtId="49" fontId="3" fillId="0" borderId="13" xfId="0" applyNumberFormat="1" applyFont="1" applyFill="1" applyBorder="1" applyAlignment="1">
      <alignment vertical="center" wrapText="1"/>
    </xf>
    <xf numFmtId="3" fontId="6" fillId="0" borderId="0" xfId="0" applyNumberFormat="1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vertical="center" wrapText="1"/>
    </xf>
    <xf numFmtId="49" fontId="6" fillId="0" borderId="13" xfId="0" applyNumberFormat="1" applyFont="1" applyFill="1" applyBorder="1" applyAlignment="1">
      <alignment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 applyProtection="1">
      <alignment vertical="center" wrapText="1"/>
    </xf>
    <xf numFmtId="41" fontId="4" fillId="25" borderId="13" xfId="1015" applyFont="1" applyFill="1" applyBorder="1" applyAlignment="1">
      <alignment horizontal="right" vertical="center" wrapText="1"/>
    </xf>
    <xf numFmtId="41" fontId="3" fillId="0" borderId="0" xfId="1015" applyFont="1" applyFill="1" applyAlignment="1">
      <alignment horizontal="right" vertical="center" wrapText="1"/>
    </xf>
    <xf numFmtId="41" fontId="61" fillId="0" borderId="14" xfId="0" applyNumberFormat="1" applyFont="1" applyFill="1" applyBorder="1" applyAlignment="1" applyProtection="1">
      <alignment vertical="center" wrapText="1"/>
    </xf>
    <xf numFmtId="4" fontId="61" fillId="0" borderId="13" xfId="0" applyNumberFormat="1" applyFont="1" applyFill="1" applyBorder="1" applyAlignment="1" applyProtection="1">
      <alignment vertical="center" wrapText="1"/>
    </xf>
    <xf numFmtId="4" fontId="36" fillId="0" borderId="13" xfId="0" applyNumberFormat="1" applyFont="1" applyFill="1" applyBorder="1" applyAlignment="1" applyProtection="1">
      <alignment vertical="center" wrapText="1"/>
    </xf>
    <xf numFmtId="41" fontId="36" fillId="0" borderId="13" xfId="1015" applyFont="1" applyFill="1" applyBorder="1" applyAlignment="1">
      <alignment horizontal="right" vertical="center" wrapText="1"/>
    </xf>
    <xf numFmtId="4" fontId="3" fillId="0" borderId="13" xfId="0" applyNumberFormat="1" applyFont="1" applyFill="1" applyBorder="1" applyAlignment="1">
      <alignment horizontal="right" vertical="center" wrapText="1"/>
    </xf>
    <xf numFmtId="4" fontId="3" fillId="0" borderId="13" xfId="0" applyNumberFormat="1" applyFont="1" applyFill="1" applyBorder="1" applyAlignment="1" applyProtection="1">
      <alignment vertical="center" wrapText="1"/>
    </xf>
    <xf numFmtId="4" fontId="36" fillId="0" borderId="13" xfId="0" applyNumberFormat="1" applyFont="1" applyFill="1" applyBorder="1" applyAlignment="1">
      <alignment horizontal="right" vertical="center" wrapText="1"/>
    </xf>
    <xf numFmtId="4" fontId="46" fillId="0" borderId="13" xfId="0" applyNumberFormat="1" applyFont="1" applyFill="1" applyBorder="1" applyAlignment="1" applyProtection="1">
      <alignment vertical="center" wrapText="1"/>
    </xf>
    <xf numFmtId="41" fontId="3" fillId="0" borderId="13" xfId="1015" applyFont="1" applyFill="1" applyBorder="1" applyAlignment="1">
      <alignment horizontal="right" vertical="center" wrapText="1"/>
    </xf>
    <xf numFmtId="168" fontId="46" fillId="0" borderId="13" xfId="685" applyNumberFormat="1" applyFont="1" applyFill="1" applyBorder="1" applyAlignment="1" applyProtection="1">
      <alignment vertical="center" wrapText="1"/>
    </xf>
    <xf numFmtId="168" fontId="46" fillId="0" borderId="13" xfId="0" applyNumberFormat="1" applyFont="1" applyFill="1" applyBorder="1" applyAlignment="1" applyProtection="1">
      <alignment vertical="center" wrapText="1"/>
    </xf>
    <xf numFmtId="41" fontId="36" fillId="0" borderId="13" xfId="0" applyNumberFormat="1" applyFont="1" applyFill="1" applyBorder="1" applyAlignment="1" applyProtection="1">
      <alignment vertical="center" wrapText="1"/>
    </xf>
    <xf numFmtId="4" fontId="36" fillId="0" borderId="13" xfId="0" applyNumberFormat="1" applyFont="1" applyFill="1" applyBorder="1" applyAlignment="1">
      <alignment vertical="center" wrapText="1"/>
    </xf>
    <xf numFmtId="41" fontId="46" fillId="0" borderId="13" xfId="1015" applyFont="1" applyFill="1" applyBorder="1" applyAlignment="1">
      <alignment horizontal="right" vertical="center" wrapText="1"/>
    </xf>
    <xf numFmtId="41" fontId="3" fillId="0" borderId="15" xfId="1015" applyFont="1" applyFill="1" applyBorder="1" applyAlignment="1">
      <alignment horizontal="right" vertical="center" wrapText="1"/>
    </xf>
    <xf numFmtId="41" fontId="36" fillId="0" borderId="10" xfId="1015" applyNumberFormat="1" applyFont="1" applyFill="1" applyBorder="1" applyAlignment="1">
      <alignment horizontal="right" vertical="center" wrapText="1"/>
    </xf>
    <xf numFmtId="41" fontId="3" fillId="0" borderId="14" xfId="1015" applyFont="1" applyFill="1" applyBorder="1" applyAlignment="1">
      <alignment horizontal="right" vertical="center" wrapText="1"/>
    </xf>
    <xf numFmtId="41" fontId="46" fillId="0" borderId="13" xfId="1015" applyFont="1" applyFill="1" applyBorder="1" applyAlignment="1" applyProtection="1">
      <alignment horizontal="right" vertical="center" wrapText="1"/>
    </xf>
    <xf numFmtId="41" fontId="36" fillId="0" borderId="13" xfId="1015" applyFont="1" applyFill="1" applyBorder="1" applyAlignment="1" applyProtection="1">
      <alignment horizontal="right" vertical="center" wrapText="1"/>
    </xf>
    <xf numFmtId="41" fontId="3" fillId="0" borderId="13" xfId="1015" applyFont="1" applyFill="1" applyBorder="1" applyAlignment="1" applyProtection="1">
      <alignment horizontal="right" vertical="center" wrapText="1"/>
    </xf>
    <xf numFmtId="41" fontId="61" fillId="0" borderId="13" xfId="1015" applyFont="1" applyFill="1" applyBorder="1" applyAlignment="1" applyProtection="1">
      <alignment horizontal="right" vertical="center" wrapText="1"/>
    </xf>
    <xf numFmtId="41" fontId="36" fillId="0" borderId="13" xfId="1015" applyNumberFormat="1" applyFont="1" applyFill="1" applyBorder="1" applyAlignment="1" applyProtection="1">
      <alignment horizontal="right" vertical="center" wrapText="1"/>
    </xf>
    <xf numFmtId="41" fontId="46" fillId="0" borderId="13" xfId="1015" applyNumberFormat="1" applyFont="1" applyFill="1" applyBorder="1" applyAlignment="1" applyProtection="1">
      <alignment horizontal="right" vertical="center" wrapText="1"/>
    </xf>
    <xf numFmtId="41" fontId="3" fillId="0" borderId="15" xfId="1015" applyFont="1" applyFill="1" applyBorder="1" applyAlignment="1" applyProtection="1">
      <alignment horizontal="right" vertical="center" wrapText="1"/>
    </xf>
    <xf numFmtId="41" fontId="36" fillId="0" borderId="22" xfId="1015" applyNumberFormat="1" applyFont="1" applyFill="1" applyBorder="1" applyAlignment="1" applyProtection="1">
      <alignment horizontal="right" vertical="center" wrapText="1"/>
    </xf>
    <xf numFmtId="41" fontId="3" fillId="0" borderId="27" xfId="1015" applyFont="1" applyFill="1" applyBorder="1" applyAlignment="1">
      <alignment horizontal="right" vertical="center" wrapText="1"/>
    </xf>
    <xf numFmtId="41" fontId="36" fillId="0" borderId="35" xfId="1015" applyFont="1" applyFill="1" applyBorder="1" applyAlignment="1" applyProtection="1">
      <alignment horizontal="right" vertical="center" wrapText="1"/>
    </xf>
    <xf numFmtId="41" fontId="62" fillId="0" borderId="13" xfId="1015" applyFont="1" applyFill="1" applyBorder="1" applyAlignment="1">
      <alignment horizontal="right" vertical="center" wrapText="1"/>
    </xf>
    <xf numFmtId="41" fontId="63" fillId="0" borderId="13" xfId="1015" applyFont="1" applyFill="1" applyBorder="1" applyAlignment="1">
      <alignment horizontal="right" vertical="center" wrapText="1"/>
    </xf>
    <xf numFmtId="41" fontId="60" fillId="0" borderId="13" xfId="1015" applyFont="1" applyFill="1" applyBorder="1" applyAlignment="1">
      <alignment horizontal="right" vertical="center" wrapText="1"/>
    </xf>
    <xf numFmtId="41" fontId="60" fillId="0" borderId="15" xfId="1015" applyFont="1" applyFill="1" applyBorder="1" applyAlignment="1">
      <alignment horizontal="right" vertical="center" wrapText="1"/>
    </xf>
    <xf numFmtId="41" fontId="36" fillId="0" borderId="12" xfId="1015" applyFont="1" applyFill="1" applyBorder="1" applyAlignment="1">
      <alignment horizontal="right" vertical="center" wrapText="1"/>
    </xf>
    <xf numFmtId="3" fontId="3" fillId="0" borderId="0" xfId="0" applyNumberFormat="1" applyFont="1" applyFill="1" applyBorder="1" applyAlignment="1">
      <alignment horizontal="right" vertical="center" wrapText="1"/>
    </xf>
    <xf numFmtId="165" fontId="34" fillId="0" borderId="48" xfId="0" applyFont="1" applyFill="1" applyBorder="1" applyAlignment="1">
      <alignment horizontal="right" vertical="center" wrapText="1"/>
    </xf>
    <xf numFmtId="165" fontId="34" fillId="0" borderId="49" xfId="0" applyFont="1" applyFill="1" applyBorder="1" applyAlignment="1">
      <alignment vertical="center" wrapText="1"/>
    </xf>
    <xf numFmtId="41" fontId="34" fillId="0" borderId="49" xfId="1015" applyNumberFormat="1" applyFont="1" applyFill="1" applyBorder="1" applyAlignment="1">
      <alignment horizontal="right" vertical="center" wrapText="1"/>
    </xf>
    <xf numFmtId="41" fontId="34" fillId="0" borderId="49" xfId="1015" applyFont="1" applyFill="1" applyBorder="1" applyAlignment="1">
      <alignment horizontal="right" vertical="center" wrapText="1"/>
    </xf>
    <xf numFmtId="41" fontId="4" fillId="0" borderId="49" xfId="1015" applyFont="1" applyFill="1" applyBorder="1" applyAlignment="1">
      <alignment horizontal="right" vertical="center" wrapText="1"/>
    </xf>
    <xf numFmtId="41" fontId="60" fillId="0" borderId="49" xfId="1015" applyFont="1" applyFill="1" applyBorder="1" applyAlignment="1">
      <alignment horizontal="right" vertical="center" wrapText="1"/>
    </xf>
    <xf numFmtId="9" fontId="4" fillId="0" borderId="37" xfId="835" applyFont="1" applyFill="1" applyBorder="1" applyAlignment="1">
      <alignment horizontal="right" vertical="center" wrapText="1"/>
    </xf>
    <xf numFmtId="41" fontId="6" fillId="0" borderId="13" xfId="0" applyNumberFormat="1" applyFont="1" applyFill="1" applyBorder="1" applyAlignment="1" applyProtection="1">
      <alignment vertical="center" wrapText="1"/>
    </xf>
    <xf numFmtId="41" fontId="38" fillId="0" borderId="14" xfId="0" applyNumberFormat="1" applyFont="1" applyFill="1" applyBorder="1" applyAlignment="1" applyProtection="1">
      <alignment vertical="center" wrapText="1"/>
    </xf>
    <xf numFmtId="3" fontId="6" fillId="0" borderId="0" xfId="0" applyNumberFormat="1" applyFont="1" applyFill="1" applyBorder="1" applyAlignment="1">
      <alignment horizontal="right" vertical="center" wrapText="1"/>
    </xf>
    <xf numFmtId="166" fontId="4" fillId="0" borderId="13" xfId="1015" applyNumberFormat="1" applyFont="1" applyFill="1" applyBorder="1" applyAlignment="1">
      <alignment horizontal="right" vertical="center" wrapText="1"/>
    </xf>
    <xf numFmtId="4" fontId="4" fillId="0" borderId="13" xfId="685" applyNumberFormat="1" applyFont="1" applyFill="1" applyBorder="1" applyAlignment="1">
      <alignment horizontal="right" vertical="center" wrapText="1"/>
    </xf>
    <xf numFmtId="41" fontId="5" fillId="0" borderId="11" xfId="1015" applyFont="1" applyFill="1" applyBorder="1" applyAlignment="1">
      <alignment horizontal="center" vertical="center" wrapText="1"/>
    </xf>
    <xf numFmtId="41" fontId="5" fillId="0" borderId="10" xfId="1015" applyFont="1" applyFill="1" applyBorder="1" applyAlignment="1">
      <alignment horizontal="center" vertical="center" wrapText="1"/>
    </xf>
    <xf numFmtId="3" fontId="44" fillId="0" borderId="16" xfId="0" applyNumberFormat="1" applyFont="1" applyFill="1" applyBorder="1" applyAlignment="1">
      <alignment horizontal="center" vertical="center" wrapText="1"/>
    </xf>
    <xf numFmtId="3" fontId="44" fillId="0" borderId="13" xfId="0" applyNumberFormat="1" applyFont="1" applyFill="1" applyBorder="1" applyAlignment="1">
      <alignment horizontal="center" vertical="center" wrapText="1"/>
    </xf>
    <xf numFmtId="3" fontId="44" fillId="0" borderId="28" xfId="0" applyNumberFormat="1" applyFont="1" applyFill="1" applyBorder="1" applyAlignment="1">
      <alignment horizontal="center" vertical="center" wrapText="1"/>
    </xf>
    <xf numFmtId="3" fontId="44" fillId="0" borderId="29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9" fontId="5" fillId="0" borderId="11" xfId="835" applyFont="1" applyFill="1" applyBorder="1" applyAlignment="1">
      <alignment horizontal="center" vertical="center" wrapText="1"/>
    </xf>
    <xf numFmtId="9" fontId="5" fillId="0" borderId="10" xfId="835" applyFont="1" applyFill="1" applyBorder="1" applyAlignment="1">
      <alignment horizontal="center" vertical="center" wrapText="1"/>
    </xf>
    <xf numFmtId="3" fontId="44" fillId="0" borderId="46" xfId="0" applyNumberFormat="1" applyFont="1" applyFill="1" applyBorder="1" applyAlignment="1">
      <alignment horizontal="center" vertical="center" wrapText="1"/>
    </xf>
    <xf numFmtId="3" fontId="44" fillId="0" borderId="47" xfId="0" applyNumberFormat="1" applyFont="1" applyFill="1" applyBorder="1" applyAlignment="1">
      <alignment horizontal="center" vertical="center" wrapText="1"/>
    </xf>
    <xf numFmtId="3" fontId="44" fillId="0" borderId="39" xfId="0" applyNumberFormat="1" applyFont="1" applyFill="1" applyBorder="1" applyAlignment="1">
      <alignment horizontal="center" vertical="center" wrapText="1"/>
    </xf>
    <xf numFmtId="3" fontId="44" fillId="0" borderId="40" xfId="0" applyNumberFormat="1" applyFont="1" applyFill="1" applyBorder="1" applyAlignment="1">
      <alignment horizontal="center" vertical="center" wrapText="1"/>
    </xf>
    <xf numFmtId="3" fontId="44" fillId="0" borderId="41" xfId="0" applyNumberFormat="1" applyFont="1" applyFill="1" applyBorder="1" applyAlignment="1">
      <alignment horizontal="center" vertical="center" wrapText="1"/>
    </xf>
    <xf numFmtId="3" fontId="44" fillId="0" borderId="35" xfId="0" applyNumberFormat="1" applyFont="1" applyFill="1" applyBorder="1" applyAlignment="1">
      <alignment horizontal="center" vertical="center" wrapText="1"/>
    </xf>
    <xf numFmtId="3" fontId="9" fillId="0" borderId="25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Alignment="1">
      <alignment horizontal="center" vertical="center" wrapText="1"/>
    </xf>
    <xf numFmtId="9" fontId="56" fillId="0" borderId="28" xfId="0" applyNumberFormat="1" applyFont="1" applyFill="1" applyBorder="1" applyAlignment="1">
      <alignment horizontal="center" vertical="center" wrapText="1"/>
    </xf>
    <xf numFmtId="9" fontId="56" fillId="0" borderId="30" xfId="0" applyNumberFormat="1" applyFont="1" applyFill="1" applyBorder="1" applyAlignment="1">
      <alignment horizontal="center" vertical="center" wrapText="1"/>
    </xf>
    <xf numFmtId="9" fontId="56" fillId="0" borderId="29" xfId="0" applyNumberFormat="1" applyFont="1" applyFill="1" applyBorder="1" applyAlignment="1">
      <alignment horizontal="center" vertical="center" wrapText="1"/>
    </xf>
    <xf numFmtId="3" fontId="5" fillId="0" borderId="11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41" fontId="5" fillId="0" borderId="11" xfId="1015" applyNumberFormat="1" applyFont="1" applyFill="1" applyBorder="1" applyAlignment="1">
      <alignment horizontal="center" vertical="center" wrapText="1"/>
    </xf>
    <xf numFmtId="41" fontId="5" fillId="0" borderId="10" xfId="1015" applyNumberFormat="1" applyFont="1" applyFill="1" applyBorder="1" applyAlignment="1">
      <alignment horizontal="center" vertical="center" wrapText="1"/>
    </xf>
    <xf numFmtId="168" fontId="5" fillId="0" borderId="11" xfId="685" applyNumberFormat="1" applyFont="1" applyFill="1" applyBorder="1" applyAlignment="1">
      <alignment horizontal="center" vertical="center" wrapText="1"/>
    </xf>
    <xf numFmtId="168" fontId="5" fillId="0" borderId="10" xfId="685" applyNumberFormat="1" applyFont="1" applyFill="1" applyBorder="1" applyAlignment="1">
      <alignment horizontal="center" vertical="center" wrapText="1"/>
    </xf>
    <xf numFmtId="3" fontId="5" fillId="0" borderId="39" xfId="0" applyNumberFormat="1" applyFont="1" applyFill="1" applyBorder="1" applyAlignment="1">
      <alignment horizontal="center" vertical="center" wrapText="1"/>
    </xf>
    <xf numFmtId="3" fontId="5" fillId="0" borderId="40" xfId="0" applyNumberFormat="1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center" vertical="center" wrapText="1"/>
    </xf>
    <xf numFmtId="3" fontId="5" fillId="0" borderId="29" xfId="0" applyNumberFormat="1" applyFont="1" applyFill="1" applyBorder="1" applyAlignment="1">
      <alignment horizontal="center" vertical="center" wrapText="1"/>
    </xf>
    <xf numFmtId="3" fontId="44" fillId="0" borderId="42" xfId="0" applyNumberFormat="1" applyFont="1" applyFill="1" applyBorder="1" applyAlignment="1">
      <alignment horizontal="center" vertical="center" wrapText="1"/>
    </xf>
    <xf numFmtId="3" fontId="44" fillId="0" borderId="43" xfId="0" applyNumberFormat="1" applyFont="1" applyFill="1" applyBorder="1" applyAlignment="1">
      <alignment horizontal="center" vertical="center" wrapText="1"/>
    </xf>
    <xf numFmtId="3" fontId="5" fillId="0" borderId="16" xfId="0" applyNumberFormat="1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horizontal="center" vertical="center" wrapText="1"/>
    </xf>
    <xf numFmtId="3" fontId="40" fillId="0" borderId="39" xfId="0" applyNumberFormat="1" applyFont="1" applyFill="1" applyBorder="1" applyAlignment="1">
      <alignment horizontal="center" vertical="center" wrapText="1"/>
    </xf>
    <xf numFmtId="3" fontId="40" fillId="0" borderId="40" xfId="0" applyNumberFormat="1" applyFont="1" applyFill="1" applyBorder="1" applyAlignment="1">
      <alignment horizontal="center" vertical="center" wrapText="1"/>
    </xf>
    <xf numFmtId="9" fontId="64" fillId="0" borderId="30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Alignment="1">
      <alignment horizontal="center" vertical="center" wrapText="1"/>
    </xf>
    <xf numFmtId="3" fontId="44" fillId="0" borderId="34" xfId="0" applyNumberFormat="1" applyFont="1" applyFill="1" applyBorder="1" applyAlignment="1">
      <alignment horizontal="center" vertical="center" wrapText="1"/>
    </xf>
    <xf numFmtId="3" fontId="44" fillId="0" borderId="33" xfId="0" applyNumberFormat="1" applyFont="1" applyFill="1" applyBorder="1" applyAlignment="1">
      <alignment horizontal="center" vertical="center" wrapText="1"/>
    </xf>
    <xf numFmtId="3" fontId="6" fillId="0" borderId="25" xfId="0" applyNumberFormat="1" applyFont="1" applyFill="1" applyBorder="1" applyAlignment="1">
      <alignment horizontal="left" vertical="center" wrapText="1"/>
    </xf>
    <xf numFmtId="3" fontId="37" fillId="0" borderId="28" xfId="0" applyNumberFormat="1" applyFont="1" applyFill="1" applyBorder="1" applyAlignment="1">
      <alignment horizontal="center" vertical="center" wrapText="1"/>
    </xf>
    <xf numFmtId="3" fontId="37" fillId="0" borderId="30" xfId="0" applyNumberFormat="1" applyFont="1" applyFill="1" applyBorder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3" fontId="7" fillId="0" borderId="11" xfId="685" applyNumberFormat="1" applyFont="1" applyFill="1" applyBorder="1" applyAlignment="1">
      <alignment horizontal="center" vertical="center" wrapText="1"/>
    </xf>
    <xf numFmtId="3" fontId="7" fillId="0" borderId="10" xfId="685" applyNumberFormat="1" applyFont="1" applyFill="1" applyBorder="1" applyAlignment="1">
      <alignment horizontal="center" vertical="center" wrapText="1"/>
    </xf>
  </cellXfs>
  <cellStyles count="1019">
    <cellStyle name="20% - Énfasis1 10" xfId="1"/>
    <cellStyle name="20% - Énfasis1 11" xfId="2"/>
    <cellStyle name="20% - Énfasis1 12" xfId="3"/>
    <cellStyle name="20% - Énfasis1 13" xfId="4"/>
    <cellStyle name="20% - Énfasis1 14" xfId="5"/>
    <cellStyle name="20% - Énfasis1 15" xfId="6"/>
    <cellStyle name="20% - Énfasis1 16" xfId="7"/>
    <cellStyle name="20% - Énfasis1 17" xfId="8"/>
    <cellStyle name="20% - Énfasis1 18" xfId="9"/>
    <cellStyle name="20% - Énfasis1 19" xfId="10"/>
    <cellStyle name="20% - Énfasis1 2" xfId="11"/>
    <cellStyle name="20% - Énfasis1 20" xfId="12"/>
    <cellStyle name="20% - Énfasis1 21" xfId="13"/>
    <cellStyle name="20% - Énfasis1 22" xfId="14"/>
    <cellStyle name="20% - Énfasis1 23" xfId="15"/>
    <cellStyle name="20% - Énfasis1 3" xfId="16"/>
    <cellStyle name="20% - Énfasis1 4" xfId="17"/>
    <cellStyle name="20% - Énfasis1 5" xfId="18"/>
    <cellStyle name="20% - Énfasis1 6" xfId="19"/>
    <cellStyle name="20% - Énfasis1 7" xfId="20"/>
    <cellStyle name="20% - Énfasis1 8" xfId="21"/>
    <cellStyle name="20% - Énfasis1 9" xfId="22"/>
    <cellStyle name="20% - Énfasis2 10" xfId="23"/>
    <cellStyle name="20% - Énfasis2 11" xfId="24"/>
    <cellStyle name="20% - Énfasis2 12" xfId="25"/>
    <cellStyle name="20% - Énfasis2 13" xfId="26"/>
    <cellStyle name="20% - Énfasis2 14" xfId="27"/>
    <cellStyle name="20% - Énfasis2 15" xfId="28"/>
    <cellStyle name="20% - Énfasis2 16" xfId="29"/>
    <cellStyle name="20% - Énfasis2 17" xfId="30"/>
    <cellStyle name="20% - Énfasis2 18" xfId="31"/>
    <cellStyle name="20% - Énfasis2 19" xfId="32"/>
    <cellStyle name="20% - Énfasis2 2" xfId="33"/>
    <cellStyle name="20% - Énfasis2 20" xfId="34"/>
    <cellStyle name="20% - Énfasis2 21" xfId="35"/>
    <cellStyle name="20% - Énfasis2 22" xfId="36"/>
    <cellStyle name="20% - Énfasis2 23" xfId="37"/>
    <cellStyle name="20% - Énfasis2 3" xfId="38"/>
    <cellStyle name="20% - Énfasis2 4" xfId="39"/>
    <cellStyle name="20% - Énfasis2 5" xfId="40"/>
    <cellStyle name="20% - Énfasis2 6" xfId="41"/>
    <cellStyle name="20% - Énfasis2 7" xfId="42"/>
    <cellStyle name="20% - Énfasis2 8" xfId="43"/>
    <cellStyle name="20% - Énfasis2 9" xfId="44"/>
    <cellStyle name="20% - Énfasis3 10" xfId="45"/>
    <cellStyle name="20% - Énfasis3 11" xfId="46"/>
    <cellStyle name="20% - Énfasis3 12" xfId="47"/>
    <cellStyle name="20% - Énfasis3 13" xfId="48"/>
    <cellStyle name="20% - Énfasis3 14" xfId="49"/>
    <cellStyle name="20% - Énfasis3 15" xfId="50"/>
    <cellStyle name="20% - Énfasis3 16" xfId="51"/>
    <cellStyle name="20% - Énfasis3 17" xfId="52"/>
    <cellStyle name="20% - Énfasis3 18" xfId="53"/>
    <cellStyle name="20% - Énfasis3 19" xfId="54"/>
    <cellStyle name="20% - Énfasis3 2" xfId="55"/>
    <cellStyle name="20% - Énfasis3 20" xfId="56"/>
    <cellStyle name="20% - Énfasis3 21" xfId="57"/>
    <cellStyle name="20% - Énfasis3 22" xfId="58"/>
    <cellStyle name="20% - Énfasis3 23" xfId="59"/>
    <cellStyle name="20% - Énfasis3 3" xfId="60"/>
    <cellStyle name="20% - Énfasis3 4" xfId="61"/>
    <cellStyle name="20% - Énfasis3 5" xfId="62"/>
    <cellStyle name="20% - Énfasis3 6" xfId="63"/>
    <cellStyle name="20% - Énfasis3 7" xfId="64"/>
    <cellStyle name="20% - Énfasis3 8" xfId="65"/>
    <cellStyle name="20% - Énfasis3 9" xfId="66"/>
    <cellStyle name="20% - Énfasis4 10" xfId="67"/>
    <cellStyle name="20% - Énfasis4 11" xfId="68"/>
    <cellStyle name="20% - Énfasis4 12" xfId="69"/>
    <cellStyle name="20% - Énfasis4 13" xfId="70"/>
    <cellStyle name="20% - Énfasis4 14" xfId="71"/>
    <cellStyle name="20% - Énfasis4 15" xfId="72"/>
    <cellStyle name="20% - Énfasis4 16" xfId="73"/>
    <cellStyle name="20% - Énfasis4 17" xfId="74"/>
    <cellStyle name="20% - Énfasis4 18" xfId="75"/>
    <cellStyle name="20% - Énfasis4 19" xfId="76"/>
    <cellStyle name="20% - Énfasis4 2" xfId="77"/>
    <cellStyle name="20% - Énfasis4 20" xfId="78"/>
    <cellStyle name="20% - Énfasis4 21" xfId="79"/>
    <cellStyle name="20% - Énfasis4 22" xfId="80"/>
    <cellStyle name="20% - Énfasis4 23" xfId="81"/>
    <cellStyle name="20% - Énfasis4 3" xfId="82"/>
    <cellStyle name="20% - Énfasis4 4" xfId="83"/>
    <cellStyle name="20% - Énfasis4 5" xfId="84"/>
    <cellStyle name="20% - Énfasis4 6" xfId="85"/>
    <cellStyle name="20% - Énfasis4 7" xfId="86"/>
    <cellStyle name="20% - Énfasis4 8" xfId="87"/>
    <cellStyle name="20% - Énfasis4 9" xfId="88"/>
    <cellStyle name="20% - Énfasis5 10" xfId="89"/>
    <cellStyle name="20% - Énfasis5 11" xfId="90"/>
    <cellStyle name="20% - Énfasis5 12" xfId="91"/>
    <cellStyle name="20% - Énfasis5 13" xfId="92"/>
    <cellStyle name="20% - Énfasis5 14" xfId="93"/>
    <cellStyle name="20% - Énfasis5 15" xfId="94"/>
    <cellStyle name="20% - Énfasis5 16" xfId="95"/>
    <cellStyle name="20% - Énfasis5 17" xfId="96"/>
    <cellStyle name="20% - Énfasis5 18" xfId="97"/>
    <cellStyle name="20% - Énfasis5 19" xfId="98"/>
    <cellStyle name="20% - Énfasis5 2" xfId="99"/>
    <cellStyle name="20% - Énfasis5 20" xfId="100"/>
    <cellStyle name="20% - Énfasis5 21" xfId="101"/>
    <cellStyle name="20% - Énfasis5 22" xfId="102"/>
    <cellStyle name="20% - Énfasis5 23" xfId="103"/>
    <cellStyle name="20% - Énfasis5 3" xfId="104"/>
    <cellStyle name="20% - Énfasis5 4" xfId="105"/>
    <cellStyle name="20% - Énfasis5 5" xfId="106"/>
    <cellStyle name="20% - Énfasis5 6" xfId="107"/>
    <cellStyle name="20% - Énfasis5 7" xfId="108"/>
    <cellStyle name="20% - Énfasis5 8" xfId="109"/>
    <cellStyle name="20% - Énfasis5 9" xfId="110"/>
    <cellStyle name="20% - Énfasis6 10" xfId="111"/>
    <cellStyle name="20% - Énfasis6 11" xfId="112"/>
    <cellStyle name="20% - Énfasis6 12" xfId="113"/>
    <cellStyle name="20% - Énfasis6 13" xfId="114"/>
    <cellStyle name="20% - Énfasis6 14" xfId="115"/>
    <cellStyle name="20% - Énfasis6 15" xfId="116"/>
    <cellStyle name="20% - Énfasis6 16" xfId="117"/>
    <cellStyle name="20% - Énfasis6 17" xfId="118"/>
    <cellStyle name="20% - Énfasis6 18" xfId="119"/>
    <cellStyle name="20% - Énfasis6 19" xfId="120"/>
    <cellStyle name="20% - Énfasis6 2" xfId="121"/>
    <cellStyle name="20% - Énfasis6 20" xfId="122"/>
    <cellStyle name="20% - Énfasis6 21" xfId="123"/>
    <cellStyle name="20% - Énfasis6 22" xfId="124"/>
    <cellStyle name="20% - Énfasis6 23" xfId="125"/>
    <cellStyle name="20% - Énfasis6 3" xfId="126"/>
    <cellStyle name="20% - Énfasis6 4" xfId="127"/>
    <cellStyle name="20% - Énfasis6 5" xfId="128"/>
    <cellStyle name="20% - Énfasis6 6" xfId="129"/>
    <cellStyle name="20% - Énfasis6 7" xfId="130"/>
    <cellStyle name="20% - Énfasis6 8" xfId="131"/>
    <cellStyle name="20% - Énfasis6 9" xfId="132"/>
    <cellStyle name="40% - Énfasis1 10" xfId="133"/>
    <cellStyle name="40% - Énfasis1 11" xfId="134"/>
    <cellStyle name="40% - Énfasis1 12" xfId="135"/>
    <cellStyle name="40% - Énfasis1 13" xfId="136"/>
    <cellStyle name="40% - Énfasis1 14" xfId="137"/>
    <cellStyle name="40% - Énfasis1 15" xfId="138"/>
    <cellStyle name="40% - Énfasis1 16" xfId="139"/>
    <cellStyle name="40% - Énfasis1 17" xfId="140"/>
    <cellStyle name="40% - Énfasis1 18" xfId="141"/>
    <cellStyle name="40% - Énfasis1 19" xfId="142"/>
    <cellStyle name="40% - Énfasis1 2" xfId="143"/>
    <cellStyle name="40% - Énfasis1 20" xfId="144"/>
    <cellStyle name="40% - Énfasis1 21" xfId="145"/>
    <cellStyle name="40% - Énfasis1 22" xfId="146"/>
    <cellStyle name="40% - Énfasis1 23" xfId="147"/>
    <cellStyle name="40% - Énfasis1 3" xfId="148"/>
    <cellStyle name="40% - Énfasis1 4" xfId="149"/>
    <cellStyle name="40% - Énfasis1 5" xfId="150"/>
    <cellStyle name="40% - Énfasis1 6" xfId="151"/>
    <cellStyle name="40% - Énfasis1 7" xfId="152"/>
    <cellStyle name="40% - Énfasis1 8" xfId="153"/>
    <cellStyle name="40% - Énfasis1 9" xfId="154"/>
    <cellStyle name="40% - Énfasis2 10" xfId="155"/>
    <cellStyle name="40% - Énfasis2 11" xfId="156"/>
    <cellStyle name="40% - Énfasis2 12" xfId="157"/>
    <cellStyle name="40% - Énfasis2 13" xfId="158"/>
    <cellStyle name="40% - Énfasis2 14" xfId="159"/>
    <cellStyle name="40% - Énfasis2 15" xfId="160"/>
    <cellStyle name="40% - Énfasis2 16" xfId="161"/>
    <cellStyle name="40% - Énfasis2 17" xfId="162"/>
    <cellStyle name="40% - Énfasis2 18" xfId="163"/>
    <cellStyle name="40% - Énfasis2 19" xfId="164"/>
    <cellStyle name="40% - Énfasis2 2" xfId="165"/>
    <cellStyle name="40% - Énfasis2 20" xfId="166"/>
    <cellStyle name="40% - Énfasis2 21" xfId="167"/>
    <cellStyle name="40% - Énfasis2 22" xfId="168"/>
    <cellStyle name="40% - Énfasis2 23" xfId="169"/>
    <cellStyle name="40% - Énfasis2 3" xfId="170"/>
    <cellStyle name="40% - Énfasis2 4" xfId="171"/>
    <cellStyle name="40% - Énfasis2 5" xfId="172"/>
    <cellStyle name="40% - Énfasis2 6" xfId="173"/>
    <cellStyle name="40% - Énfasis2 7" xfId="174"/>
    <cellStyle name="40% - Énfasis2 8" xfId="175"/>
    <cellStyle name="40% - Énfasis2 9" xfId="176"/>
    <cellStyle name="40% - Énfasis3 10" xfId="177"/>
    <cellStyle name="40% - Énfasis3 11" xfId="178"/>
    <cellStyle name="40% - Énfasis3 12" xfId="179"/>
    <cellStyle name="40% - Énfasis3 13" xfId="180"/>
    <cellStyle name="40% - Énfasis3 14" xfId="181"/>
    <cellStyle name="40% - Énfasis3 15" xfId="182"/>
    <cellStyle name="40% - Énfasis3 16" xfId="183"/>
    <cellStyle name="40% - Énfasis3 17" xfId="184"/>
    <cellStyle name="40% - Énfasis3 18" xfId="185"/>
    <cellStyle name="40% - Énfasis3 19" xfId="186"/>
    <cellStyle name="40% - Énfasis3 2" xfId="187"/>
    <cellStyle name="40% - Énfasis3 20" xfId="188"/>
    <cellStyle name="40% - Énfasis3 21" xfId="189"/>
    <cellStyle name="40% - Énfasis3 22" xfId="190"/>
    <cellStyle name="40% - Énfasis3 23" xfId="191"/>
    <cellStyle name="40% - Énfasis3 3" xfId="192"/>
    <cellStyle name="40% - Énfasis3 4" xfId="193"/>
    <cellStyle name="40% - Énfasis3 5" xfId="194"/>
    <cellStyle name="40% - Énfasis3 6" xfId="195"/>
    <cellStyle name="40% - Énfasis3 7" xfId="196"/>
    <cellStyle name="40% - Énfasis3 8" xfId="197"/>
    <cellStyle name="40% - Énfasis3 9" xfId="198"/>
    <cellStyle name="40% - Énfasis4 10" xfId="199"/>
    <cellStyle name="40% - Énfasis4 11" xfId="200"/>
    <cellStyle name="40% - Énfasis4 12" xfId="201"/>
    <cellStyle name="40% - Énfasis4 13" xfId="202"/>
    <cellStyle name="40% - Énfasis4 14" xfId="203"/>
    <cellStyle name="40% - Énfasis4 15" xfId="204"/>
    <cellStyle name="40% - Énfasis4 16" xfId="205"/>
    <cellStyle name="40% - Énfasis4 17" xfId="206"/>
    <cellStyle name="40% - Énfasis4 18" xfId="207"/>
    <cellStyle name="40% - Énfasis4 19" xfId="208"/>
    <cellStyle name="40% - Énfasis4 2" xfId="209"/>
    <cellStyle name="40% - Énfasis4 20" xfId="210"/>
    <cellStyle name="40% - Énfasis4 21" xfId="211"/>
    <cellStyle name="40% - Énfasis4 22" xfId="212"/>
    <cellStyle name="40% - Énfasis4 23" xfId="213"/>
    <cellStyle name="40% - Énfasis4 3" xfId="214"/>
    <cellStyle name="40% - Énfasis4 4" xfId="215"/>
    <cellStyle name="40% - Énfasis4 5" xfId="216"/>
    <cellStyle name="40% - Énfasis4 6" xfId="217"/>
    <cellStyle name="40% - Énfasis4 7" xfId="218"/>
    <cellStyle name="40% - Énfasis4 8" xfId="219"/>
    <cellStyle name="40% - Énfasis4 9" xfId="220"/>
    <cellStyle name="40% - Énfasis5 10" xfId="221"/>
    <cellStyle name="40% - Énfasis5 11" xfId="222"/>
    <cellStyle name="40% - Énfasis5 12" xfId="223"/>
    <cellStyle name="40% - Énfasis5 13" xfId="224"/>
    <cellStyle name="40% - Énfasis5 14" xfId="225"/>
    <cellStyle name="40% - Énfasis5 15" xfId="226"/>
    <cellStyle name="40% - Énfasis5 16" xfId="227"/>
    <cellStyle name="40% - Énfasis5 17" xfId="228"/>
    <cellStyle name="40% - Énfasis5 18" xfId="229"/>
    <cellStyle name="40% - Énfasis5 19" xfId="230"/>
    <cellStyle name="40% - Énfasis5 2" xfId="231"/>
    <cellStyle name="40% - Énfasis5 20" xfId="232"/>
    <cellStyle name="40% - Énfasis5 21" xfId="233"/>
    <cellStyle name="40% - Énfasis5 22" xfId="234"/>
    <cellStyle name="40% - Énfasis5 23" xfId="235"/>
    <cellStyle name="40% - Énfasis5 3" xfId="236"/>
    <cellStyle name="40% - Énfasis5 4" xfId="237"/>
    <cellStyle name="40% - Énfasis5 5" xfId="238"/>
    <cellStyle name="40% - Énfasis5 6" xfId="239"/>
    <cellStyle name="40% - Énfasis5 7" xfId="240"/>
    <cellStyle name="40% - Énfasis5 8" xfId="241"/>
    <cellStyle name="40% - Énfasis5 9" xfId="242"/>
    <cellStyle name="40% - Énfasis6 10" xfId="243"/>
    <cellStyle name="40% - Énfasis6 11" xfId="244"/>
    <cellStyle name="40% - Énfasis6 12" xfId="245"/>
    <cellStyle name="40% - Énfasis6 13" xfId="246"/>
    <cellStyle name="40% - Énfasis6 14" xfId="247"/>
    <cellStyle name="40% - Énfasis6 15" xfId="248"/>
    <cellStyle name="40% - Énfasis6 16" xfId="249"/>
    <cellStyle name="40% - Énfasis6 17" xfId="250"/>
    <cellStyle name="40% - Énfasis6 18" xfId="251"/>
    <cellStyle name="40% - Énfasis6 19" xfId="252"/>
    <cellStyle name="40% - Énfasis6 2" xfId="253"/>
    <cellStyle name="40% - Énfasis6 20" xfId="254"/>
    <cellStyle name="40% - Énfasis6 21" xfId="255"/>
    <cellStyle name="40% - Énfasis6 22" xfId="256"/>
    <cellStyle name="40% - Énfasis6 23" xfId="257"/>
    <cellStyle name="40% - Énfasis6 3" xfId="258"/>
    <cellStyle name="40% - Énfasis6 4" xfId="259"/>
    <cellStyle name="40% - Énfasis6 5" xfId="260"/>
    <cellStyle name="40% - Énfasis6 6" xfId="261"/>
    <cellStyle name="40% - Énfasis6 7" xfId="262"/>
    <cellStyle name="40% - Énfasis6 8" xfId="263"/>
    <cellStyle name="40% - Énfasis6 9" xfId="264"/>
    <cellStyle name="60% - Énfasis1 10" xfId="265"/>
    <cellStyle name="60% - Énfasis1 11" xfId="266"/>
    <cellStyle name="60% - Énfasis1 12" xfId="267"/>
    <cellStyle name="60% - Énfasis1 13" xfId="268"/>
    <cellStyle name="60% - Énfasis1 14" xfId="269"/>
    <cellStyle name="60% - Énfasis1 15" xfId="270"/>
    <cellStyle name="60% - Énfasis1 16" xfId="271"/>
    <cellStyle name="60% - Énfasis1 17" xfId="272"/>
    <cellStyle name="60% - Énfasis1 18" xfId="273"/>
    <cellStyle name="60% - Énfasis1 19" xfId="274"/>
    <cellStyle name="60% - Énfasis1 2" xfId="275"/>
    <cellStyle name="60% - Énfasis1 20" xfId="276"/>
    <cellStyle name="60% - Énfasis1 21" xfId="277"/>
    <cellStyle name="60% - Énfasis1 22" xfId="278"/>
    <cellStyle name="60% - Énfasis1 23" xfId="279"/>
    <cellStyle name="60% - Énfasis1 3" xfId="280"/>
    <cellStyle name="60% - Énfasis1 4" xfId="281"/>
    <cellStyle name="60% - Énfasis1 5" xfId="282"/>
    <cellStyle name="60% - Énfasis1 6" xfId="283"/>
    <cellStyle name="60% - Énfasis1 7" xfId="284"/>
    <cellStyle name="60% - Énfasis1 8" xfId="285"/>
    <cellStyle name="60% - Énfasis1 9" xfId="286"/>
    <cellStyle name="60% - Énfasis2 10" xfId="287"/>
    <cellStyle name="60% - Énfasis2 11" xfId="288"/>
    <cellStyle name="60% - Énfasis2 12" xfId="289"/>
    <cellStyle name="60% - Énfasis2 13" xfId="290"/>
    <cellStyle name="60% - Énfasis2 14" xfId="291"/>
    <cellStyle name="60% - Énfasis2 15" xfId="292"/>
    <cellStyle name="60% - Énfasis2 16" xfId="293"/>
    <cellStyle name="60% - Énfasis2 17" xfId="294"/>
    <cellStyle name="60% - Énfasis2 18" xfId="295"/>
    <cellStyle name="60% - Énfasis2 19" xfId="296"/>
    <cellStyle name="60% - Énfasis2 2" xfId="297"/>
    <cellStyle name="60% - Énfasis2 20" xfId="298"/>
    <cellStyle name="60% - Énfasis2 21" xfId="299"/>
    <cellStyle name="60% - Énfasis2 22" xfId="300"/>
    <cellStyle name="60% - Énfasis2 23" xfId="301"/>
    <cellStyle name="60% - Énfasis2 3" xfId="302"/>
    <cellStyle name="60% - Énfasis2 4" xfId="303"/>
    <cellStyle name="60% - Énfasis2 5" xfId="304"/>
    <cellStyle name="60% - Énfasis2 6" xfId="305"/>
    <cellStyle name="60% - Énfasis2 7" xfId="306"/>
    <cellStyle name="60% - Énfasis2 8" xfId="307"/>
    <cellStyle name="60% - Énfasis2 9" xfId="308"/>
    <cellStyle name="60% - Énfasis3 10" xfId="309"/>
    <cellStyle name="60% - Énfasis3 11" xfId="310"/>
    <cellStyle name="60% - Énfasis3 12" xfId="311"/>
    <cellStyle name="60% - Énfasis3 13" xfId="312"/>
    <cellStyle name="60% - Énfasis3 14" xfId="313"/>
    <cellStyle name="60% - Énfasis3 15" xfId="314"/>
    <cellStyle name="60% - Énfasis3 16" xfId="315"/>
    <cellStyle name="60% - Énfasis3 17" xfId="316"/>
    <cellStyle name="60% - Énfasis3 18" xfId="317"/>
    <cellStyle name="60% - Énfasis3 19" xfId="318"/>
    <cellStyle name="60% - Énfasis3 2" xfId="319"/>
    <cellStyle name="60% - Énfasis3 20" xfId="320"/>
    <cellStyle name="60% - Énfasis3 21" xfId="321"/>
    <cellStyle name="60% - Énfasis3 22" xfId="322"/>
    <cellStyle name="60% - Énfasis3 23" xfId="323"/>
    <cellStyle name="60% - Énfasis3 3" xfId="324"/>
    <cellStyle name="60% - Énfasis3 4" xfId="325"/>
    <cellStyle name="60% - Énfasis3 5" xfId="326"/>
    <cellStyle name="60% - Énfasis3 6" xfId="327"/>
    <cellStyle name="60% - Énfasis3 7" xfId="328"/>
    <cellStyle name="60% - Énfasis3 8" xfId="329"/>
    <cellStyle name="60% - Énfasis3 9" xfId="330"/>
    <cellStyle name="60% - Énfasis4 10" xfId="331"/>
    <cellStyle name="60% - Énfasis4 11" xfId="332"/>
    <cellStyle name="60% - Énfasis4 12" xfId="333"/>
    <cellStyle name="60% - Énfasis4 13" xfId="334"/>
    <cellStyle name="60% - Énfasis4 14" xfId="335"/>
    <cellStyle name="60% - Énfasis4 15" xfId="336"/>
    <cellStyle name="60% - Énfasis4 16" xfId="337"/>
    <cellStyle name="60% - Énfasis4 17" xfId="338"/>
    <cellStyle name="60% - Énfasis4 18" xfId="339"/>
    <cellStyle name="60% - Énfasis4 19" xfId="340"/>
    <cellStyle name="60% - Énfasis4 2" xfId="341"/>
    <cellStyle name="60% - Énfasis4 20" xfId="342"/>
    <cellStyle name="60% - Énfasis4 21" xfId="343"/>
    <cellStyle name="60% - Énfasis4 22" xfId="344"/>
    <cellStyle name="60% - Énfasis4 23" xfId="345"/>
    <cellStyle name="60% - Énfasis4 3" xfId="346"/>
    <cellStyle name="60% - Énfasis4 4" xfId="347"/>
    <cellStyle name="60% - Énfasis4 5" xfId="348"/>
    <cellStyle name="60% - Énfasis4 6" xfId="349"/>
    <cellStyle name="60% - Énfasis4 7" xfId="350"/>
    <cellStyle name="60% - Énfasis4 8" xfId="351"/>
    <cellStyle name="60% - Énfasis4 9" xfId="352"/>
    <cellStyle name="60% - Énfasis5 10" xfId="353"/>
    <cellStyle name="60% - Énfasis5 11" xfId="354"/>
    <cellStyle name="60% - Énfasis5 12" xfId="355"/>
    <cellStyle name="60% - Énfasis5 13" xfId="356"/>
    <cellStyle name="60% - Énfasis5 14" xfId="357"/>
    <cellStyle name="60% - Énfasis5 15" xfId="358"/>
    <cellStyle name="60% - Énfasis5 16" xfId="359"/>
    <cellStyle name="60% - Énfasis5 17" xfId="360"/>
    <cellStyle name="60% - Énfasis5 18" xfId="361"/>
    <cellStyle name="60% - Énfasis5 19" xfId="362"/>
    <cellStyle name="60% - Énfasis5 2" xfId="363"/>
    <cellStyle name="60% - Énfasis5 20" xfId="364"/>
    <cellStyle name="60% - Énfasis5 21" xfId="365"/>
    <cellStyle name="60% - Énfasis5 22" xfId="366"/>
    <cellStyle name="60% - Énfasis5 23" xfId="367"/>
    <cellStyle name="60% - Énfasis5 3" xfId="368"/>
    <cellStyle name="60% - Énfasis5 4" xfId="369"/>
    <cellStyle name="60% - Énfasis5 5" xfId="370"/>
    <cellStyle name="60% - Énfasis5 6" xfId="371"/>
    <cellStyle name="60% - Énfasis5 7" xfId="372"/>
    <cellStyle name="60% - Énfasis5 8" xfId="373"/>
    <cellStyle name="60% - Énfasis5 9" xfId="374"/>
    <cellStyle name="60% - Énfasis6 10" xfId="375"/>
    <cellStyle name="60% - Énfasis6 11" xfId="376"/>
    <cellStyle name="60% - Énfasis6 12" xfId="377"/>
    <cellStyle name="60% - Énfasis6 13" xfId="378"/>
    <cellStyle name="60% - Énfasis6 14" xfId="379"/>
    <cellStyle name="60% - Énfasis6 15" xfId="380"/>
    <cellStyle name="60% - Énfasis6 16" xfId="381"/>
    <cellStyle name="60% - Énfasis6 17" xfId="382"/>
    <cellStyle name="60% - Énfasis6 18" xfId="383"/>
    <cellStyle name="60% - Énfasis6 19" xfId="384"/>
    <cellStyle name="60% - Énfasis6 2" xfId="385"/>
    <cellStyle name="60% - Énfasis6 20" xfId="386"/>
    <cellStyle name="60% - Énfasis6 21" xfId="387"/>
    <cellStyle name="60% - Énfasis6 22" xfId="388"/>
    <cellStyle name="60% - Énfasis6 23" xfId="389"/>
    <cellStyle name="60% - Énfasis6 3" xfId="390"/>
    <cellStyle name="60% - Énfasis6 4" xfId="391"/>
    <cellStyle name="60% - Énfasis6 5" xfId="392"/>
    <cellStyle name="60% - Énfasis6 6" xfId="393"/>
    <cellStyle name="60% - Énfasis6 7" xfId="394"/>
    <cellStyle name="60% - Énfasis6 8" xfId="395"/>
    <cellStyle name="60% - Énfasis6 9" xfId="396"/>
    <cellStyle name="Buena 10" xfId="397"/>
    <cellStyle name="Buena 11" xfId="398"/>
    <cellStyle name="Buena 12" xfId="399"/>
    <cellStyle name="Buena 13" xfId="400"/>
    <cellStyle name="Buena 14" xfId="401"/>
    <cellStyle name="Buena 15" xfId="402"/>
    <cellStyle name="Buena 16" xfId="403"/>
    <cellStyle name="Buena 17" xfId="404"/>
    <cellStyle name="Buena 18" xfId="405"/>
    <cellStyle name="Buena 19" xfId="406"/>
    <cellStyle name="Buena 2" xfId="407"/>
    <cellStyle name="Buena 20" xfId="408"/>
    <cellStyle name="Buena 21" xfId="409"/>
    <cellStyle name="Buena 22" xfId="410"/>
    <cellStyle name="Buena 23" xfId="411"/>
    <cellStyle name="Buena 3" xfId="412"/>
    <cellStyle name="Buena 4" xfId="413"/>
    <cellStyle name="Buena 5" xfId="414"/>
    <cellStyle name="Buena 6" xfId="415"/>
    <cellStyle name="Buena 7" xfId="416"/>
    <cellStyle name="Buena 8" xfId="417"/>
    <cellStyle name="Buena 9" xfId="418"/>
    <cellStyle name="Cálculo 10" xfId="419"/>
    <cellStyle name="Cálculo 11" xfId="420"/>
    <cellStyle name="Cálculo 12" xfId="421"/>
    <cellStyle name="Cálculo 13" xfId="422"/>
    <cellStyle name="Cálculo 14" xfId="423"/>
    <cellStyle name="Cálculo 15" xfId="424"/>
    <cellStyle name="Cálculo 16" xfId="425"/>
    <cellStyle name="Cálculo 17" xfId="426"/>
    <cellStyle name="Cálculo 18" xfId="427"/>
    <cellStyle name="Cálculo 19" xfId="428"/>
    <cellStyle name="Cálculo 2" xfId="429"/>
    <cellStyle name="Cálculo 20" xfId="430"/>
    <cellStyle name="Cálculo 21" xfId="431"/>
    <cellStyle name="Cálculo 22" xfId="432"/>
    <cellStyle name="Cálculo 23" xfId="433"/>
    <cellStyle name="Cálculo 3" xfId="434"/>
    <cellStyle name="Cálculo 4" xfId="435"/>
    <cellStyle name="Cálculo 5" xfId="436"/>
    <cellStyle name="Cálculo 6" xfId="437"/>
    <cellStyle name="Cálculo 7" xfId="438"/>
    <cellStyle name="Cálculo 8" xfId="439"/>
    <cellStyle name="Cálculo 9" xfId="440"/>
    <cellStyle name="Celda de comprobación 10" xfId="441"/>
    <cellStyle name="Celda de comprobación 11" xfId="442"/>
    <cellStyle name="Celda de comprobación 12" xfId="443"/>
    <cellStyle name="Celda de comprobación 13" xfId="444"/>
    <cellStyle name="Celda de comprobación 14" xfId="445"/>
    <cellStyle name="Celda de comprobación 15" xfId="446"/>
    <cellStyle name="Celda de comprobación 16" xfId="447"/>
    <cellStyle name="Celda de comprobación 17" xfId="448"/>
    <cellStyle name="Celda de comprobación 18" xfId="449"/>
    <cellStyle name="Celda de comprobación 19" xfId="450"/>
    <cellStyle name="Celda de comprobación 2" xfId="451"/>
    <cellStyle name="Celda de comprobación 20" xfId="452"/>
    <cellStyle name="Celda de comprobación 21" xfId="453"/>
    <cellStyle name="Celda de comprobación 22" xfId="454"/>
    <cellStyle name="Celda de comprobación 23" xfId="455"/>
    <cellStyle name="Celda de comprobación 3" xfId="456"/>
    <cellStyle name="Celda de comprobación 4" xfId="457"/>
    <cellStyle name="Celda de comprobación 5" xfId="458"/>
    <cellStyle name="Celda de comprobación 6" xfId="459"/>
    <cellStyle name="Celda de comprobación 7" xfId="460"/>
    <cellStyle name="Celda de comprobación 8" xfId="461"/>
    <cellStyle name="Celda de comprobación 9" xfId="462"/>
    <cellStyle name="Celda vinculada 10" xfId="463"/>
    <cellStyle name="Celda vinculada 11" xfId="464"/>
    <cellStyle name="Celda vinculada 12" xfId="465"/>
    <cellStyle name="Celda vinculada 13" xfId="466"/>
    <cellStyle name="Celda vinculada 14" xfId="467"/>
    <cellStyle name="Celda vinculada 15" xfId="468"/>
    <cellStyle name="Celda vinculada 16" xfId="469"/>
    <cellStyle name="Celda vinculada 17" xfId="470"/>
    <cellStyle name="Celda vinculada 18" xfId="471"/>
    <cellStyle name="Celda vinculada 19" xfId="472"/>
    <cellStyle name="Celda vinculada 2" xfId="473"/>
    <cellStyle name="Celda vinculada 20" xfId="474"/>
    <cellStyle name="Celda vinculada 21" xfId="475"/>
    <cellStyle name="Celda vinculada 22" xfId="476"/>
    <cellStyle name="Celda vinculada 23" xfId="477"/>
    <cellStyle name="Celda vinculada 3" xfId="478"/>
    <cellStyle name="Celda vinculada 4" xfId="479"/>
    <cellStyle name="Celda vinculada 5" xfId="480"/>
    <cellStyle name="Celda vinculada 6" xfId="481"/>
    <cellStyle name="Celda vinculada 7" xfId="482"/>
    <cellStyle name="Celda vinculada 8" xfId="483"/>
    <cellStyle name="Celda vinculada 9" xfId="484"/>
    <cellStyle name="Encabezado 4 10" xfId="485"/>
    <cellStyle name="Encabezado 4 11" xfId="486"/>
    <cellStyle name="Encabezado 4 12" xfId="487"/>
    <cellStyle name="Encabezado 4 13" xfId="488"/>
    <cellStyle name="Encabezado 4 14" xfId="489"/>
    <cellStyle name="Encabezado 4 15" xfId="490"/>
    <cellStyle name="Encabezado 4 16" xfId="491"/>
    <cellStyle name="Encabezado 4 17" xfId="492"/>
    <cellStyle name="Encabezado 4 18" xfId="493"/>
    <cellStyle name="Encabezado 4 19" xfId="494"/>
    <cellStyle name="Encabezado 4 2" xfId="495"/>
    <cellStyle name="Encabezado 4 20" xfId="496"/>
    <cellStyle name="Encabezado 4 21" xfId="497"/>
    <cellStyle name="Encabezado 4 22" xfId="498"/>
    <cellStyle name="Encabezado 4 23" xfId="499"/>
    <cellStyle name="Encabezado 4 3" xfId="500"/>
    <cellStyle name="Encabezado 4 4" xfId="501"/>
    <cellStyle name="Encabezado 4 5" xfId="502"/>
    <cellStyle name="Encabezado 4 6" xfId="503"/>
    <cellStyle name="Encabezado 4 7" xfId="504"/>
    <cellStyle name="Encabezado 4 8" xfId="505"/>
    <cellStyle name="Encabezado 4 9" xfId="506"/>
    <cellStyle name="Énfasis1 10" xfId="507"/>
    <cellStyle name="Énfasis1 11" xfId="508"/>
    <cellStyle name="Énfasis1 12" xfId="509"/>
    <cellStyle name="Énfasis1 13" xfId="510"/>
    <cellStyle name="Énfasis1 14" xfId="511"/>
    <cellStyle name="Énfasis1 15" xfId="512"/>
    <cellStyle name="Énfasis1 16" xfId="513"/>
    <cellStyle name="Énfasis1 17" xfId="514"/>
    <cellStyle name="Énfasis1 18" xfId="515"/>
    <cellStyle name="Énfasis1 19" xfId="516"/>
    <cellStyle name="Énfasis1 2" xfId="517"/>
    <cellStyle name="Énfasis1 20" xfId="518"/>
    <cellStyle name="Énfasis1 21" xfId="519"/>
    <cellStyle name="Énfasis1 22" xfId="520"/>
    <cellStyle name="Énfasis1 23" xfId="521"/>
    <cellStyle name="Énfasis1 3" xfId="522"/>
    <cellStyle name="Énfasis1 4" xfId="523"/>
    <cellStyle name="Énfasis1 5" xfId="524"/>
    <cellStyle name="Énfasis1 6" xfId="525"/>
    <cellStyle name="Énfasis1 7" xfId="526"/>
    <cellStyle name="Énfasis1 8" xfId="527"/>
    <cellStyle name="Énfasis1 9" xfId="528"/>
    <cellStyle name="Énfasis2 10" xfId="529"/>
    <cellStyle name="Énfasis2 11" xfId="530"/>
    <cellStyle name="Énfasis2 12" xfId="531"/>
    <cellStyle name="Énfasis2 13" xfId="532"/>
    <cellStyle name="Énfasis2 14" xfId="533"/>
    <cellStyle name="Énfasis2 15" xfId="534"/>
    <cellStyle name="Énfasis2 16" xfId="535"/>
    <cellStyle name="Énfasis2 17" xfId="536"/>
    <cellStyle name="Énfasis2 18" xfId="537"/>
    <cellStyle name="Énfasis2 19" xfId="538"/>
    <cellStyle name="Énfasis2 2" xfId="539"/>
    <cellStyle name="Énfasis2 20" xfId="540"/>
    <cellStyle name="Énfasis2 21" xfId="541"/>
    <cellStyle name="Énfasis2 22" xfId="542"/>
    <cellStyle name="Énfasis2 23" xfId="543"/>
    <cellStyle name="Énfasis2 3" xfId="544"/>
    <cellStyle name="Énfasis2 4" xfId="545"/>
    <cellStyle name="Énfasis2 5" xfId="546"/>
    <cellStyle name="Énfasis2 6" xfId="547"/>
    <cellStyle name="Énfasis2 7" xfId="548"/>
    <cellStyle name="Énfasis2 8" xfId="549"/>
    <cellStyle name="Énfasis2 9" xfId="550"/>
    <cellStyle name="Énfasis3 10" xfId="551"/>
    <cellStyle name="Énfasis3 11" xfId="552"/>
    <cellStyle name="Énfasis3 12" xfId="553"/>
    <cellStyle name="Énfasis3 13" xfId="554"/>
    <cellStyle name="Énfasis3 14" xfId="555"/>
    <cellStyle name="Énfasis3 15" xfId="556"/>
    <cellStyle name="Énfasis3 16" xfId="557"/>
    <cellStyle name="Énfasis3 17" xfId="558"/>
    <cellStyle name="Énfasis3 18" xfId="559"/>
    <cellStyle name="Énfasis3 19" xfId="560"/>
    <cellStyle name="Énfasis3 2" xfId="561"/>
    <cellStyle name="Énfasis3 20" xfId="562"/>
    <cellStyle name="Énfasis3 21" xfId="563"/>
    <cellStyle name="Énfasis3 22" xfId="564"/>
    <cellStyle name="Énfasis3 23" xfId="565"/>
    <cellStyle name="Énfasis3 3" xfId="566"/>
    <cellStyle name="Énfasis3 4" xfId="567"/>
    <cellStyle name="Énfasis3 5" xfId="568"/>
    <cellStyle name="Énfasis3 6" xfId="569"/>
    <cellStyle name="Énfasis3 7" xfId="570"/>
    <cellStyle name="Énfasis3 8" xfId="571"/>
    <cellStyle name="Énfasis3 9" xfId="572"/>
    <cellStyle name="Énfasis4 10" xfId="573"/>
    <cellStyle name="Énfasis4 11" xfId="574"/>
    <cellStyle name="Énfasis4 12" xfId="575"/>
    <cellStyle name="Énfasis4 13" xfId="576"/>
    <cellStyle name="Énfasis4 14" xfId="577"/>
    <cellStyle name="Énfasis4 15" xfId="578"/>
    <cellStyle name="Énfasis4 16" xfId="579"/>
    <cellStyle name="Énfasis4 17" xfId="580"/>
    <cellStyle name="Énfasis4 18" xfId="581"/>
    <cellStyle name="Énfasis4 19" xfId="582"/>
    <cellStyle name="Énfasis4 2" xfId="583"/>
    <cellStyle name="Énfasis4 20" xfId="584"/>
    <cellStyle name="Énfasis4 21" xfId="585"/>
    <cellStyle name="Énfasis4 22" xfId="586"/>
    <cellStyle name="Énfasis4 23" xfId="587"/>
    <cellStyle name="Énfasis4 3" xfId="588"/>
    <cellStyle name="Énfasis4 4" xfId="589"/>
    <cellStyle name="Énfasis4 5" xfId="590"/>
    <cellStyle name="Énfasis4 6" xfId="591"/>
    <cellStyle name="Énfasis4 7" xfId="592"/>
    <cellStyle name="Énfasis4 8" xfId="593"/>
    <cellStyle name="Énfasis4 9" xfId="594"/>
    <cellStyle name="Énfasis5 10" xfId="595"/>
    <cellStyle name="Énfasis5 11" xfId="596"/>
    <cellStyle name="Énfasis5 12" xfId="597"/>
    <cellStyle name="Énfasis5 13" xfId="598"/>
    <cellStyle name="Énfasis5 14" xfId="599"/>
    <cellStyle name="Énfasis5 15" xfId="600"/>
    <cellStyle name="Énfasis5 16" xfId="601"/>
    <cellStyle name="Énfasis5 17" xfId="602"/>
    <cellStyle name="Énfasis5 18" xfId="603"/>
    <cellStyle name="Énfasis5 19" xfId="604"/>
    <cellStyle name="Énfasis5 2" xfId="605"/>
    <cellStyle name="Énfasis5 20" xfId="606"/>
    <cellStyle name="Énfasis5 21" xfId="607"/>
    <cellStyle name="Énfasis5 22" xfId="608"/>
    <cellStyle name="Énfasis5 23" xfId="609"/>
    <cellStyle name="Énfasis5 3" xfId="610"/>
    <cellStyle name="Énfasis5 4" xfId="611"/>
    <cellStyle name="Énfasis5 5" xfId="612"/>
    <cellStyle name="Énfasis5 6" xfId="613"/>
    <cellStyle name="Énfasis5 7" xfId="614"/>
    <cellStyle name="Énfasis5 8" xfId="615"/>
    <cellStyle name="Énfasis5 9" xfId="616"/>
    <cellStyle name="Énfasis6 10" xfId="617"/>
    <cellStyle name="Énfasis6 11" xfId="618"/>
    <cellStyle name="Énfasis6 12" xfId="619"/>
    <cellStyle name="Énfasis6 13" xfId="620"/>
    <cellStyle name="Énfasis6 14" xfId="621"/>
    <cellStyle name="Énfasis6 15" xfId="622"/>
    <cellStyle name="Énfasis6 16" xfId="623"/>
    <cellStyle name="Énfasis6 17" xfId="624"/>
    <cellStyle name="Énfasis6 18" xfId="625"/>
    <cellStyle name="Énfasis6 19" xfId="626"/>
    <cellStyle name="Énfasis6 2" xfId="627"/>
    <cellStyle name="Énfasis6 20" xfId="628"/>
    <cellStyle name="Énfasis6 21" xfId="629"/>
    <cellStyle name="Énfasis6 22" xfId="630"/>
    <cellStyle name="Énfasis6 23" xfId="631"/>
    <cellStyle name="Énfasis6 3" xfId="632"/>
    <cellStyle name="Énfasis6 4" xfId="633"/>
    <cellStyle name="Énfasis6 5" xfId="634"/>
    <cellStyle name="Énfasis6 6" xfId="635"/>
    <cellStyle name="Énfasis6 7" xfId="636"/>
    <cellStyle name="Énfasis6 8" xfId="637"/>
    <cellStyle name="Énfasis6 9" xfId="638"/>
    <cellStyle name="Entrada 10" xfId="639"/>
    <cellStyle name="Entrada 11" xfId="640"/>
    <cellStyle name="Entrada 12" xfId="641"/>
    <cellStyle name="Entrada 13" xfId="642"/>
    <cellStyle name="Entrada 14" xfId="643"/>
    <cellStyle name="Entrada 15" xfId="644"/>
    <cellStyle name="Entrada 16" xfId="645"/>
    <cellStyle name="Entrada 17" xfId="646"/>
    <cellStyle name="Entrada 18" xfId="647"/>
    <cellStyle name="Entrada 19" xfId="648"/>
    <cellStyle name="Entrada 2" xfId="649"/>
    <cellStyle name="Entrada 20" xfId="650"/>
    <cellStyle name="Entrada 21" xfId="651"/>
    <cellStyle name="Entrada 22" xfId="652"/>
    <cellStyle name="Entrada 23" xfId="653"/>
    <cellStyle name="Entrada 3" xfId="654"/>
    <cellStyle name="Entrada 4" xfId="655"/>
    <cellStyle name="Entrada 5" xfId="656"/>
    <cellStyle name="Entrada 6" xfId="657"/>
    <cellStyle name="Entrada 7" xfId="658"/>
    <cellStyle name="Entrada 8" xfId="659"/>
    <cellStyle name="Entrada 9" xfId="660"/>
    <cellStyle name="Estilo 1" xfId="661"/>
    <cellStyle name="Estilo 1 2" xfId="662"/>
    <cellStyle name="Incorrecto 10" xfId="663"/>
    <cellStyle name="Incorrecto 11" xfId="664"/>
    <cellStyle name="Incorrecto 12" xfId="665"/>
    <cellStyle name="Incorrecto 13" xfId="666"/>
    <cellStyle name="Incorrecto 14" xfId="667"/>
    <cellStyle name="Incorrecto 15" xfId="668"/>
    <cellStyle name="Incorrecto 16" xfId="669"/>
    <cellStyle name="Incorrecto 17" xfId="670"/>
    <cellStyle name="Incorrecto 18" xfId="671"/>
    <cellStyle name="Incorrecto 19" xfId="672"/>
    <cellStyle name="Incorrecto 2" xfId="673"/>
    <cellStyle name="Incorrecto 20" xfId="674"/>
    <cellStyle name="Incorrecto 21" xfId="675"/>
    <cellStyle name="Incorrecto 22" xfId="676"/>
    <cellStyle name="Incorrecto 23" xfId="677"/>
    <cellStyle name="Incorrecto 3" xfId="678"/>
    <cellStyle name="Incorrecto 4" xfId="679"/>
    <cellStyle name="Incorrecto 5" xfId="680"/>
    <cellStyle name="Incorrecto 6" xfId="681"/>
    <cellStyle name="Incorrecto 7" xfId="682"/>
    <cellStyle name="Incorrecto 8" xfId="683"/>
    <cellStyle name="Incorrecto 9" xfId="684"/>
    <cellStyle name="Millares" xfId="685" builtinId="3"/>
    <cellStyle name="Millares [0]" xfId="1015" builtinId="6"/>
    <cellStyle name="Millares [0] 2" xfId="1017"/>
    <cellStyle name="Millares 2" xfId="1012"/>
    <cellStyle name="Millares 2 10" xfId="686"/>
    <cellStyle name="Millares 2 11" xfId="687"/>
    <cellStyle name="Millares 2 12" xfId="688"/>
    <cellStyle name="Millares 2 13" xfId="689"/>
    <cellStyle name="Millares 2 14" xfId="690"/>
    <cellStyle name="Millares 2 15" xfId="691"/>
    <cellStyle name="Millares 2 16" xfId="692"/>
    <cellStyle name="Millares 2 17" xfId="693"/>
    <cellStyle name="Millares 2 18" xfId="694"/>
    <cellStyle name="Millares 2 19" xfId="695"/>
    <cellStyle name="Millares 2 2" xfId="696"/>
    <cellStyle name="Millares 2 20" xfId="697"/>
    <cellStyle name="Millares 2 21" xfId="698"/>
    <cellStyle name="Millares 2 22" xfId="699"/>
    <cellStyle name="Millares 2 23" xfId="700"/>
    <cellStyle name="Millares 2 3" xfId="701"/>
    <cellStyle name="Millares 2 4" xfId="702"/>
    <cellStyle name="Millares 2 5" xfId="703"/>
    <cellStyle name="Millares 2 6" xfId="704"/>
    <cellStyle name="Millares 2 7" xfId="705"/>
    <cellStyle name="Millares 2 8" xfId="706"/>
    <cellStyle name="Millares 2 9" xfId="707"/>
    <cellStyle name="Millares 3" xfId="708"/>
    <cellStyle name="Millares 3 2" xfId="709"/>
    <cellStyle name="Millares 3 3" xfId="710"/>
    <cellStyle name="Millares 5" xfId="711"/>
    <cellStyle name="Millares 7" xfId="1013"/>
    <cellStyle name="Neutral 10" xfId="712"/>
    <cellStyle name="Neutral 11" xfId="713"/>
    <cellStyle name="Neutral 12" xfId="714"/>
    <cellStyle name="Neutral 13" xfId="715"/>
    <cellStyle name="Neutral 14" xfId="716"/>
    <cellStyle name="Neutral 15" xfId="717"/>
    <cellStyle name="Neutral 16" xfId="718"/>
    <cellStyle name="Neutral 17" xfId="719"/>
    <cellStyle name="Neutral 18" xfId="720"/>
    <cellStyle name="Neutral 19" xfId="721"/>
    <cellStyle name="Neutral 2" xfId="722"/>
    <cellStyle name="Neutral 20" xfId="723"/>
    <cellStyle name="Neutral 21" xfId="724"/>
    <cellStyle name="Neutral 22" xfId="725"/>
    <cellStyle name="Neutral 23" xfId="726"/>
    <cellStyle name="Neutral 3" xfId="727"/>
    <cellStyle name="Neutral 4" xfId="728"/>
    <cellStyle name="Neutral 5" xfId="729"/>
    <cellStyle name="Neutral 6" xfId="730"/>
    <cellStyle name="Neutral 7" xfId="731"/>
    <cellStyle name="Neutral 8" xfId="732"/>
    <cellStyle name="Neutral 9" xfId="733"/>
    <cellStyle name="Normal" xfId="0" builtinId="0"/>
    <cellStyle name="Normal 10" xfId="734"/>
    <cellStyle name="Normal 2 10" xfId="735"/>
    <cellStyle name="Normal 2 11" xfId="736"/>
    <cellStyle name="Normal 2 12" xfId="737"/>
    <cellStyle name="Normal 2 13" xfId="738"/>
    <cellStyle name="Normal 2 14" xfId="739"/>
    <cellStyle name="Normal 2 15" xfId="740"/>
    <cellStyle name="Normal 2 16" xfId="741"/>
    <cellStyle name="Normal 2 17" xfId="742"/>
    <cellStyle name="Normal 2 18" xfId="743"/>
    <cellStyle name="Normal 2 19" xfId="744"/>
    <cellStyle name="Normal 2 2" xfId="745"/>
    <cellStyle name="Normal 2 20" xfId="746"/>
    <cellStyle name="Normal 2 21" xfId="747"/>
    <cellStyle name="Normal 2 22" xfId="748"/>
    <cellStyle name="Normal 2 23" xfId="749"/>
    <cellStyle name="Normal 2 24" xfId="750"/>
    <cellStyle name="Normal 2 25" xfId="751"/>
    <cellStyle name="Normal 2 3" xfId="752"/>
    <cellStyle name="Normal 2 4" xfId="753"/>
    <cellStyle name="Normal 2 5" xfId="754"/>
    <cellStyle name="Normal 2 6" xfId="755"/>
    <cellStyle name="Normal 2 6 2" xfId="1014"/>
    <cellStyle name="Normal 2 7" xfId="756"/>
    <cellStyle name="Normal 2 8" xfId="757"/>
    <cellStyle name="Normal 2 9" xfId="758"/>
    <cellStyle name="Normal 3" xfId="1018"/>
    <cellStyle name="Normal 3 10" xfId="759"/>
    <cellStyle name="Normal 3 11" xfId="760"/>
    <cellStyle name="Normal 3 12" xfId="761"/>
    <cellStyle name="Normal 3 13" xfId="762"/>
    <cellStyle name="Normal 3 14" xfId="763"/>
    <cellStyle name="Normal 3 15" xfId="764"/>
    <cellStyle name="Normal 3 16" xfId="765"/>
    <cellStyle name="Normal 3 17" xfId="766"/>
    <cellStyle name="Normal 3 18" xfId="767"/>
    <cellStyle name="Normal 3 19" xfId="768"/>
    <cellStyle name="Normal 3 2" xfId="769"/>
    <cellStyle name="Normal 3 20" xfId="770"/>
    <cellStyle name="Normal 3 21" xfId="771"/>
    <cellStyle name="Normal 3 22" xfId="772"/>
    <cellStyle name="Normal 3 23" xfId="773"/>
    <cellStyle name="Normal 3 24" xfId="774"/>
    <cellStyle name="Normal 3 3" xfId="775"/>
    <cellStyle name="Normal 3 4" xfId="776"/>
    <cellStyle name="Normal 3 5" xfId="777"/>
    <cellStyle name="Normal 3 6" xfId="778"/>
    <cellStyle name="Normal 3 7" xfId="779"/>
    <cellStyle name="Normal 3 8" xfId="780"/>
    <cellStyle name="Normal 3 9" xfId="781"/>
    <cellStyle name="Normal 4" xfId="782"/>
    <cellStyle name="Normal 4 10" xfId="783"/>
    <cellStyle name="Normal 4 11" xfId="784"/>
    <cellStyle name="Normal 4 12" xfId="785"/>
    <cellStyle name="Normal 4 13" xfId="786"/>
    <cellStyle name="Normal 4 14" xfId="787"/>
    <cellStyle name="Normal 4 15" xfId="788"/>
    <cellStyle name="Normal 4 16" xfId="789"/>
    <cellStyle name="Normal 4 17" xfId="790"/>
    <cellStyle name="Normal 4 18" xfId="791"/>
    <cellStyle name="Normal 4 19" xfId="792"/>
    <cellStyle name="Normal 4 2" xfId="793"/>
    <cellStyle name="Normal 4 20" xfId="794"/>
    <cellStyle name="Normal 4 21" xfId="795"/>
    <cellStyle name="Normal 4 22" xfId="796"/>
    <cellStyle name="Normal 4 23" xfId="797"/>
    <cellStyle name="Normal 4 3" xfId="798"/>
    <cellStyle name="Normal 4 4" xfId="799"/>
    <cellStyle name="Normal 4 5" xfId="800"/>
    <cellStyle name="Normal 4 6" xfId="801"/>
    <cellStyle name="Normal 4 7" xfId="802"/>
    <cellStyle name="Normal 4 8" xfId="803"/>
    <cellStyle name="Normal 4 9" xfId="804"/>
    <cellStyle name="Normal 5" xfId="805"/>
    <cellStyle name="Normal 5 2" xfId="1016"/>
    <cellStyle name="Normal 6" xfId="806"/>
    <cellStyle name="Normal 7" xfId="807"/>
    <cellStyle name="Normal 8" xfId="808"/>
    <cellStyle name="Normal 9" xfId="809"/>
    <cellStyle name="Normal_Hoja2" xfId="810"/>
    <cellStyle name="Normal_Hoja5" xfId="811"/>
    <cellStyle name="Normal_Hoja7" xfId="812"/>
    <cellStyle name="Notas 10" xfId="813"/>
    <cellStyle name="Notas 11" xfId="814"/>
    <cellStyle name="Notas 12" xfId="815"/>
    <cellStyle name="Notas 13" xfId="816"/>
    <cellStyle name="Notas 14" xfId="817"/>
    <cellStyle name="Notas 15" xfId="818"/>
    <cellStyle name="Notas 16" xfId="819"/>
    <cellStyle name="Notas 17" xfId="820"/>
    <cellStyle name="Notas 18" xfId="821"/>
    <cellStyle name="Notas 19" xfId="822"/>
    <cellStyle name="Notas 2" xfId="823"/>
    <cellStyle name="Notas 20" xfId="824"/>
    <cellStyle name="Notas 21" xfId="825"/>
    <cellStyle name="Notas 22" xfId="826"/>
    <cellStyle name="Notas 23" xfId="827"/>
    <cellStyle name="Notas 3" xfId="828"/>
    <cellStyle name="Notas 4" xfId="829"/>
    <cellStyle name="Notas 5" xfId="830"/>
    <cellStyle name="Notas 6" xfId="831"/>
    <cellStyle name="Notas 7" xfId="832"/>
    <cellStyle name="Notas 8" xfId="833"/>
    <cellStyle name="Notas 9" xfId="834"/>
    <cellStyle name="Porcentaje" xfId="835" builtinId="5"/>
    <cellStyle name="Salida 10" xfId="836"/>
    <cellStyle name="Salida 11" xfId="837"/>
    <cellStyle name="Salida 12" xfId="838"/>
    <cellStyle name="Salida 13" xfId="839"/>
    <cellStyle name="Salida 14" xfId="840"/>
    <cellStyle name="Salida 15" xfId="841"/>
    <cellStyle name="Salida 16" xfId="842"/>
    <cellStyle name="Salida 17" xfId="843"/>
    <cellStyle name="Salida 18" xfId="844"/>
    <cellStyle name="Salida 19" xfId="845"/>
    <cellStyle name="Salida 2" xfId="846"/>
    <cellStyle name="Salida 20" xfId="847"/>
    <cellStyle name="Salida 21" xfId="848"/>
    <cellStyle name="Salida 22" xfId="849"/>
    <cellStyle name="Salida 23" xfId="850"/>
    <cellStyle name="Salida 3" xfId="851"/>
    <cellStyle name="Salida 4" xfId="852"/>
    <cellStyle name="Salida 5" xfId="853"/>
    <cellStyle name="Salida 6" xfId="854"/>
    <cellStyle name="Salida 7" xfId="855"/>
    <cellStyle name="Salida 8" xfId="856"/>
    <cellStyle name="Salida 9" xfId="857"/>
    <cellStyle name="Texto de advertencia 10" xfId="858"/>
    <cellStyle name="Texto de advertencia 11" xfId="859"/>
    <cellStyle name="Texto de advertencia 12" xfId="860"/>
    <cellStyle name="Texto de advertencia 13" xfId="861"/>
    <cellStyle name="Texto de advertencia 14" xfId="862"/>
    <cellStyle name="Texto de advertencia 15" xfId="863"/>
    <cellStyle name="Texto de advertencia 16" xfId="864"/>
    <cellStyle name="Texto de advertencia 17" xfId="865"/>
    <cellStyle name="Texto de advertencia 18" xfId="866"/>
    <cellStyle name="Texto de advertencia 19" xfId="867"/>
    <cellStyle name="Texto de advertencia 2" xfId="868"/>
    <cellStyle name="Texto de advertencia 20" xfId="869"/>
    <cellStyle name="Texto de advertencia 21" xfId="870"/>
    <cellStyle name="Texto de advertencia 22" xfId="871"/>
    <cellStyle name="Texto de advertencia 23" xfId="872"/>
    <cellStyle name="Texto de advertencia 3" xfId="873"/>
    <cellStyle name="Texto de advertencia 4" xfId="874"/>
    <cellStyle name="Texto de advertencia 5" xfId="875"/>
    <cellStyle name="Texto de advertencia 6" xfId="876"/>
    <cellStyle name="Texto de advertencia 7" xfId="877"/>
    <cellStyle name="Texto de advertencia 8" xfId="878"/>
    <cellStyle name="Texto de advertencia 9" xfId="879"/>
    <cellStyle name="Texto explicativo 10" xfId="880"/>
    <cellStyle name="Texto explicativo 11" xfId="881"/>
    <cellStyle name="Texto explicativo 12" xfId="882"/>
    <cellStyle name="Texto explicativo 13" xfId="883"/>
    <cellStyle name="Texto explicativo 14" xfId="884"/>
    <cellStyle name="Texto explicativo 15" xfId="885"/>
    <cellStyle name="Texto explicativo 16" xfId="886"/>
    <cellStyle name="Texto explicativo 17" xfId="887"/>
    <cellStyle name="Texto explicativo 18" xfId="888"/>
    <cellStyle name="Texto explicativo 19" xfId="889"/>
    <cellStyle name="Texto explicativo 2" xfId="890"/>
    <cellStyle name="Texto explicativo 20" xfId="891"/>
    <cellStyle name="Texto explicativo 21" xfId="892"/>
    <cellStyle name="Texto explicativo 22" xfId="893"/>
    <cellStyle name="Texto explicativo 23" xfId="894"/>
    <cellStyle name="Texto explicativo 3" xfId="895"/>
    <cellStyle name="Texto explicativo 4" xfId="896"/>
    <cellStyle name="Texto explicativo 5" xfId="897"/>
    <cellStyle name="Texto explicativo 6" xfId="898"/>
    <cellStyle name="Texto explicativo 7" xfId="899"/>
    <cellStyle name="Texto explicativo 8" xfId="900"/>
    <cellStyle name="Texto explicativo 9" xfId="901"/>
    <cellStyle name="Título 1 10" xfId="902"/>
    <cellStyle name="Título 1 11" xfId="903"/>
    <cellStyle name="Título 1 12" xfId="904"/>
    <cellStyle name="Título 1 13" xfId="905"/>
    <cellStyle name="Título 1 14" xfId="906"/>
    <cellStyle name="Título 1 15" xfId="907"/>
    <cellStyle name="Título 1 16" xfId="908"/>
    <cellStyle name="Título 1 17" xfId="909"/>
    <cellStyle name="Título 1 18" xfId="910"/>
    <cellStyle name="Título 1 19" xfId="911"/>
    <cellStyle name="Título 1 2" xfId="912"/>
    <cellStyle name="Título 1 20" xfId="913"/>
    <cellStyle name="Título 1 21" xfId="914"/>
    <cellStyle name="Título 1 22" xfId="915"/>
    <cellStyle name="Título 1 23" xfId="916"/>
    <cellStyle name="Título 1 3" xfId="917"/>
    <cellStyle name="Título 1 4" xfId="918"/>
    <cellStyle name="Título 1 5" xfId="919"/>
    <cellStyle name="Título 1 6" xfId="920"/>
    <cellStyle name="Título 1 7" xfId="921"/>
    <cellStyle name="Título 1 8" xfId="922"/>
    <cellStyle name="Título 1 9" xfId="923"/>
    <cellStyle name="Título 10" xfId="924"/>
    <cellStyle name="Título 11" xfId="925"/>
    <cellStyle name="Título 12" xfId="926"/>
    <cellStyle name="Título 13" xfId="927"/>
    <cellStyle name="Título 14" xfId="928"/>
    <cellStyle name="Título 15" xfId="929"/>
    <cellStyle name="Título 16" xfId="930"/>
    <cellStyle name="Título 17" xfId="931"/>
    <cellStyle name="Título 18" xfId="932"/>
    <cellStyle name="Título 19" xfId="933"/>
    <cellStyle name="Título 2 10" xfId="934"/>
    <cellStyle name="Título 2 11" xfId="935"/>
    <cellStyle name="Título 2 12" xfId="936"/>
    <cellStyle name="Título 2 13" xfId="937"/>
    <cellStyle name="Título 2 14" xfId="938"/>
    <cellStyle name="Título 2 15" xfId="939"/>
    <cellStyle name="Título 2 16" xfId="940"/>
    <cellStyle name="Título 2 17" xfId="941"/>
    <cellStyle name="Título 2 18" xfId="942"/>
    <cellStyle name="Título 2 19" xfId="943"/>
    <cellStyle name="Título 2 2" xfId="944"/>
    <cellStyle name="Título 2 20" xfId="945"/>
    <cellStyle name="Título 2 21" xfId="946"/>
    <cellStyle name="Título 2 22" xfId="947"/>
    <cellStyle name="Título 2 23" xfId="948"/>
    <cellStyle name="Título 2 3" xfId="949"/>
    <cellStyle name="Título 2 4" xfId="950"/>
    <cellStyle name="Título 2 5" xfId="951"/>
    <cellStyle name="Título 2 6" xfId="952"/>
    <cellStyle name="Título 2 7" xfId="953"/>
    <cellStyle name="Título 2 8" xfId="954"/>
    <cellStyle name="Título 2 9" xfId="955"/>
    <cellStyle name="Título 20" xfId="956"/>
    <cellStyle name="Título 21" xfId="957"/>
    <cellStyle name="Título 22" xfId="958"/>
    <cellStyle name="Título 23" xfId="959"/>
    <cellStyle name="Título 24" xfId="960"/>
    <cellStyle name="Título 25" xfId="961"/>
    <cellStyle name="Título 3 10" xfId="962"/>
    <cellStyle name="Título 3 11" xfId="963"/>
    <cellStyle name="Título 3 12" xfId="964"/>
    <cellStyle name="Título 3 13" xfId="965"/>
    <cellStyle name="Título 3 14" xfId="966"/>
    <cellStyle name="Título 3 15" xfId="967"/>
    <cellStyle name="Título 3 16" xfId="968"/>
    <cellStyle name="Título 3 17" xfId="969"/>
    <cellStyle name="Título 3 18" xfId="970"/>
    <cellStyle name="Título 3 19" xfId="971"/>
    <cellStyle name="Título 3 2" xfId="972"/>
    <cellStyle name="Título 3 20" xfId="973"/>
    <cellStyle name="Título 3 21" xfId="974"/>
    <cellStyle name="Título 3 22" xfId="975"/>
    <cellStyle name="Título 3 23" xfId="976"/>
    <cellStyle name="Título 3 3" xfId="977"/>
    <cellStyle name="Título 3 4" xfId="978"/>
    <cellStyle name="Título 3 5" xfId="979"/>
    <cellStyle name="Título 3 6" xfId="980"/>
    <cellStyle name="Título 3 7" xfId="981"/>
    <cellStyle name="Título 3 8" xfId="982"/>
    <cellStyle name="Título 3 9" xfId="983"/>
    <cellStyle name="Título 4" xfId="984"/>
    <cellStyle name="Título 5" xfId="985"/>
    <cellStyle name="Título 6" xfId="986"/>
    <cellStyle name="Título 7" xfId="987"/>
    <cellStyle name="Título 8" xfId="988"/>
    <cellStyle name="Título 9" xfId="989"/>
    <cellStyle name="Total 10" xfId="990"/>
    <cellStyle name="Total 11" xfId="991"/>
    <cellStyle name="Total 12" xfId="992"/>
    <cellStyle name="Total 13" xfId="993"/>
    <cellStyle name="Total 14" xfId="994"/>
    <cellStyle name="Total 15" xfId="995"/>
    <cellStyle name="Total 16" xfId="996"/>
    <cellStyle name="Total 17" xfId="997"/>
    <cellStyle name="Total 18" xfId="998"/>
    <cellStyle name="Total 19" xfId="999"/>
    <cellStyle name="Total 2" xfId="1000"/>
    <cellStyle name="Total 20" xfId="1001"/>
    <cellStyle name="Total 21" xfId="1002"/>
    <cellStyle name="Total 22" xfId="1003"/>
    <cellStyle name="Total 23" xfId="1004"/>
    <cellStyle name="Total 3" xfId="1005"/>
    <cellStyle name="Total 4" xfId="1006"/>
    <cellStyle name="Total 5" xfId="1007"/>
    <cellStyle name="Total 6" xfId="1008"/>
    <cellStyle name="Total 7" xfId="1009"/>
    <cellStyle name="Total 8" xfId="1010"/>
    <cellStyle name="Total 9" xfId="101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17</xdr:col>
      <xdr:colOff>885263</xdr:colOff>
      <xdr:row>6</xdr:row>
      <xdr:rowOff>169486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15267453" cy="1301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11208</xdr:colOff>
      <xdr:row>0</xdr:row>
      <xdr:rowOff>0</xdr:rowOff>
    </xdr:from>
    <xdr:to>
      <xdr:col>26</xdr:col>
      <xdr:colOff>683559</xdr:colOff>
      <xdr:row>8</xdr:row>
      <xdr:rowOff>33617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8" y="0"/>
          <a:ext cx="16685557" cy="1862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16</xdr:col>
      <xdr:colOff>179292</xdr:colOff>
      <xdr:row>6</xdr:row>
      <xdr:rowOff>169486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15268013" cy="1301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DOC~1\DEPTOS~1\unzipped\stder\DRMUNAR\MUNICIPIO%20DE%20CIPA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una/Configuraci&#243;n%20local/Archivos%20temporales%20de%20Internet/Content.IE5/VHLQZD4O/PRESUPUESTO%202014/ANEXOS%20PROYECTO%20ORDENANZA%202014%20VERSION%20-6%20ARREGLADO%20OSKAR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ódulo Imp."/>
      <sheetName val="Módulo General"/>
      <sheetName val="Diálogo"/>
      <sheetName val="Módulo Diálogo"/>
      <sheetName val="DECIS"/>
      <sheetName val="ANEX. FIN."/>
      <sheetName val="SERDEUDA"/>
      <sheetName val="PROYEC"/>
      <sheetName val="FIRMAS"/>
      <sheetName val="MUNICIPIO DE CIPATA"/>
    </sheetNames>
    <definedNames>
      <definedName name="AGRICULTURA"/>
      <definedName name="FELIX"/>
      <definedName name="INGRES"/>
      <definedName name="MENSAJE"/>
      <definedName name="MENSAJE2"/>
      <definedName name="MENSAJE3"/>
    </definedNames>
    <sheetDataSet>
      <sheetData sheetId="0" refreshError="1"/>
      <sheetData sheetId="1"/>
      <sheetData sheetId="2" refreshError="1"/>
      <sheetData sheetId="3">
        <row r="3">
          <cell r="F3" t="str">
            <v>MUNICIPIO DE CEPITA (SANTANDER)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 ADM CENTRAL SALUD EDUC 2014"/>
      <sheetName val="GTOS ADMON-SALUD EDUC -2014"/>
      <sheetName val="ING EST. PUB.-2014"/>
      <sheetName val="GTOS ESTAB. PUB - 2014"/>
      <sheetName val="RESUMEN INGRESOS 2014 ADM CENTR"/>
      <sheetName val="RESUMEN  GASTOS  2014 ADM CENTR"/>
      <sheetName val="RESUMEN  GASTOS  2014 ESTABLECI"/>
      <sheetName val="RESUMEN INGRESOS 2014 ESTABLECI"/>
      <sheetName val="GTOS ASAMB Y CONTRALOR 2014"/>
      <sheetName val="DECIS"/>
    </sheetNames>
    <sheetDataSet>
      <sheetData sheetId="0"/>
      <sheetData sheetId="1">
        <row r="612">
          <cell r="C612">
            <v>154616000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AC1035"/>
  <sheetViews>
    <sheetView zoomScale="85" zoomScaleNormal="85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D1007" sqref="AD1007"/>
    </sheetView>
  </sheetViews>
  <sheetFormatPr baseColWidth="10" defaultColWidth="11.42578125" defaultRowHeight="15" x14ac:dyDescent="0.2"/>
  <cols>
    <col min="1" max="1" width="0.140625" style="396" customWidth="1"/>
    <col min="2" max="2" width="29.28515625" style="22" customWidth="1"/>
    <col min="3" max="3" width="48.28515625" style="1" customWidth="1"/>
    <col min="4" max="4" width="25.85546875" style="326" customWidth="1"/>
    <col min="5" max="5" width="24.140625" style="186" bestFit="1" customWidth="1"/>
    <col min="6" max="7" width="21" style="125" bestFit="1" customWidth="1"/>
    <col min="8" max="8" width="21.7109375" style="125" customWidth="1"/>
    <col min="9" max="9" width="24.140625" style="125" hidden="1" customWidth="1"/>
    <col min="10" max="10" width="22.140625" style="125" hidden="1" customWidth="1"/>
    <col min="11" max="11" width="24.28515625" style="125" bestFit="1" customWidth="1"/>
    <col min="12" max="16" width="24.85546875" style="125" hidden="1" customWidth="1"/>
    <col min="17" max="17" width="20.42578125" style="404" hidden="1" customWidth="1"/>
    <col min="18" max="19" width="24.85546875" style="125" bestFit="1" customWidth="1"/>
    <col min="20" max="24" width="22.7109375" style="125" hidden="1" customWidth="1"/>
    <col min="25" max="25" width="20" style="125" customWidth="1"/>
    <col min="26" max="26" width="24" style="125" hidden="1" customWidth="1"/>
    <col min="27" max="27" width="24.140625" style="125" hidden="1" customWidth="1"/>
    <col min="28" max="28" width="23.85546875" style="125" customWidth="1"/>
    <col min="29" max="29" width="10" style="172" bestFit="1" customWidth="1"/>
    <col min="30" max="16384" width="11.42578125" style="1"/>
  </cols>
  <sheetData>
    <row r="7" spans="1:29" ht="15.75" thickBot="1" x14ac:dyDescent="0.25"/>
    <row r="8" spans="1:29" ht="35.25" customHeight="1" thickBot="1" x14ac:dyDescent="0.25">
      <c r="A8" s="15" t="s">
        <v>35</v>
      </c>
      <c r="B8" s="467" t="s">
        <v>1888</v>
      </c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468"/>
      <c r="R8" s="468"/>
      <c r="S8" s="468"/>
      <c r="T8" s="468"/>
      <c r="U8" s="468"/>
      <c r="V8" s="468"/>
      <c r="W8" s="468"/>
      <c r="X8" s="468"/>
      <c r="Y8" s="468"/>
      <c r="Z8" s="468"/>
      <c r="AA8" s="468"/>
      <c r="AB8" s="468"/>
      <c r="AC8" s="469"/>
    </row>
    <row r="9" spans="1:29" s="72" customFormat="1" x14ac:dyDescent="0.2">
      <c r="A9" s="71">
        <v>1</v>
      </c>
      <c r="B9" s="470" t="s">
        <v>40</v>
      </c>
      <c r="C9" s="470" t="s">
        <v>244</v>
      </c>
      <c r="D9" s="472" t="s">
        <v>243</v>
      </c>
      <c r="E9" s="474" t="s">
        <v>240</v>
      </c>
      <c r="F9" s="450" t="s">
        <v>241</v>
      </c>
      <c r="G9" s="450" t="s">
        <v>27</v>
      </c>
      <c r="H9" s="450" t="s">
        <v>28</v>
      </c>
      <c r="I9" s="450" t="s">
        <v>38</v>
      </c>
      <c r="J9" s="450" t="s">
        <v>379</v>
      </c>
      <c r="K9" s="450" t="s">
        <v>242</v>
      </c>
      <c r="L9" s="450" t="s">
        <v>4</v>
      </c>
      <c r="M9" s="450" t="s">
        <v>5</v>
      </c>
      <c r="N9" s="450" t="s">
        <v>6</v>
      </c>
      <c r="O9" s="450" t="s">
        <v>7</v>
      </c>
      <c r="P9" s="450" t="s">
        <v>8</v>
      </c>
      <c r="Q9" s="450" t="s">
        <v>39</v>
      </c>
      <c r="R9" s="450" t="s">
        <v>245</v>
      </c>
      <c r="S9" s="450" t="s">
        <v>11</v>
      </c>
      <c r="T9" s="450" t="s">
        <v>12</v>
      </c>
      <c r="U9" s="450" t="s">
        <v>13</v>
      </c>
      <c r="V9" s="450" t="s">
        <v>14</v>
      </c>
      <c r="W9" s="450" t="s">
        <v>15</v>
      </c>
      <c r="X9" s="450" t="s">
        <v>16</v>
      </c>
      <c r="Y9" s="450" t="s">
        <v>50</v>
      </c>
      <c r="Z9" s="450" t="s">
        <v>51</v>
      </c>
      <c r="AA9" s="450" t="s">
        <v>248</v>
      </c>
      <c r="AB9" s="450" t="s">
        <v>246</v>
      </c>
      <c r="AC9" s="457" t="s">
        <v>247</v>
      </c>
    </row>
    <row r="10" spans="1:29" s="152" customFormat="1" ht="15.75" thickBot="1" x14ac:dyDescent="0.25">
      <c r="A10" s="71">
        <v>1</v>
      </c>
      <c r="B10" s="471"/>
      <c r="C10" s="471"/>
      <c r="D10" s="473"/>
      <c r="E10" s="47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  <c r="AC10" s="458"/>
    </row>
    <row r="11" spans="1:29" s="170" customFormat="1" ht="19.5" x14ac:dyDescent="0.2">
      <c r="A11" s="224">
        <v>1</v>
      </c>
      <c r="B11" s="225" t="s">
        <v>382</v>
      </c>
      <c r="C11" s="226" t="s">
        <v>114</v>
      </c>
      <c r="D11" s="327">
        <f>+D12+D245</f>
        <v>707007905818</v>
      </c>
      <c r="E11" s="307">
        <f>SUM('ADICIONES  2021'!C11:I11)</f>
        <v>324396293021.59991</v>
      </c>
      <c r="F11" s="327">
        <f t="shared" ref="F11:J11" si="0">+F12+F245</f>
        <v>2634273900</v>
      </c>
      <c r="G11" s="327">
        <f t="shared" si="0"/>
        <v>350000000</v>
      </c>
      <c r="H11" s="327">
        <f t="shared" si="0"/>
        <v>2500000000</v>
      </c>
      <c r="I11" s="327">
        <f t="shared" si="0"/>
        <v>0</v>
      </c>
      <c r="J11" s="327">
        <f t="shared" si="0"/>
        <v>0</v>
      </c>
      <c r="K11" s="227">
        <f t="shared" ref="K11:K74" si="1">+D11+E11-F11+G11-H11</f>
        <v>1026619924939.5999</v>
      </c>
      <c r="L11" s="327">
        <f t="shared" ref="L11:Q11" si="2">+L12+L245</f>
        <v>62802238400.790802</v>
      </c>
      <c r="M11" s="327">
        <f t="shared" si="2"/>
        <v>58423450867.341599</v>
      </c>
      <c r="N11" s="327">
        <f t="shared" si="2"/>
        <v>70401016286.063797</v>
      </c>
      <c r="O11" s="327">
        <f t="shared" si="2"/>
        <v>51327542578.488396</v>
      </c>
      <c r="P11" s="327">
        <f t="shared" si="2"/>
        <v>191151139764.5152</v>
      </c>
      <c r="Q11" s="405">
        <f t="shared" si="2"/>
        <v>67443652601.886795</v>
      </c>
      <c r="R11" s="227">
        <f>SUM(L11:Q11)</f>
        <v>501549040499.08661</v>
      </c>
      <c r="S11" s="327">
        <f t="shared" ref="S11:Z11" si="3">+S12+S245</f>
        <v>47386734909.559204</v>
      </c>
      <c r="T11" s="327">
        <f t="shared" si="3"/>
        <v>0</v>
      </c>
      <c r="U11" s="327">
        <f t="shared" si="3"/>
        <v>0</v>
      </c>
      <c r="V11" s="327">
        <f t="shared" si="3"/>
        <v>0</v>
      </c>
      <c r="W11" s="327">
        <f t="shared" si="3"/>
        <v>0</v>
      </c>
      <c r="X11" s="327">
        <f t="shared" si="3"/>
        <v>0</v>
      </c>
      <c r="Y11" s="327">
        <f t="shared" si="3"/>
        <v>-526413195</v>
      </c>
      <c r="Z11" s="327">
        <f t="shared" si="3"/>
        <v>0</v>
      </c>
      <c r="AA11" s="227">
        <f>SUM(S11:Z11)</f>
        <v>46860321714.559204</v>
      </c>
      <c r="AB11" s="227">
        <f>+R11+AA11</f>
        <v>548409362213.64581</v>
      </c>
      <c r="AC11" s="228">
        <f>+AB11/K11</f>
        <v>0.53418928358117623</v>
      </c>
    </row>
    <row r="12" spans="1:29" s="170" customFormat="1" ht="19.5" x14ac:dyDescent="0.2">
      <c r="A12" s="224">
        <v>1</v>
      </c>
      <c r="B12" s="229" t="s">
        <v>383</v>
      </c>
      <c r="C12" s="230" t="s">
        <v>84</v>
      </c>
      <c r="D12" s="328">
        <f>+D13+D142</f>
        <v>582619008818</v>
      </c>
      <c r="E12" s="197">
        <f>SUM('ADICIONES  2021'!C12:I12)</f>
        <v>0</v>
      </c>
      <c r="F12" s="219">
        <f t="shared" ref="F12:J12" si="4">+F13+F142</f>
        <v>684211000</v>
      </c>
      <c r="G12" s="219">
        <f t="shared" si="4"/>
        <v>350000000</v>
      </c>
      <c r="H12" s="219">
        <f t="shared" si="4"/>
        <v>0</v>
      </c>
      <c r="I12" s="219">
        <f t="shared" si="4"/>
        <v>0</v>
      </c>
      <c r="J12" s="219">
        <f t="shared" si="4"/>
        <v>0</v>
      </c>
      <c r="K12" s="231">
        <f t="shared" si="1"/>
        <v>582284797818</v>
      </c>
      <c r="L12" s="219">
        <f t="shared" ref="L12:Q12" si="5">+L13+L142</f>
        <v>62367276215.010803</v>
      </c>
      <c r="M12" s="219">
        <f t="shared" si="5"/>
        <v>57824089436.351601</v>
      </c>
      <c r="N12" s="219">
        <f t="shared" si="5"/>
        <v>62329162730.733803</v>
      </c>
      <c r="O12" s="219">
        <f t="shared" si="5"/>
        <v>50508784969.118393</v>
      </c>
      <c r="P12" s="219">
        <f t="shared" si="5"/>
        <v>45843322928.315201</v>
      </c>
      <c r="Q12" s="406">
        <f t="shared" si="5"/>
        <v>52420895799.0168</v>
      </c>
      <c r="R12" s="231">
        <f>SUM(L12:Q12)</f>
        <v>331293532078.54657</v>
      </c>
      <c r="S12" s="219">
        <f t="shared" ref="S12:Z12" si="6">+S13+S142</f>
        <v>46848926824.759201</v>
      </c>
      <c r="T12" s="219">
        <f t="shared" si="6"/>
        <v>0</v>
      </c>
      <c r="U12" s="219">
        <f t="shared" si="6"/>
        <v>0</v>
      </c>
      <c r="V12" s="219">
        <f t="shared" si="6"/>
        <v>0</v>
      </c>
      <c r="W12" s="219">
        <f t="shared" si="6"/>
        <v>0</v>
      </c>
      <c r="X12" s="219">
        <f t="shared" si="6"/>
        <v>0</v>
      </c>
      <c r="Y12" s="219">
        <f t="shared" si="6"/>
        <v>-526413195</v>
      </c>
      <c r="Z12" s="219">
        <f t="shared" si="6"/>
        <v>0</v>
      </c>
      <c r="AA12" s="231">
        <f>SUM(S12:Z12)</f>
        <v>46322513629.759201</v>
      </c>
      <c r="AB12" s="231">
        <f>+R12+AA12</f>
        <v>377616045708.30579</v>
      </c>
      <c r="AC12" s="232">
        <f>+AB12/K12</f>
        <v>0.64850747799590358</v>
      </c>
    </row>
    <row r="13" spans="1:29" s="170" customFormat="1" ht="19.5" x14ac:dyDescent="0.2">
      <c r="A13" s="224">
        <v>1</v>
      </c>
      <c r="B13" s="229" t="s">
        <v>384</v>
      </c>
      <c r="C13" s="230" t="s">
        <v>124</v>
      </c>
      <c r="D13" s="328">
        <f>+D14+D30</f>
        <v>455859200000</v>
      </c>
      <c r="E13" s="197">
        <f>SUM('ADICIONES  2021'!C13:I13)</f>
        <v>0</v>
      </c>
      <c r="F13" s="219">
        <f t="shared" ref="F13:J13" si="7">+F14+F30</f>
        <v>0</v>
      </c>
      <c r="G13" s="219">
        <f t="shared" si="7"/>
        <v>350000000</v>
      </c>
      <c r="H13" s="219">
        <f t="shared" si="7"/>
        <v>0</v>
      </c>
      <c r="I13" s="219">
        <f t="shared" si="7"/>
        <v>0</v>
      </c>
      <c r="J13" s="219">
        <f t="shared" si="7"/>
        <v>0</v>
      </c>
      <c r="K13" s="231">
        <f t="shared" si="1"/>
        <v>456209200000</v>
      </c>
      <c r="L13" s="219">
        <f t="shared" ref="L13:Q13" si="8">+L14+L30</f>
        <v>50756265093.7808</v>
      </c>
      <c r="M13" s="219">
        <f t="shared" si="8"/>
        <v>46379196831.062401</v>
      </c>
      <c r="N13" s="219">
        <f t="shared" si="8"/>
        <v>49545698155.124802</v>
      </c>
      <c r="O13" s="219">
        <f t="shared" si="8"/>
        <v>40399733288.958397</v>
      </c>
      <c r="P13" s="219">
        <f t="shared" si="8"/>
        <v>34054135695.235199</v>
      </c>
      <c r="Q13" s="406">
        <f t="shared" si="8"/>
        <v>38808368131.676804</v>
      </c>
      <c r="R13" s="231">
        <f t="shared" ref="R13:R76" si="9">SUM(L13:Q13)</f>
        <v>259943397195.83844</v>
      </c>
      <c r="S13" s="219">
        <f t="shared" ref="S13:Z13" si="10">+S14+S30</f>
        <v>33399461059.579201</v>
      </c>
      <c r="T13" s="219">
        <f t="shared" si="10"/>
        <v>0</v>
      </c>
      <c r="U13" s="219">
        <f t="shared" si="10"/>
        <v>0</v>
      </c>
      <c r="V13" s="219">
        <f t="shared" si="10"/>
        <v>0</v>
      </c>
      <c r="W13" s="219">
        <f t="shared" si="10"/>
        <v>0</v>
      </c>
      <c r="X13" s="219">
        <f t="shared" si="10"/>
        <v>0</v>
      </c>
      <c r="Y13" s="219">
        <f t="shared" si="10"/>
        <v>-526413195</v>
      </c>
      <c r="Z13" s="219">
        <f t="shared" si="10"/>
        <v>0</v>
      </c>
      <c r="AA13" s="231">
        <f t="shared" ref="AA13:AA16" si="11">SUM(S13:Z13)</f>
        <v>32873047864.579201</v>
      </c>
      <c r="AB13" s="231">
        <f t="shared" ref="AB13:AB76" si="12">+R13+AA13</f>
        <v>292816445060.41766</v>
      </c>
      <c r="AC13" s="232">
        <f t="shared" ref="AC13:AC76" si="13">+AB13/K13</f>
        <v>0.64184686556171522</v>
      </c>
    </row>
    <row r="14" spans="1:29" s="63" customFormat="1" ht="19.5" x14ac:dyDescent="0.2">
      <c r="A14" s="397">
        <v>1</v>
      </c>
      <c r="B14" s="81" t="s">
        <v>385</v>
      </c>
      <c r="C14" s="79" t="s">
        <v>386</v>
      </c>
      <c r="D14" s="329">
        <f>+D15</f>
        <v>73750000000</v>
      </c>
      <c r="E14" s="306">
        <f>SUM('ADICIONES  2021'!C14:I14)</f>
        <v>0</v>
      </c>
      <c r="F14" s="223">
        <f t="shared" ref="F14:Z14" si="14">+F15</f>
        <v>0</v>
      </c>
      <c r="G14" s="223">
        <f t="shared" si="14"/>
        <v>0</v>
      </c>
      <c r="H14" s="223">
        <f t="shared" si="14"/>
        <v>0</v>
      </c>
      <c r="I14" s="223">
        <f t="shared" si="14"/>
        <v>0</v>
      </c>
      <c r="J14" s="223">
        <f t="shared" si="14"/>
        <v>0</v>
      </c>
      <c r="K14" s="78">
        <f t="shared" si="1"/>
        <v>73750000000</v>
      </c>
      <c r="L14" s="223">
        <f t="shared" si="14"/>
        <v>7045710279</v>
      </c>
      <c r="M14" s="223">
        <f t="shared" si="14"/>
        <v>10591392132</v>
      </c>
      <c r="N14" s="223">
        <f t="shared" si="14"/>
        <v>21843042324</v>
      </c>
      <c r="O14" s="223">
        <f t="shared" si="14"/>
        <v>9616536676</v>
      </c>
      <c r="P14" s="223">
        <f t="shared" si="14"/>
        <v>3967908499</v>
      </c>
      <c r="Q14" s="407">
        <f t="shared" si="14"/>
        <v>9155983000</v>
      </c>
      <c r="R14" s="78">
        <f t="shared" si="9"/>
        <v>62220572910</v>
      </c>
      <c r="S14" s="223">
        <f t="shared" si="14"/>
        <v>3806088859</v>
      </c>
      <c r="T14" s="223">
        <f t="shared" si="14"/>
        <v>0</v>
      </c>
      <c r="U14" s="223">
        <f t="shared" si="14"/>
        <v>0</v>
      </c>
      <c r="V14" s="223">
        <f t="shared" si="14"/>
        <v>0</v>
      </c>
      <c r="W14" s="223">
        <f t="shared" si="14"/>
        <v>0</v>
      </c>
      <c r="X14" s="223">
        <f t="shared" si="14"/>
        <v>0</v>
      </c>
      <c r="Y14" s="223">
        <f t="shared" si="14"/>
        <v>0</v>
      </c>
      <c r="Z14" s="223">
        <f t="shared" si="14"/>
        <v>0</v>
      </c>
      <c r="AA14" s="78">
        <f t="shared" si="11"/>
        <v>3806088859</v>
      </c>
      <c r="AB14" s="78">
        <f t="shared" si="12"/>
        <v>66026661769</v>
      </c>
      <c r="AC14" s="174">
        <f t="shared" si="13"/>
        <v>0.89527676974915249</v>
      </c>
    </row>
    <row r="15" spans="1:29" s="63" customFormat="1" ht="19.5" x14ac:dyDescent="0.2">
      <c r="A15" s="397">
        <v>1</v>
      </c>
      <c r="B15" s="81" t="s">
        <v>387</v>
      </c>
      <c r="C15" s="79" t="s">
        <v>168</v>
      </c>
      <c r="D15" s="329">
        <f>+D16+D23</f>
        <v>73750000000</v>
      </c>
      <c r="E15" s="306">
        <f>SUM('ADICIONES  2021'!C15:I15)</f>
        <v>0</v>
      </c>
      <c r="F15" s="223">
        <f t="shared" ref="F15:J15" si="15">+F16+F23</f>
        <v>0</v>
      </c>
      <c r="G15" s="223">
        <f t="shared" si="15"/>
        <v>0</v>
      </c>
      <c r="H15" s="223">
        <f t="shared" si="15"/>
        <v>0</v>
      </c>
      <c r="I15" s="223">
        <f t="shared" si="15"/>
        <v>0</v>
      </c>
      <c r="J15" s="223">
        <f t="shared" si="15"/>
        <v>0</v>
      </c>
      <c r="K15" s="78">
        <f t="shared" si="1"/>
        <v>73750000000</v>
      </c>
      <c r="L15" s="223">
        <f t="shared" ref="L15:Q15" si="16">+L16+L23</f>
        <v>7045710279</v>
      </c>
      <c r="M15" s="223">
        <f t="shared" si="16"/>
        <v>10591392132</v>
      </c>
      <c r="N15" s="223">
        <f t="shared" si="16"/>
        <v>21843042324</v>
      </c>
      <c r="O15" s="223">
        <f t="shared" si="16"/>
        <v>9616536676</v>
      </c>
      <c r="P15" s="223">
        <f t="shared" si="16"/>
        <v>3967908499</v>
      </c>
      <c r="Q15" s="407">
        <f t="shared" si="16"/>
        <v>9155983000</v>
      </c>
      <c r="R15" s="78">
        <f t="shared" si="9"/>
        <v>62220572910</v>
      </c>
      <c r="S15" s="223">
        <f t="shared" ref="S15:Z15" si="17">+S16+S23</f>
        <v>3806088859</v>
      </c>
      <c r="T15" s="223">
        <f t="shared" si="17"/>
        <v>0</v>
      </c>
      <c r="U15" s="223">
        <f t="shared" si="17"/>
        <v>0</v>
      </c>
      <c r="V15" s="223">
        <f t="shared" si="17"/>
        <v>0</v>
      </c>
      <c r="W15" s="223">
        <f t="shared" si="17"/>
        <v>0</v>
      </c>
      <c r="X15" s="223">
        <f t="shared" si="17"/>
        <v>0</v>
      </c>
      <c r="Y15" s="223">
        <f t="shared" si="17"/>
        <v>0</v>
      </c>
      <c r="Z15" s="223">
        <f t="shared" si="17"/>
        <v>0</v>
      </c>
      <c r="AA15" s="78">
        <f t="shared" si="11"/>
        <v>3806088859</v>
      </c>
      <c r="AB15" s="78">
        <f t="shared" si="12"/>
        <v>66026661769</v>
      </c>
      <c r="AC15" s="174">
        <f t="shared" si="13"/>
        <v>0.89527676974915249</v>
      </c>
    </row>
    <row r="16" spans="1:29" s="63" customFormat="1" ht="31.5" x14ac:dyDescent="0.2">
      <c r="A16" s="397">
        <v>1</v>
      </c>
      <c r="B16" s="81" t="s">
        <v>388</v>
      </c>
      <c r="C16" s="79" t="s">
        <v>169</v>
      </c>
      <c r="D16" s="329">
        <v>63750000000</v>
      </c>
      <c r="E16" s="187">
        <f>SUM('ADICIONES  2021'!C16:I16)</f>
        <v>0</v>
      </c>
      <c r="F16" s="78"/>
      <c r="G16" s="78"/>
      <c r="H16" s="78"/>
      <c r="I16" s="78"/>
      <c r="J16" s="78"/>
      <c r="K16" s="78">
        <f t="shared" si="1"/>
        <v>63750000000</v>
      </c>
      <c r="L16" s="78">
        <v>6104004590</v>
      </c>
      <c r="M16" s="78">
        <v>9271897650</v>
      </c>
      <c r="N16" s="78">
        <v>20274503880</v>
      </c>
      <c r="O16" s="78">
        <v>8569033250</v>
      </c>
      <c r="P16" s="78">
        <v>3349382400</v>
      </c>
      <c r="Q16" s="408">
        <v>8174259513</v>
      </c>
      <c r="R16" s="78">
        <f t="shared" si="9"/>
        <v>55743081283</v>
      </c>
      <c r="S16" s="78">
        <v>2453325169</v>
      </c>
      <c r="T16" s="78"/>
      <c r="U16" s="78"/>
      <c r="V16" s="78"/>
      <c r="W16" s="78"/>
      <c r="X16" s="78"/>
      <c r="Y16" s="78"/>
      <c r="Z16" s="78"/>
      <c r="AA16" s="78">
        <f t="shared" si="11"/>
        <v>2453325169</v>
      </c>
      <c r="AB16" s="78">
        <f t="shared" si="12"/>
        <v>58196406452</v>
      </c>
      <c r="AC16" s="174">
        <f t="shared" si="13"/>
        <v>0.91288480709019604</v>
      </c>
    </row>
    <row r="17" spans="1:29" ht="28.5" x14ac:dyDescent="0.2">
      <c r="B17" s="76" t="s">
        <v>389</v>
      </c>
      <c r="C17" s="77" t="s">
        <v>170</v>
      </c>
      <c r="D17" s="330">
        <f>+D16*69.7845456%</f>
        <v>44487647820</v>
      </c>
      <c r="E17" s="188">
        <f>SUM('ADICIONES  2021'!C17:I17)</f>
        <v>0</v>
      </c>
      <c r="F17" s="41">
        <f t="shared" ref="F17:J17" si="18">+F16*69.7845456%</f>
        <v>0</v>
      </c>
      <c r="G17" s="41">
        <f t="shared" si="18"/>
        <v>0</v>
      </c>
      <c r="H17" s="41">
        <f t="shared" si="18"/>
        <v>0</v>
      </c>
      <c r="I17" s="41">
        <f t="shared" si="18"/>
        <v>0</v>
      </c>
      <c r="J17" s="41">
        <f t="shared" si="18"/>
        <v>0</v>
      </c>
      <c r="K17" s="128">
        <f t="shared" si="1"/>
        <v>44487647820</v>
      </c>
      <c r="L17" s="41">
        <f t="shared" ref="L17:Q17" si="19">+L16*69.7845456%</f>
        <v>4259651866.5346432</v>
      </c>
      <c r="M17" s="41">
        <f t="shared" si="19"/>
        <v>6470351643.5495787</v>
      </c>
      <c r="N17" s="41">
        <f t="shared" si="19"/>
        <v>14148470405.31237</v>
      </c>
      <c r="O17" s="41">
        <f t="shared" si="19"/>
        <v>5979860915.8254118</v>
      </c>
      <c r="P17" s="41">
        <f t="shared" si="19"/>
        <v>2337351288.2463746</v>
      </c>
      <c r="Q17" s="409">
        <f t="shared" si="19"/>
        <v>5704369857.3118229</v>
      </c>
      <c r="R17" s="128">
        <f t="shared" si="9"/>
        <v>38900055976.780205</v>
      </c>
      <c r="S17" s="41">
        <f t="shared" ref="S17:Z17" si="20">+S16*69.7845456%</f>
        <v>1712041821.2770822</v>
      </c>
      <c r="T17" s="41">
        <f t="shared" si="20"/>
        <v>0</v>
      </c>
      <c r="U17" s="41">
        <f t="shared" si="20"/>
        <v>0</v>
      </c>
      <c r="V17" s="41">
        <f t="shared" si="20"/>
        <v>0</v>
      </c>
      <c r="W17" s="41">
        <f t="shared" si="20"/>
        <v>0</v>
      </c>
      <c r="X17" s="41">
        <f t="shared" si="20"/>
        <v>0</v>
      </c>
      <c r="Y17" s="41">
        <f t="shared" si="20"/>
        <v>0</v>
      </c>
      <c r="Z17" s="41">
        <f t="shared" si="20"/>
        <v>0</v>
      </c>
      <c r="AA17" s="128">
        <f>SUM(S17:Z17)</f>
        <v>1712041821.2770822</v>
      </c>
      <c r="AB17" s="128">
        <f t="shared" si="12"/>
        <v>40612097798.057289</v>
      </c>
      <c r="AC17" s="175">
        <f t="shared" si="13"/>
        <v>0.91288480709019626</v>
      </c>
    </row>
    <row r="18" spans="1:29" ht="28.5" x14ac:dyDescent="0.2">
      <c r="B18" s="76" t="s">
        <v>390</v>
      </c>
      <c r="C18" s="77" t="s">
        <v>171</v>
      </c>
      <c r="D18" s="330">
        <f>+D16*0.08%</f>
        <v>51000000</v>
      </c>
      <c r="E18" s="188">
        <f>SUM('ADICIONES  2021'!C18:I18)</f>
        <v>0</v>
      </c>
      <c r="F18" s="41">
        <f t="shared" ref="F18:J18" si="21">+F16*0.08%</f>
        <v>0</v>
      </c>
      <c r="G18" s="41">
        <f t="shared" si="21"/>
        <v>0</v>
      </c>
      <c r="H18" s="41">
        <f t="shared" si="21"/>
        <v>0</v>
      </c>
      <c r="I18" s="41">
        <f t="shared" si="21"/>
        <v>0</v>
      </c>
      <c r="J18" s="41">
        <f t="shared" si="21"/>
        <v>0</v>
      </c>
      <c r="K18" s="128">
        <f t="shared" si="1"/>
        <v>51000000</v>
      </c>
      <c r="L18" s="41">
        <f t="shared" ref="L18:Q18" si="22">+L16*0.08%</f>
        <v>4883203.6720000003</v>
      </c>
      <c r="M18" s="41">
        <f t="shared" si="22"/>
        <v>7417518.1200000001</v>
      </c>
      <c r="N18" s="41">
        <f t="shared" si="22"/>
        <v>16219603.104</v>
      </c>
      <c r="O18" s="41">
        <f t="shared" si="22"/>
        <v>6855226.6000000006</v>
      </c>
      <c r="P18" s="41">
        <f t="shared" si="22"/>
        <v>2679505.9199999999</v>
      </c>
      <c r="Q18" s="409">
        <f t="shared" si="22"/>
        <v>6539407.6104000006</v>
      </c>
      <c r="R18" s="128">
        <f t="shared" si="9"/>
        <v>44594465.0264</v>
      </c>
      <c r="S18" s="41">
        <f t="shared" ref="S18:Z18" si="23">+S16*0.08%</f>
        <v>1962660.1352000001</v>
      </c>
      <c r="T18" s="41">
        <f t="shared" si="23"/>
        <v>0</v>
      </c>
      <c r="U18" s="41">
        <f t="shared" si="23"/>
        <v>0</v>
      </c>
      <c r="V18" s="41">
        <f t="shared" si="23"/>
        <v>0</v>
      </c>
      <c r="W18" s="41">
        <f t="shared" si="23"/>
        <v>0</v>
      </c>
      <c r="X18" s="41">
        <f t="shared" si="23"/>
        <v>0</v>
      </c>
      <c r="Y18" s="41">
        <f t="shared" si="23"/>
        <v>0</v>
      </c>
      <c r="Z18" s="41">
        <f t="shared" si="23"/>
        <v>0</v>
      </c>
      <c r="AA18" s="128">
        <f t="shared" ref="AA18:AA81" si="24">SUM(S18:Z18)</f>
        <v>1962660.1352000001</v>
      </c>
      <c r="AB18" s="128">
        <f t="shared" si="12"/>
        <v>46557125.161600001</v>
      </c>
      <c r="AC18" s="175">
        <f t="shared" si="13"/>
        <v>0.91288480709019615</v>
      </c>
    </row>
    <row r="19" spans="1:29" ht="28.5" x14ac:dyDescent="0.2">
      <c r="B19" s="76" t="s">
        <v>391</v>
      </c>
      <c r="C19" s="77" t="s">
        <v>172</v>
      </c>
      <c r="D19" s="330">
        <f>+D16*7.992%</f>
        <v>5094900000</v>
      </c>
      <c r="E19" s="188">
        <f>SUM('ADICIONES  2021'!C19:I19)</f>
        <v>0</v>
      </c>
      <c r="F19" s="41">
        <f t="shared" ref="F19:J19" si="25">+F16*7.992%</f>
        <v>0</v>
      </c>
      <c r="G19" s="41">
        <f t="shared" si="25"/>
        <v>0</v>
      </c>
      <c r="H19" s="41">
        <f t="shared" si="25"/>
        <v>0</v>
      </c>
      <c r="I19" s="41">
        <f t="shared" si="25"/>
        <v>0</v>
      </c>
      <c r="J19" s="41">
        <f t="shared" si="25"/>
        <v>0</v>
      </c>
      <c r="K19" s="128">
        <f t="shared" si="1"/>
        <v>5094900000</v>
      </c>
      <c r="L19" s="41">
        <f t="shared" ref="L19:Q19" si="26">+L16*7.992%</f>
        <v>487832046.83280003</v>
      </c>
      <c r="M19" s="41">
        <f t="shared" si="26"/>
        <v>741010060.18800008</v>
      </c>
      <c r="N19" s="41">
        <f t="shared" si="26"/>
        <v>1620338350.0896001</v>
      </c>
      <c r="O19" s="41">
        <f t="shared" si="26"/>
        <v>684837137.34000003</v>
      </c>
      <c r="P19" s="41">
        <f t="shared" si="26"/>
        <v>267682641.40800002</v>
      </c>
      <c r="Q19" s="409">
        <f t="shared" si="26"/>
        <v>653286820.27895999</v>
      </c>
      <c r="R19" s="128">
        <f t="shared" si="9"/>
        <v>4454987056.1373606</v>
      </c>
      <c r="S19" s="41">
        <f t="shared" ref="S19:Z19" si="27">+S16*7.992%</f>
        <v>196069747.50648001</v>
      </c>
      <c r="T19" s="41">
        <f t="shared" si="27"/>
        <v>0</v>
      </c>
      <c r="U19" s="41">
        <f t="shared" si="27"/>
        <v>0</v>
      </c>
      <c r="V19" s="41">
        <f t="shared" si="27"/>
        <v>0</v>
      </c>
      <c r="W19" s="41">
        <f t="shared" si="27"/>
        <v>0</v>
      </c>
      <c r="X19" s="41">
        <f t="shared" si="27"/>
        <v>0</v>
      </c>
      <c r="Y19" s="41">
        <f t="shared" si="27"/>
        <v>0</v>
      </c>
      <c r="Z19" s="41">
        <f t="shared" si="27"/>
        <v>0</v>
      </c>
      <c r="AA19" s="128">
        <f t="shared" si="24"/>
        <v>196069747.50648001</v>
      </c>
      <c r="AB19" s="128">
        <f t="shared" si="12"/>
        <v>4651056803.6438408</v>
      </c>
      <c r="AC19" s="175">
        <f t="shared" si="13"/>
        <v>0.91288480709019626</v>
      </c>
    </row>
    <row r="20" spans="1:29" ht="28.5" x14ac:dyDescent="0.2">
      <c r="B20" s="76" t="s">
        <v>392</v>
      </c>
      <c r="C20" s="77" t="s">
        <v>173</v>
      </c>
      <c r="D20" s="330">
        <f>+D16*1.43856%</f>
        <v>917082000</v>
      </c>
      <c r="E20" s="188">
        <f>SUM('ADICIONES  2021'!C20:I20)</f>
        <v>0</v>
      </c>
      <c r="F20" s="41">
        <f t="shared" ref="F20:J20" si="28">+F16*1.43856%</f>
        <v>0</v>
      </c>
      <c r="G20" s="41">
        <f t="shared" si="28"/>
        <v>0</v>
      </c>
      <c r="H20" s="41">
        <f t="shared" si="28"/>
        <v>0</v>
      </c>
      <c r="I20" s="41">
        <f t="shared" si="28"/>
        <v>0</v>
      </c>
      <c r="J20" s="41">
        <f t="shared" si="28"/>
        <v>0</v>
      </c>
      <c r="K20" s="128">
        <f t="shared" si="1"/>
        <v>917082000</v>
      </c>
      <c r="L20" s="41">
        <f t="shared" ref="L20:Q20" si="29">+L16*1.43856%</f>
        <v>87809768.429903999</v>
      </c>
      <c r="M20" s="41">
        <f t="shared" si="29"/>
        <v>133381810.83384</v>
      </c>
      <c r="N20" s="41">
        <f t="shared" si="29"/>
        <v>291660903.016128</v>
      </c>
      <c r="O20" s="41">
        <f t="shared" si="29"/>
        <v>123270684.7212</v>
      </c>
      <c r="P20" s="41">
        <f t="shared" si="29"/>
        <v>48182875.453440003</v>
      </c>
      <c r="Q20" s="409">
        <f t="shared" si="29"/>
        <v>117591627.65021279</v>
      </c>
      <c r="R20" s="128">
        <f t="shared" si="9"/>
        <v>801897670.10472476</v>
      </c>
      <c r="S20" s="41">
        <f t="shared" ref="S20:Z20" si="30">+S16*1.43856%</f>
        <v>35292554.5511664</v>
      </c>
      <c r="T20" s="41">
        <f t="shared" si="30"/>
        <v>0</v>
      </c>
      <c r="U20" s="41">
        <f t="shared" si="30"/>
        <v>0</v>
      </c>
      <c r="V20" s="41">
        <f t="shared" si="30"/>
        <v>0</v>
      </c>
      <c r="W20" s="41">
        <f t="shared" si="30"/>
        <v>0</v>
      </c>
      <c r="X20" s="41">
        <f t="shared" si="30"/>
        <v>0</v>
      </c>
      <c r="Y20" s="41">
        <f t="shared" si="30"/>
        <v>0</v>
      </c>
      <c r="Z20" s="41">
        <f t="shared" si="30"/>
        <v>0</v>
      </c>
      <c r="AA20" s="128">
        <f t="shared" si="24"/>
        <v>35292554.5511664</v>
      </c>
      <c r="AB20" s="128">
        <f t="shared" si="12"/>
        <v>837190224.65589118</v>
      </c>
      <c r="AC20" s="175">
        <f t="shared" si="13"/>
        <v>0.91288480709019604</v>
      </c>
    </row>
    <row r="21" spans="1:29" ht="42.75" x14ac:dyDescent="0.2">
      <c r="B21" s="76" t="s">
        <v>393</v>
      </c>
      <c r="C21" s="155" t="s">
        <v>174</v>
      </c>
      <c r="D21" s="330">
        <f>+D16*0.7048944%</f>
        <v>449370180.00000006</v>
      </c>
      <c r="E21" s="188">
        <f>SUM('ADICIONES  2021'!C21:I21)</f>
        <v>0</v>
      </c>
      <c r="F21" s="41">
        <f t="shared" ref="F21:J21" si="31">+F16*0.7048944%</f>
        <v>0</v>
      </c>
      <c r="G21" s="41">
        <f t="shared" si="31"/>
        <v>0</v>
      </c>
      <c r="H21" s="41">
        <f t="shared" si="31"/>
        <v>0</v>
      </c>
      <c r="I21" s="41">
        <f t="shared" si="31"/>
        <v>0</v>
      </c>
      <c r="J21" s="41">
        <f t="shared" si="31"/>
        <v>0</v>
      </c>
      <c r="K21" s="128">
        <f t="shared" si="1"/>
        <v>449370180.00000006</v>
      </c>
      <c r="L21" s="41">
        <f t="shared" ref="L21:Q21" si="32">+L16*0.7048944%</f>
        <v>43026786.530652963</v>
      </c>
      <c r="M21" s="41">
        <f t="shared" si="32"/>
        <v>65357087.308581606</v>
      </c>
      <c r="N21" s="41">
        <f t="shared" si="32"/>
        <v>142913842.47790274</v>
      </c>
      <c r="O21" s="41">
        <f t="shared" si="32"/>
        <v>60402635.513388008</v>
      </c>
      <c r="P21" s="41">
        <f t="shared" si="32"/>
        <v>23609608.972185601</v>
      </c>
      <c r="Q21" s="409">
        <f t="shared" si="32"/>
        <v>57619897.54860428</v>
      </c>
      <c r="R21" s="128">
        <f t="shared" si="9"/>
        <v>392929858.35131514</v>
      </c>
      <c r="S21" s="41">
        <f t="shared" ref="S21:Z21" si="33">+S16*0.7048944%</f>
        <v>17293351.730071537</v>
      </c>
      <c r="T21" s="41">
        <f t="shared" si="33"/>
        <v>0</v>
      </c>
      <c r="U21" s="41">
        <f t="shared" si="33"/>
        <v>0</v>
      </c>
      <c r="V21" s="41">
        <f t="shared" si="33"/>
        <v>0</v>
      </c>
      <c r="W21" s="41">
        <f t="shared" si="33"/>
        <v>0</v>
      </c>
      <c r="X21" s="41">
        <f t="shared" si="33"/>
        <v>0</v>
      </c>
      <c r="Y21" s="41">
        <f t="shared" si="33"/>
        <v>0</v>
      </c>
      <c r="Z21" s="41">
        <f t="shared" si="33"/>
        <v>0</v>
      </c>
      <c r="AA21" s="128">
        <f t="shared" si="24"/>
        <v>17293351.730071537</v>
      </c>
      <c r="AB21" s="128">
        <f t="shared" si="12"/>
        <v>410223210.08138669</v>
      </c>
      <c r="AC21" s="175">
        <f t="shared" si="13"/>
        <v>0.91288480709019593</v>
      </c>
    </row>
    <row r="22" spans="1:29" ht="28.5" x14ac:dyDescent="0.2">
      <c r="B22" s="76" t="s">
        <v>394</v>
      </c>
      <c r="C22" s="77" t="s">
        <v>395</v>
      </c>
      <c r="D22" s="331">
        <f>+D16*20%</f>
        <v>12750000000</v>
      </c>
      <c r="E22" s="188">
        <f>SUM('ADICIONES  2021'!C22:I22)</f>
        <v>0</v>
      </c>
      <c r="F22" s="218">
        <f t="shared" ref="F22:J22" si="34">+F16*20%</f>
        <v>0</v>
      </c>
      <c r="G22" s="218">
        <f t="shared" si="34"/>
        <v>0</v>
      </c>
      <c r="H22" s="218">
        <f t="shared" si="34"/>
        <v>0</v>
      </c>
      <c r="I22" s="218">
        <f t="shared" si="34"/>
        <v>0</v>
      </c>
      <c r="J22" s="218">
        <f t="shared" si="34"/>
        <v>0</v>
      </c>
      <c r="K22" s="128">
        <f t="shared" si="1"/>
        <v>12750000000</v>
      </c>
      <c r="L22" s="218">
        <f t="shared" ref="L22:Q22" si="35">+L16*20%</f>
        <v>1220800918</v>
      </c>
      <c r="M22" s="218">
        <f t="shared" si="35"/>
        <v>1854379530</v>
      </c>
      <c r="N22" s="218">
        <f t="shared" si="35"/>
        <v>4054900776</v>
      </c>
      <c r="O22" s="218">
        <f t="shared" si="35"/>
        <v>1713806650</v>
      </c>
      <c r="P22" s="218">
        <f t="shared" si="35"/>
        <v>669876480</v>
      </c>
      <c r="Q22" s="410">
        <f t="shared" si="35"/>
        <v>1634851902.6000001</v>
      </c>
      <c r="R22" s="128">
        <f t="shared" si="9"/>
        <v>11148616256.6</v>
      </c>
      <c r="S22" s="218">
        <f t="shared" ref="S22:Z22" si="36">+S16*20%</f>
        <v>490665033.80000001</v>
      </c>
      <c r="T22" s="218">
        <f t="shared" si="36"/>
        <v>0</v>
      </c>
      <c r="U22" s="218">
        <f t="shared" si="36"/>
        <v>0</v>
      </c>
      <c r="V22" s="218">
        <f t="shared" si="36"/>
        <v>0</v>
      </c>
      <c r="W22" s="218">
        <f t="shared" si="36"/>
        <v>0</v>
      </c>
      <c r="X22" s="218">
        <f t="shared" si="36"/>
        <v>0</v>
      </c>
      <c r="Y22" s="218">
        <f t="shared" si="36"/>
        <v>0</v>
      </c>
      <c r="Z22" s="218">
        <f t="shared" si="36"/>
        <v>0</v>
      </c>
      <c r="AA22" s="128">
        <f t="shared" si="24"/>
        <v>490665033.80000001</v>
      </c>
      <c r="AB22" s="128">
        <f t="shared" si="12"/>
        <v>11639281290.4</v>
      </c>
      <c r="AC22" s="175">
        <f t="shared" si="13"/>
        <v>0.91288480709019604</v>
      </c>
    </row>
    <row r="23" spans="1:29" s="63" customFormat="1" ht="31.5" x14ac:dyDescent="0.2">
      <c r="A23" s="397">
        <v>1</v>
      </c>
      <c r="B23" s="81" t="s">
        <v>396</v>
      </c>
      <c r="C23" s="79" t="s">
        <v>175</v>
      </c>
      <c r="D23" s="329">
        <v>10000000000</v>
      </c>
      <c r="E23" s="187">
        <f>SUM('ADICIONES  2021'!C23:I23)</f>
        <v>0</v>
      </c>
      <c r="F23" s="78"/>
      <c r="G23" s="78"/>
      <c r="H23" s="78"/>
      <c r="I23" s="78"/>
      <c r="J23" s="78"/>
      <c r="K23" s="78">
        <f t="shared" si="1"/>
        <v>10000000000</v>
      </c>
      <c r="L23" s="78">
        <v>941705689</v>
      </c>
      <c r="M23" s="78">
        <v>1319494482</v>
      </c>
      <c r="N23" s="78">
        <v>1568538444</v>
      </c>
      <c r="O23" s="78">
        <v>1047503426</v>
      </c>
      <c r="P23" s="78">
        <v>618526099</v>
      </c>
      <c r="Q23" s="408">
        <v>981723487</v>
      </c>
      <c r="R23" s="78">
        <f t="shared" si="9"/>
        <v>6477491627</v>
      </c>
      <c r="S23" s="78">
        <v>1352763690</v>
      </c>
      <c r="T23" s="78"/>
      <c r="U23" s="78"/>
      <c r="V23" s="78"/>
      <c r="W23" s="78"/>
      <c r="X23" s="78"/>
      <c r="Y23" s="78"/>
      <c r="Z23" s="78"/>
      <c r="AA23" s="78">
        <f t="shared" si="24"/>
        <v>1352763690</v>
      </c>
      <c r="AB23" s="78">
        <f t="shared" si="12"/>
        <v>7830255317</v>
      </c>
      <c r="AC23" s="174">
        <f t="shared" si="13"/>
        <v>0.7830255317</v>
      </c>
    </row>
    <row r="24" spans="1:29" ht="28.5" x14ac:dyDescent="0.2">
      <c r="B24" s="76" t="s">
        <v>397</v>
      </c>
      <c r="C24" s="77" t="s">
        <v>176</v>
      </c>
      <c r="D24" s="330">
        <f>+D23*69.7845456%</f>
        <v>6978454560</v>
      </c>
      <c r="E24" s="188">
        <f>SUM('ADICIONES  2021'!C24:I24)</f>
        <v>0</v>
      </c>
      <c r="F24" s="41">
        <f t="shared" ref="F24:J24" si="37">+F23*69.7845456%</f>
        <v>0</v>
      </c>
      <c r="G24" s="41">
        <f t="shared" si="37"/>
        <v>0</v>
      </c>
      <c r="H24" s="41">
        <f t="shared" si="37"/>
        <v>0</v>
      </c>
      <c r="I24" s="41">
        <f t="shared" si="37"/>
        <v>0</v>
      </c>
      <c r="J24" s="41">
        <f t="shared" si="37"/>
        <v>0</v>
      </c>
      <c r="K24" s="128">
        <f t="shared" si="1"/>
        <v>6978454560</v>
      </c>
      <c r="L24" s="41">
        <f t="shared" ref="L24:Q24" si="38">+L23*69.7845456%</f>
        <v>657165035.95799923</v>
      </c>
      <c r="M24" s="41">
        <f t="shared" si="38"/>
        <v>920803228.48077381</v>
      </c>
      <c r="N24" s="41">
        <f t="shared" si="38"/>
        <v>1094597425.7067106</v>
      </c>
      <c r="O24" s="41">
        <f t="shared" si="38"/>
        <v>730995505.97853231</v>
      </c>
      <c r="P24" s="41">
        <f t="shared" si="38"/>
        <v>431635627.60455614</v>
      </c>
      <c r="Q24" s="409">
        <f t="shared" si="38"/>
        <v>685091274.45142508</v>
      </c>
      <c r="R24" s="128">
        <f t="shared" si="9"/>
        <v>4520288098.1799974</v>
      </c>
      <c r="S24" s="41">
        <f t="shared" ref="S24:Z24" si="39">+S23*69.7845456%</f>
        <v>944019994.1082927</v>
      </c>
      <c r="T24" s="41">
        <f t="shared" si="39"/>
        <v>0</v>
      </c>
      <c r="U24" s="41">
        <f t="shared" si="39"/>
        <v>0</v>
      </c>
      <c r="V24" s="41">
        <f t="shared" si="39"/>
        <v>0</v>
      </c>
      <c r="W24" s="41">
        <f t="shared" si="39"/>
        <v>0</v>
      </c>
      <c r="X24" s="41">
        <f t="shared" si="39"/>
        <v>0</v>
      </c>
      <c r="Y24" s="41">
        <f t="shared" si="39"/>
        <v>0</v>
      </c>
      <c r="Z24" s="41">
        <f t="shared" si="39"/>
        <v>0</v>
      </c>
      <c r="AA24" s="128">
        <f t="shared" si="24"/>
        <v>944019994.1082927</v>
      </c>
      <c r="AB24" s="128">
        <f t="shared" si="12"/>
        <v>5464308092.28829</v>
      </c>
      <c r="AC24" s="175">
        <f t="shared" si="13"/>
        <v>0.78302553170000011</v>
      </c>
    </row>
    <row r="25" spans="1:29" ht="28.5" x14ac:dyDescent="0.2">
      <c r="B25" s="76" t="s">
        <v>398</v>
      </c>
      <c r="C25" s="77" t="s">
        <v>177</v>
      </c>
      <c r="D25" s="330">
        <f>+D23*0.08%</f>
        <v>8000000</v>
      </c>
      <c r="E25" s="188">
        <f>SUM('ADICIONES  2021'!C25:I25)</f>
        <v>0</v>
      </c>
      <c r="F25" s="41">
        <f t="shared" ref="F25:J25" si="40">+F23*0.08%</f>
        <v>0</v>
      </c>
      <c r="G25" s="41">
        <f t="shared" si="40"/>
        <v>0</v>
      </c>
      <c r="H25" s="41">
        <f t="shared" si="40"/>
        <v>0</v>
      </c>
      <c r="I25" s="41">
        <f t="shared" si="40"/>
        <v>0</v>
      </c>
      <c r="J25" s="41">
        <f t="shared" si="40"/>
        <v>0</v>
      </c>
      <c r="K25" s="128">
        <f t="shared" si="1"/>
        <v>8000000</v>
      </c>
      <c r="L25" s="41">
        <f t="shared" ref="L25:Q25" si="41">+L23*0.08%</f>
        <v>753364.55119999999</v>
      </c>
      <c r="M25" s="41">
        <f t="shared" si="41"/>
        <v>1055595.5856000001</v>
      </c>
      <c r="N25" s="41">
        <f t="shared" si="41"/>
        <v>1254830.7552</v>
      </c>
      <c r="O25" s="41">
        <f t="shared" si="41"/>
        <v>838002.74080000003</v>
      </c>
      <c r="P25" s="41">
        <f t="shared" si="41"/>
        <v>494820.87920000002</v>
      </c>
      <c r="Q25" s="409">
        <f t="shared" si="41"/>
        <v>785378.78960000002</v>
      </c>
      <c r="R25" s="128">
        <f t="shared" si="9"/>
        <v>5181993.3015999999</v>
      </c>
      <c r="S25" s="41">
        <f t="shared" ref="S25:Z25" si="42">+S23*0.08%</f>
        <v>1082210.952</v>
      </c>
      <c r="T25" s="41">
        <f t="shared" si="42"/>
        <v>0</v>
      </c>
      <c r="U25" s="41">
        <f t="shared" si="42"/>
        <v>0</v>
      </c>
      <c r="V25" s="41">
        <f t="shared" si="42"/>
        <v>0</v>
      </c>
      <c r="W25" s="41">
        <f t="shared" si="42"/>
        <v>0</v>
      </c>
      <c r="X25" s="41">
        <f t="shared" si="42"/>
        <v>0</v>
      </c>
      <c r="Y25" s="41">
        <f t="shared" si="42"/>
        <v>0</v>
      </c>
      <c r="Z25" s="41">
        <f t="shared" si="42"/>
        <v>0</v>
      </c>
      <c r="AA25" s="128">
        <f t="shared" si="24"/>
        <v>1082210.952</v>
      </c>
      <c r="AB25" s="128">
        <f t="shared" si="12"/>
        <v>6264204.2535999995</v>
      </c>
      <c r="AC25" s="175">
        <f t="shared" si="13"/>
        <v>0.78302553169999989</v>
      </c>
    </row>
    <row r="26" spans="1:29" ht="28.5" x14ac:dyDescent="0.2">
      <c r="B26" s="76" t="s">
        <v>399</v>
      </c>
      <c r="C26" s="77" t="s">
        <v>178</v>
      </c>
      <c r="D26" s="330">
        <f>+D23*7.992%</f>
        <v>799200000</v>
      </c>
      <c r="E26" s="188">
        <f>SUM('ADICIONES  2021'!C26:I26)</f>
        <v>0</v>
      </c>
      <c r="F26" s="41">
        <f t="shared" ref="F26:J26" si="43">+F23*7.992%</f>
        <v>0</v>
      </c>
      <c r="G26" s="41">
        <f t="shared" si="43"/>
        <v>0</v>
      </c>
      <c r="H26" s="41">
        <f t="shared" si="43"/>
        <v>0</v>
      </c>
      <c r="I26" s="41">
        <f t="shared" si="43"/>
        <v>0</v>
      </c>
      <c r="J26" s="41">
        <f t="shared" si="43"/>
        <v>0</v>
      </c>
      <c r="K26" s="128">
        <f t="shared" si="1"/>
        <v>799200000</v>
      </c>
      <c r="L26" s="41">
        <f t="shared" ref="L26:Q26" si="44">+L23*7.992%</f>
        <v>75261118.664880008</v>
      </c>
      <c r="M26" s="41">
        <f t="shared" si="44"/>
        <v>105453999.00144</v>
      </c>
      <c r="N26" s="41">
        <f t="shared" si="44"/>
        <v>125357592.44448</v>
      </c>
      <c r="O26" s="41">
        <f t="shared" si="44"/>
        <v>83716473.805920005</v>
      </c>
      <c r="P26" s="41">
        <f t="shared" si="44"/>
        <v>49432605.832080007</v>
      </c>
      <c r="Q26" s="409">
        <f t="shared" si="44"/>
        <v>78459341.08104001</v>
      </c>
      <c r="R26" s="128">
        <f t="shared" si="9"/>
        <v>517681130.82984006</v>
      </c>
      <c r="S26" s="41">
        <f t="shared" ref="S26:Z26" si="45">+S23*7.992%</f>
        <v>108112874.1048</v>
      </c>
      <c r="T26" s="41">
        <f t="shared" si="45"/>
        <v>0</v>
      </c>
      <c r="U26" s="41">
        <f t="shared" si="45"/>
        <v>0</v>
      </c>
      <c r="V26" s="41">
        <f t="shared" si="45"/>
        <v>0</v>
      </c>
      <c r="W26" s="41">
        <f t="shared" si="45"/>
        <v>0</v>
      </c>
      <c r="X26" s="41">
        <f t="shared" si="45"/>
        <v>0</v>
      </c>
      <c r="Y26" s="41">
        <f t="shared" si="45"/>
        <v>0</v>
      </c>
      <c r="Z26" s="41">
        <f t="shared" si="45"/>
        <v>0</v>
      </c>
      <c r="AA26" s="128">
        <f t="shared" si="24"/>
        <v>108112874.1048</v>
      </c>
      <c r="AB26" s="128">
        <f t="shared" si="12"/>
        <v>625794004.93464005</v>
      </c>
      <c r="AC26" s="175">
        <f t="shared" si="13"/>
        <v>0.78302553170000011</v>
      </c>
    </row>
    <row r="27" spans="1:29" ht="28.5" x14ac:dyDescent="0.2">
      <c r="B27" s="76" t="s">
        <v>400</v>
      </c>
      <c r="C27" s="77" t="s">
        <v>179</v>
      </c>
      <c r="D27" s="330">
        <f>+D23*1.43856%</f>
        <v>143856000</v>
      </c>
      <c r="E27" s="188">
        <f>SUM('ADICIONES  2021'!C27:I27)</f>
        <v>0</v>
      </c>
      <c r="F27" s="41">
        <f t="shared" ref="F27:J27" si="46">+F23*1.43856%</f>
        <v>0</v>
      </c>
      <c r="G27" s="41">
        <f t="shared" si="46"/>
        <v>0</v>
      </c>
      <c r="H27" s="41">
        <f t="shared" si="46"/>
        <v>0</v>
      </c>
      <c r="I27" s="41">
        <f t="shared" si="46"/>
        <v>0</v>
      </c>
      <c r="J27" s="41">
        <f t="shared" si="46"/>
        <v>0</v>
      </c>
      <c r="K27" s="128">
        <f t="shared" si="1"/>
        <v>143856000</v>
      </c>
      <c r="L27" s="41">
        <f t="shared" ref="L27:Q27" si="47">+L23*1.43856%</f>
        <v>13547001.359678401</v>
      </c>
      <c r="M27" s="41">
        <f t="shared" si="47"/>
        <v>18981719.820259199</v>
      </c>
      <c r="N27" s="41">
        <f t="shared" si="47"/>
        <v>22564366.640006401</v>
      </c>
      <c r="O27" s="41">
        <f t="shared" si="47"/>
        <v>15068965.285065601</v>
      </c>
      <c r="P27" s="41">
        <f t="shared" si="47"/>
        <v>8897869.0497744009</v>
      </c>
      <c r="Q27" s="409">
        <f t="shared" si="47"/>
        <v>14122681.3945872</v>
      </c>
      <c r="R27" s="128">
        <f t="shared" si="9"/>
        <v>93182603.549371198</v>
      </c>
      <c r="S27" s="41">
        <f t="shared" ref="S27:Z27" si="48">+S23*1.43856%</f>
        <v>19460317.338863999</v>
      </c>
      <c r="T27" s="41">
        <f t="shared" si="48"/>
        <v>0</v>
      </c>
      <c r="U27" s="41">
        <f t="shared" si="48"/>
        <v>0</v>
      </c>
      <c r="V27" s="41">
        <f t="shared" si="48"/>
        <v>0</v>
      </c>
      <c r="W27" s="41">
        <f t="shared" si="48"/>
        <v>0</v>
      </c>
      <c r="X27" s="41">
        <f t="shared" si="48"/>
        <v>0</v>
      </c>
      <c r="Y27" s="41">
        <f t="shared" si="48"/>
        <v>0</v>
      </c>
      <c r="Z27" s="41">
        <f t="shared" si="48"/>
        <v>0</v>
      </c>
      <c r="AA27" s="128">
        <f t="shared" si="24"/>
        <v>19460317.338863999</v>
      </c>
      <c r="AB27" s="128">
        <f t="shared" si="12"/>
        <v>112642920.8882352</v>
      </c>
      <c r="AC27" s="175">
        <f t="shared" si="13"/>
        <v>0.7830255317</v>
      </c>
    </row>
    <row r="28" spans="1:29" ht="42.75" x14ac:dyDescent="0.2">
      <c r="B28" s="76" t="s">
        <v>401</v>
      </c>
      <c r="C28" s="77" t="s">
        <v>180</v>
      </c>
      <c r="D28" s="330">
        <f>+D23*0.7048944%</f>
        <v>70489440</v>
      </c>
      <c r="E28" s="188">
        <f>SUM('ADICIONES  2021'!C28:I28)</f>
        <v>0</v>
      </c>
      <c r="F28" s="41">
        <f t="shared" ref="F28:J28" si="49">+F23*0.7048944%</f>
        <v>0</v>
      </c>
      <c r="G28" s="41">
        <f t="shared" si="49"/>
        <v>0</v>
      </c>
      <c r="H28" s="41">
        <f t="shared" si="49"/>
        <v>0</v>
      </c>
      <c r="I28" s="41">
        <f t="shared" si="49"/>
        <v>0</v>
      </c>
      <c r="J28" s="41">
        <f t="shared" si="49"/>
        <v>0</v>
      </c>
      <c r="K28" s="128">
        <f t="shared" si="1"/>
        <v>70489440</v>
      </c>
      <c r="L28" s="41">
        <f t="shared" ref="L28:Q28" si="50">+L23*0.7048944%</f>
        <v>6638030.6662424169</v>
      </c>
      <c r="M28" s="41">
        <f t="shared" si="50"/>
        <v>9301042.7119270079</v>
      </c>
      <c r="N28" s="41">
        <f t="shared" si="50"/>
        <v>11056539.653603137</v>
      </c>
      <c r="O28" s="41">
        <f t="shared" si="50"/>
        <v>7383792.9896821445</v>
      </c>
      <c r="P28" s="41">
        <f t="shared" si="50"/>
        <v>4359955.8343894565</v>
      </c>
      <c r="Q28" s="409">
        <f t="shared" si="50"/>
        <v>6920113.8833477283</v>
      </c>
      <c r="R28" s="128">
        <f t="shared" si="9"/>
        <v>45659475.73919189</v>
      </c>
      <c r="S28" s="41">
        <f t="shared" ref="S28:Z28" si="51">+S23*0.7048944%</f>
        <v>9535555.4960433599</v>
      </c>
      <c r="T28" s="41">
        <f t="shared" si="51"/>
        <v>0</v>
      </c>
      <c r="U28" s="41">
        <f t="shared" si="51"/>
        <v>0</v>
      </c>
      <c r="V28" s="41">
        <f t="shared" si="51"/>
        <v>0</v>
      </c>
      <c r="W28" s="41">
        <f t="shared" si="51"/>
        <v>0</v>
      </c>
      <c r="X28" s="41">
        <f t="shared" si="51"/>
        <v>0</v>
      </c>
      <c r="Y28" s="41">
        <f t="shared" si="51"/>
        <v>0</v>
      </c>
      <c r="Z28" s="41">
        <f t="shared" si="51"/>
        <v>0</v>
      </c>
      <c r="AA28" s="128">
        <f t="shared" si="24"/>
        <v>9535555.4960433599</v>
      </c>
      <c r="AB28" s="128">
        <f t="shared" si="12"/>
        <v>55195031.235235251</v>
      </c>
      <c r="AC28" s="175">
        <f t="shared" si="13"/>
        <v>0.7830255317</v>
      </c>
    </row>
    <row r="29" spans="1:29" ht="28.5" x14ac:dyDescent="0.2">
      <c r="B29" s="76" t="s">
        <v>402</v>
      </c>
      <c r="C29" s="77" t="s">
        <v>403</v>
      </c>
      <c r="D29" s="331">
        <f>+D23*20%</f>
        <v>2000000000</v>
      </c>
      <c r="E29" s="188">
        <f>SUM('ADICIONES  2021'!C29:I29)</f>
        <v>0</v>
      </c>
      <c r="F29" s="218">
        <f t="shared" ref="F29:J29" si="52">+F23*20%</f>
        <v>0</v>
      </c>
      <c r="G29" s="218">
        <f t="shared" si="52"/>
        <v>0</v>
      </c>
      <c r="H29" s="218">
        <f t="shared" si="52"/>
        <v>0</v>
      </c>
      <c r="I29" s="218">
        <f t="shared" si="52"/>
        <v>0</v>
      </c>
      <c r="J29" s="218">
        <f t="shared" si="52"/>
        <v>0</v>
      </c>
      <c r="K29" s="128">
        <f t="shared" si="1"/>
        <v>2000000000</v>
      </c>
      <c r="L29" s="218">
        <f t="shared" ref="L29:Q29" si="53">+L23*20%</f>
        <v>188341137.80000001</v>
      </c>
      <c r="M29" s="218">
        <f t="shared" si="53"/>
        <v>263898896.40000001</v>
      </c>
      <c r="N29" s="218">
        <f t="shared" si="53"/>
        <v>313707688.80000001</v>
      </c>
      <c r="O29" s="218">
        <f t="shared" si="53"/>
        <v>209500685.20000002</v>
      </c>
      <c r="P29" s="218">
        <f t="shared" si="53"/>
        <v>123705219.80000001</v>
      </c>
      <c r="Q29" s="410">
        <f t="shared" si="53"/>
        <v>196344697.40000001</v>
      </c>
      <c r="R29" s="128">
        <f t="shared" si="9"/>
        <v>1295498325.4000001</v>
      </c>
      <c r="S29" s="218">
        <f t="shared" ref="S29:Z29" si="54">+S23*20%</f>
        <v>270552738</v>
      </c>
      <c r="T29" s="218">
        <f t="shared" si="54"/>
        <v>0</v>
      </c>
      <c r="U29" s="218">
        <f t="shared" si="54"/>
        <v>0</v>
      </c>
      <c r="V29" s="218">
        <f t="shared" si="54"/>
        <v>0</v>
      </c>
      <c r="W29" s="218">
        <f t="shared" si="54"/>
        <v>0</v>
      </c>
      <c r="X29" s="218">
        <f t="shared" si="54"/>
        <v>0</v>
      </c>
      <c r="Y29" s="218">
        <f t="shared" si="54"/>
        <v>0</v>
      </c>
      <c r="Z29" s="218">
        <f t="shared" si="54"/>
        <v>0</v>
      </c>
      <c r="AA29" s="128">
        <f t="shared" si="24"/>
        <v>270552738</v>
      </c>
      <c r="AB29" s="128">
        <f t="shared" si="12"/>
        <v>1566051063.4000001</v>
      </c>
      <c r="AC29" s="175">
        <f t="shared" si="13"/>
        <v>0.7830255317</v>
      </c>
    </row>
    <row r="30" spans="1:29" s="63" customFormat="1" ht="15.75" x14ac:dyDescent="0.2">
      <c r="A30" s="397">
        <v>1</v>
      </c>
      <c r="B30" s="81" t="s">
        <v>404</v>
      </c>
      <c r="C30" s="79" t="s">
        <v>405</v>
      </c>
      <c r="D30" s="329">
        <f>+D31+D46+D52+D79+D93+D109+D115</f>
        <v>382109200000</v>
      </c>
      <c r="E30" s="187">
        <f>SUM('ADICIONES  2021'!C30:I30)</f>
        <v>0</v>
      </c>
      <c r="F30" s="223">
        <f t="shared" ref="F30:J30" si="55">+F31+F46+F52+F79+F93+F109+F115</f>
        <v>0</v>
      </c>
      <c r="G30" s="223">
        <f t="shared" si="55"/>
        <v>350000000</v>
      </c>
      <c r="H30" s="223">
        <f t="shared" si="55"/>
        <v>0</v>
      </c>
      <c r="I30" s="223">
        <f t="shared" si="55"/>
        <v>0</v>
      </c>
      <c r="J30" s="223">
        <f t="shared" si="55"/>
        <v>0</v>
      </c>
      <c r="K30" s="78">
        <f t="shared" si="1"/>
        <v>382459200000</v>
      </c>
      <c r="L30" s="223">
        <f t="shared" ref="L30:Q30" si="56">+L31+L46+L52+L79+L93+L109+L115</f>
        <v>43710554814.7808</v>
      </c>
      <c r="M30" s="223">
        <f t="shared" si="56"/>
        <v>35787804699.062401</v>
      </c>
      <c r="N30" s="223">
        <f t="shared" si="56"/>
        <v>27702655831.124802</v>
      </c>
      <c r="O30" s="223">
        <f t="shared" si="56"/>
        <v>30783196612.958397</v>
      </c>
      <c r="P30" s="223">
        <f t="shared" si="56"/>
        <v>30086227196.235199</v>
      </c>
      <c r="Q30" s="407">
        <f t="shared" si="56"/>
        <v>29652385131.6768</v>
      </c>
      <c r="R30" s="78">
        <f t="shared" si="9"/>
        <v>197722824285.83838</v>
      </c>
      <c r="S30" s="223">
        <f t="shared" ref="S30:Z30" si="57">+S31+S46+S52+S79+S93+S109+S115</f>
        <v>29593372200.579201</v>
      </c>
      <c r="T30" s="223">
        <f t="shared" si="57"/>
        <v>0</v>
      </c>
      <c r="U30" s="223">
        <f t="shared" si="57"/>
        <v>0</v>
      </c>
      <c r="V30" s="223">
        <f t="shared" si="57"/>
        <v>0</v>
      </c>
      <c r="W30" s="223">
        <f t="shared" si="57"/>
        <v>0</v>
      </c>
      <c r="X30" s="223">
        <f t="shared" si="57"/>
        <v>0</v>
      </c>
      <c r="Y30" s="223">
        <f t="shared" si="57"/>
        <v>-526413195</v>
      </c>
      <c r="Z30" s="223">
        <f t="shared" si="57"/>
        <v>0</v>
      </c>
      <c r="AA30" s="78">
        <f t="shared" si="24"/>
        <v>29066959005.579201</v>
      </c>
      <c r="AB30" s="78">
        <f t="shared" si="12"/>
        <v>226789783291.41757</v>
      </c>
      <c r="AC30" s="174">
        <f t="shared" si="13"/>
        <v>0.59297771707784142</v>
      </c>
    </row>
    <row r="31" spans="1:29" s="63" customFormat="1" ht="15.75" x14ac:dyDescent="0.2">
      <c r="A31" s="397">
        <v>1</v>
      </c>
      <c r="B31" s="81" t="s">
        <v>406</v>
      </c>
      <c r="C31" s="79" t="s">
        <v>407</v>
      </c>
      <c r="D31" s="329">
        <f>+D32+D39</f>
        <v>54000000000</v>
      </c>
      <c r="E31" s="187">
        <f>SUM('ADICIONES  2021'!C31:I31)</f>
        <v>0</v>
      </c>
      <c r="F31" s="223">
        <f t="shared" ref="F31:J31" si="58">+F32+F39</f>
        <v>0</v>
      </c>
      <c r="G31" s="223">
        <f t="shared" si="58"/>
        <v>0</v>
      </c>
      <c r="H31" s="223">
        <f t="shared" si="58"/>
        <v>0</v>
      </c>
      <c r="I31" s="223">
        <f t="shared" si="58"/>
        <v>0</v>
      </c>
      <c r="J31" s="223">
        <f t="shared" si="58"/>
        <v>0</v>
      </c>
      <c r="K31" s="78">
        <f t="shared" si="1"/>
        <v>54000000000</v>
      </c>
      <c r="L31" s="223">
        <f t="shared" ref="L31:Q31" si="59">+L32+L39</f>
        <v>4430680200</v>
      </c>
      <c r="M31" s="223">
        <f t="shared" si="59"/>
        <v>4848747100</v>
      </c>
      <c r="N31" s="223">
        <f t="shared" si="59"/>
        <v>6027910300</v>
      </c>
      <c r="O31" s="223">
        <f t="shared" si="59"/>
        <v>4966344500</v>
      </c>
      <c r="P31" s="223">
        <f t="shared" si="59"/>
        <v>4194323700</v>
      </c>
      <c r="Q31" s="407">
        <f t="shared" si="59"/>
        <v>5263978300</v>
      </c>
      <c r="R31" s="78">
        <f t="shared" si="9"/>
        <v>29731984100</v>
      </c>
      <c r="S31" s="223">
        <f t="shared" ref="S31:Z31" si="60">+S32+S39</f>
        <v>4912084900</v>
      </c>
      <c r="T31" s="223">
        <f t="shared" si="60"/>
        <v>0</v>
      </c>
      <c r="U31" s="223">
        <f t="shared" si="60"/>
        <v>0</v>
      </c>
      <c r="V31" s="223">
        <f t="shared" si="60"/>
        <v>0</v>
      </c>
      <c r="W31" s="223">
        <f t="shared" si="60"/>
        <v>0</v>
      </c>
      <c r="X31" s="223">
        <f t="shared" si="60"/>
        <v>0</v>
      </c>
      <c r="Y31" s="223">
        <f t="shared" si="60"/>
        <v>0</v>
      </c>
      <c r="Z31" s="223">
        <f t="shared" si="60"/>
        <v>0</v>
      </c>
      <c r="AA31" s="78">
        <f t="shared" si="24"/>
        <v>4912084900</v>
      </c>
      <c r="AB31" s="78">
        <f t="shared" si="12"/>
        <v>34644069000</v>
      </c>
      <c r="AC31" s="174">
        <f t="shared" si="13"/>
        <v>0.64155683333333335</v>
      </c>
    </row>
    <row r="32" spans="1:29" s="63" customFormat="1" ht="31.5" x14ac:dyDescent="0.2">
      <c r="A32" s="397">
        <v>1</v>
      </c>
      <c r="B32" s="81" t="s">
        <v>408</v>
      </c>
      <c r="C32" s="79" t="s">
        <v>409</v>
      </c>
      <c r="D32" s="329">
        <v>5400000000</v>
      </c>
      <c r="E32" s="187">
        <f>SUM('ADICIONES  2021'!C32:I32)</f>
        <v>0</v>
      </c>
      <c r="F32" s="146"/>
      <c r="G32" s="146"/>
      <c r="H32" s="146"/>
      <c r="I32" s="146"/>
      <c r="J32" s="146"/>
      <c r="K32" s="78">
        <f t="shared" si="1"/>
        <v>5400000000</v>
      </c>
      <c r="L32" s="146">
        <v>255320000</v>
      </c>
      <c r="M32" s="146">
        <v>286645400</v>
      </c>
      <c r="N32" s="146">
        <v>484993400</v>
      </c>
      <c r="O32" s="146">
        <v>316533800</v>
      </c>
      <c r="P32" s="146">
        <v>231103000</v>
      </c>
      <c r="Q32" s="411">
        <v>292059200</v>
      </c>
      <c r="R32" s="78">
        <f t="shared" si="9"/>
        <v>1866654800</v>
      </c>
      <c r="S32" s="146">
        <v>207631400</v>
      </c>
      <c r="T32" s="146"/>
      <c r="U32" s="146"/>
      <c r="V32" s="146"/>
      <c r="W32" s="146"/>
      <c r="X32" s="146"/>
      <c r="Y32" s="146"/>
      <c r="Z32" s="146"/>
      <c r="AA32" s="78">
        <f t="shared" si="24"/>
        <v>207631400</v>
      </c>
      <c r="AB32" s="78">
        <f t="shared" si="12"/>
        <v>2074286200</v>
      </c>
      <c r="AC32" s="174">
        <f t="shared" si="13"/>
        <v>0.38412707407407409</v>
      </c>
    </row>
    <row r="33" spans="1:29" ht="28.5" x14ac:dyDescent="0.2">
      <c r="B33" s="76" t="s">
        <v>410</v>
      </c>
      <c r="C33" s="154" t="s">
        <v>125</v>
      </c>
      <c r="D33" s="330">
        <f>+D32*69.7845456%</f>
        <v>3768365462.4000001</v>
      </c>
      <c r="E33" s="188">
        <f>SUM('ADICIONES  2021'!C33:I33)</f>
        <v>0</v>
      </c>
      <c r="F33" s="41">
        <f t="shared" ref="F33:J33" si="61">+F32*69.7845456%</f>
        <v>0</v>
      </c>
      <c r="G33" s="41">
        <f t="shared" si="61"/>
        <v>0</v>
      </c>
      <c r="H33" s="41">
        <f t="shared" si="61"/>
        <v>0</v>
      </c>
      <c r="I33" s="41">
        <f t="shared" si="61"/>
        <v>0</v>
      </c>
      <c r="J33" s="41">
        <f t="shared" si="61"/>
        <v>0</v>
      </c>
      <c r="K33" s="128">
        <f t="shared" si="1"/>
        <v>3768365462.4000001</v>
      </c>
      <c r="L33" s="41">
        <f t="shared" ref="L33:Q33" si="62">+L32*69.7845456%</f>
        <v>178173901.82592002</v>
      </c>
      <c r="M33" s="41">
        <f t="shared" si="62"/>
        <v>200034189.8733024</v>
      </c>
      <c r="N33" s="41">
        <f t="shared" si="62"/>
        <v>338450440.3799904</v>
      </c>
      <c r="O33" s="41">
        <f t="shared" si="62"/>
        <v>220891674.00041282</v>
      </c>
      <c r="P33" s="41">
        <f t="shared" si="62"/>
        <v>161274178.417968</v>
      </c>
      <c r="Q33" s="409">
        <f t="shared" si="62"/>
        <v>203812185.60299522</v>
      </c>
      <c r="R33" s="128">
        <f t="shared" si="9"/>
        <v>1302636570.1005888</v>
      </c>
      <c r="S33" s="41">
        <f t="shared" ref="S33:Z33" si="63">+S32*69.7845456%</f>
        <v>144894629.01291841</v>
      </c>
      <c r="T33" s="41">
        <f t="shared" si="63"/>
        <v>0</v>
      </c>
      <c r="U33" s="41">
        <f t="shared" si="63"/>
        <v>0</v>
      </c>
      <c r="V33" s="41">
        <f t="shared" si="63"/>
        <v>0</v>
      </c>
      <c r="W33" s="41">
        <f t="shared" si="63"/>
        <v>0</v>
      </c>
      <c r="X33" s="41">
        <f t="shared" si="63"/>
        <v>0</v>
      </c>
      <c r="Y33" s="41">
        <f t="shared" si="63"/>
        <v>0</v>
      </c>
      <c r="Z33" s="41">
        <f t="shared" si="63"/>
        <v>0</v>
      </c>
      <c r="AA33" s="128">
        <f t="shared" si="24"/>
        <v>144894629.01291841</v>
      </c>
      <c r="AB33" s="128">
        <f t="shared" si="12"/>
        <v>1447531199.1135073</v>
      </c>
      <c r="AC33" s="175">
        <f t="shared" si="13"/>
        <v>0.38412707407407409</v>
      </c>
    </row>
    <row r="34" spans="1:29" ht="14.25" x14ac:dyDescent="0.2">
      <c r="B34" s="76" t="s">
        <v>411</v>
      </c>
      <c r="C34" s="77" t="s">
        <v>126</v>
      </c>
      <c r="D34" s="330">
        <f>+D32*7.992%</f>
        <v>431568000</v>
      </c>
      <c r="E34" s="188">
        <f>SUM('ADICIONES  2021'!C34:I34)</f>
        <v>0</v>
      </c>
      <c r="F34" s="41">
        <f t="shared" ref="F34:J34" si="64">+F32*7.992%</f>
        <v>0</v>
      </c>
      <c r="G34" s="41">
        <f t="shared" si="64"/>
        <v>0</v>
      </c>
      <c r="H34" s="41">
        <f t="shared" si="64"/>
        <v>0</v>
      </c>
      <c r="I34" s="41">
        <f t="shared" si="64"/>
        <v>0</v>
      </c>
      <c r="J34" s="41">
        <f t="shared" si="64"/>
        <v>0</v>
      </c>
      <c r="K34" s="128">
        <f t="shared" si="1"/>
        <v>431568000</v>
      </c>
      <c r="L34" s="41">
        <f t="shared" ref="L34:Q34" si="65">+L32*7.992%</f>
        <v>20405174.400000002</v>
      </c>
      <c r="M34" s="41">
        <f t="shared" si="65"/>
        <v>22908700.368000001</v>
      </c>
      <c r="N34" s="41">
        <f t="shared" si="65"/>
        <v>38760672.528000005</v>
      </c>
      <c r="O34" s="41">
        <f t="shared" si="65"/>
        <v>25297381.296</v>
      </c>
      <c r="P34" s="41">
        <f t="shared" si="65"/>
        <v>18469751.760000002</v>
      </c>
      <c r="Q34" s="409">
        <f t="shared" si="65"/>
        <v>23341371.264000002</v>
      </c>
      <c r="R34" s="128">
        <f t="shared" si="9"/>
        <v>149183051.61600003</v>
      </c>
      <c r="S34" s="41">
        <f t="shared" ref="S34:Z34" si="66">+S32*7.992%</f>
        <v>16593901.488000002</v>
      </c>
      <c r="T34" s="41">
        <f t="shared" si="66"/>
        <v>0</v>
      </c>
      <c r="U34" s="41">
        <f t="shared" si="66"/>
        <v>0</v>
      </c>
      <c r="V34" s="41">
        <f t="shared" si="66"/>
        <v>0</v>
      </c>
      <c r="W34" s="41">
        <f t="shared" si="66"/>
        <v>0</v>
      </c>
      <c r="X34" s="41">
        <f t="shared" si="66"/>
        <v>0</v>
      </c>
      <c r="Y34" s="41">
        <f t="shared" si="66"/>
        <v>0</v>
      </c>
      <c r="Z34" s="41">
        <f t="shared" si="66"/>
        <v>0</v>
      </c>
      <c r="AA34" s="128">
        <f t="shared" si="24"/>
        <v>16593901.488000002</v>
      </c>
      <c r="AB34" s="128">
        <f t="shared" si="12"/>
        <v>165776953.10400003</v>
      </c>
      <c r="AC34" s="175">
        <f t="shared" si="13"/>
        <v>0.38412707407407415</v>
      </c>
    </row>
    <row r="35" spans="1:29" ht="14.25" x14ac:dyDescent="0.2">
      <c r="B35" s="76" t="s">
        <v>412</v>
      </c>
      <c r="C35" s="77" t="s">
        <v>127</v>
      </c>
      <c r="D35" s="330">
        <f>+D32*20%</f>
        <v>1080000000</v>
      </c>
      <c r="E35" s="188">
        <f>SUM('ADICIONES  2021'!C35:I35)</f>
        <v>0</v>
      </c>
      <c r="F35" s="41">
        <f t="shared" ref="F35:J35" si="67">+F32*20%</f>
        <v>0</v>
      </c>
      <c r="G35" s="41">
        <f t="shared" si="67"/>
        <v>0</v>
      </c>
      <c r="H35" s="41">
        <f t="shared" si="67"/>
        <v>0</v>
      </c>
      <c r="I35" s="41">
        <f t="shared" si="67"/>
        <v>0</v>
      </c>
      <c r="J35" s="41">
        <f t="shared" si="67"/>
        <v>0</v>
      </c>
      <c r="K35" s="128">
        <f t="shared" si="1"/>
        <v>1080000000</v>
      </c>
      <c r="L35" s="41">
        <f t="shared" ref="L35:Q35" si="68">+L32*20%</f>
        <v>51064000</v>
      </c>
      <c r="M35" s="41">
        <f t="shared" si="68"/>
        <v>57329080</v>
      </c>
      <c r="N35" s="41">
        <f t="shared" si="68"/>
        <v>96998680</v>
      </c>
      <c r="O35" s="41">
        <f t="shared" si="68"/>
        <v>63306760</v>
      </c>
      <c r="P35" s="41">
        <f t="shared" si="68"/>
        <v>46220600</v>
      </c>
      <c r="Q35" s="409">
        <f t="shared" si="68"/>
        <v>58411840</v>
      </c>
      <c r="R35" s="128">
        <f t="shared" si="9"/>
        <v>373330960</v>
      </c>
      <c r="S35" s="41">
        <f t="shared" ref="S35:Z35" si="69">+S32*20%</f>
        <v>41526280</v>
      </c>
      <c r="T35" s="41">
        <f t="shared" si="69"/>
        <v>0</v>
      </c>
      <c r="U35" s="41">
        <f t="shared" si="69"/>
        <v>0</v>
      </c>
      <c r="V35" s="41">
        <f t="shared" si="69"/>
        <v>0</v>
      </c>
      <c r="W35" s="41">
        <f t="shared" si="69"/>
        <v>0</v>
      </c>
      <c r="X35" s="41">
        <f t="shared" si="69"/>
        <v>0</v>
      </c>
      <c r="Y35" s="41">
        <f t="shared" si="69"/>
        <v>0</v>
      </c>
      <c r="Z35" s="41">
        <f t="shared" si="69"/>
        <v>0</v>
      </c>
      <c r="AA35" s="128">
        <f t="shared" si="24"/>
        <v>41526280</v>
      </c>
      <c r="AB35" s="128">
        <f t="shared" si="12"/>
        <v>414857240</v>
      </c>
      <c r="AC35" s="175">
        <f t="shared" si="13"/>
        <v>0.38412707407407409</v>
      </c>
    </row>
    <row r="36" spans="1:29" ht="14.25" x14ac:dyDescent="0.2">
      <c r="B36" s="76" t="s">
        <v>413</v>
      </c>
      <c r="C36" s="77" t="s">
        <v>128</v>
      </c>
      <c r="D36" s="330">
        <f>+D32*0.08%</f>
        <v>4320000</v>
      </c>
      <c r="E36" s="188">
        <f>SUM('ADICIONES  2021'!C36:I36)</f>
        <v>0</v>
      </c>
      <c r="F36" s="41">
        <f t="shared" ref="F36:J36" si="70">+F32*0.08%</f>
        <v>0</v>
      </c>
      <c r="G36" s="41">
        <f t="shared" si="70"/>
        <v>0</v>
      </c>
      <c r="H36" s="41">
        <f t="shared" si="70"/>
        <v>0</v>
      </c>
      <c r="I36" s="41">
        <f t="shared" si="70"/>
        <v>0</v>
      </c>
      <c r="J36" s="41">
        <f t="shared" si="70"/>
        <v>0</v>
      </c>
      <c r="K36" s="128">
        <f t="shared" si="1"/>
        <v>4320000</v>
      </c>
      <c r="L36" s="41">
        <f t="shared" ref="L36:Q36" si="71">+L32*0.08%</f>
        <v>204256</v>
      </c>
      <c r="M36" s="41">
        <f t="shared" si="71"/>
        <v>229316.32</v>
      </c>
      <c r="N36" s="41">
        <f t="shared" si="71"/>
        <v>387994.72000000003</v>
      </c>
      <c r="O36" s="41">
        <f t="shared" si="71"/>
        <v>253227.04</v>
      </c>
      <c r="P36" s="41">
        <f t="shared" si="71"/>
        <v>184882.40000000002</v>
      </c>
      <c r="Q36" s="409">
        <f t="shared" si="71"/>
        <v>233647.36000000002</v>
      </c>
      <c r="R36" s="128">
        <f t="shared" si="9"/>
        <v>1493323.84</v>
      </c>
      <c r="S36" s="41">
        <f t="shared" ref="S36:Z36" si="72">+S32*0.08%</f>
        <v>166105.12</v>
      </c>
      <c r="T36" s="41">
        <f t="shared" si="72"/>
        <v>0</v>
      </c>
      <c r="U36" s="41">
        <f t="shared" si="72"/>
        <v>0</v>
      </c>
      <c r="V36" s="41">
        <f t="shared" si="72"/>
        <v>0</v>
      </c>
      <c r="W36" s="41">
        <f t="shared" si="72"/>
        <v>0</v>
      </c>
      <c r="X36" s="41">
        <f t="shared" si="72"/>
        <v>0</v>
      </c>
      <c r="Y36" s="41">
        <f t="shared" si="72"/>
        <v>0</v>
      </c>
      <c r="Z36" s="41">
        <f t="shared" si="72"/>
        <v>0</v>
      </c>
      <c r="AA36" s="128">
        <f t="shared" si="24"/>
        <v>166105.12</v>
      </c>
      <c r="AB36" s="128">
        <f t="shared" si="12"/>
        <v>1659428.96</v>
      </c>
      <c r="AC36" s="175">
        <f t="shared" si="13"/>
        <v>0.38412707407407409</v>
      </c>
    </row>
    <row r="37" spans="1:29" ht="14.25" x14ac:dyDescent="0.2">
      <c r="B37" s="76" t="s">
        <v>414</v>
      </c>
      <c r="C37" s="77" t="s">
        <v>129</v>
      </c>
      <c r="D37" s="330">
        <f>+D32*1.43856%</f>
        <v>77682240</v>
      </c>
      <c r="E37" s="188">
        <f>SUM('ADICIONES  2021'!C37:I37)</f>
        <v>0</v>
      </c>
      <c r="F37" s="41">
        <f t="shared" ref="F37:J37" si="73">+F32*1.43856%</f>
        <v>0</v>
      </c>
      <c r="G37" s="41">
        <f t="shared" si="73"/>
        <v>0</v>
      </c>
      <c r="H37" s="41">
        <f t="shared" si="73"/>
        <v>0</v>
      </c>
      <c r="I37" s="41">
        <f t="shared" si="73"/>
        <v>0</v>
      </c>
      <c r="J37" s="41">
        <f t="shared" si="73"/>
        <v>0</v>
      </c>
      <c r="K37" s="128">
        <f t="shared" si="1"/>
        <v>77682240</v>
      </c>
      <c r="L37" s="41">
        <f t="shared" ref="L37:Q37" si="74">+L32*1.43856%</f>
        <v>3672931.392</v>
      </c>
      <c r="M37" s="41">
        <f t="shared" si="74"/>
        <v>4123566.0662400001</v>
      </c>
      <c r="N37" s="41">
        <f t="shared" si="74"/>
        <v>6976921.05504</v>
      </c>
      <c r="O37" s="41">
        <f t="shared" si="74"/>
        <v>4553528.6332799997</v>
      </c>
      <c r="P37" s="41">
        <f t="shared" si="74"/>
        <v>3324555.3168000001</v>
      </c>
      <c r="Q37" s="409">
        <f t="shared" si="74"/>
        <v>4201446.8275199998</v>
      </c>
      <c r="R37" s="128">
        <f t="shared" si="9"/>
        <v>26852949.290879995</v>
      </c>
      <c r="S37" s="41">
        <f t="shared" ref="S37:Z37" si="75">+S32*1.43856%</f>
        <v>2986902.2678399999</v>
      </c>
      <c r="T37" s="41">
        <f t="shared" si="75"/>
        <v>0</v>
      </c>
      <c r="U37" s="41">
        <f t="shared" si="75"/>
        <v>0</v>
      </c>
      <c r="V37" s="41">
        <f t="shared" si="75"/>
        <v>0</v>
      </c>
      <c r="W37" s="41">
        <f t="shared" si="75"/>
        <v>0</v>
      </c>
      <c r="X37" s="41">
        <f t="shared" si="75"/>
        <v>0</v>
      </c>
      <c r="Y37" s="41">
        <f t="shared" si="75"/>
        <v>0</v>
      </c>
      <c r="Z37" s="41">
        <f t="shared" si="75"/>
        <v>0</v>
      </c>
      <c r="AA37" s="128">
        <f t="shared" si="24"/>
        <v>2986902.2678399999</v>
      </c>
      <c r="AB37" s="128">
        <f t="shared" si="12"/>
        <v>29839851.558719993</v>
      </c>
      <c r="AC37" s="175">
        <f t="shared" si="13"/>
        <v>0.38412707407407398</v>
      </c>
    </row>
    <row r="38" spans="1:29" ht="28.5" x14ac:dyDescent="0.2">
      <c r="B38" s="76" t="s">
        <v>415</v>
      </c>
      <c r="C38" s="77" t="s">
        <v>130</v>
      </c>
      <c r="D38" s="330">
        <f>+D32*0.7048944%</f>
        <v>38064297.600000001</v>
      </c>
      <c r="E38" s="188">
        <f>SUM('ADICIONES  2021'!C38:I38)</f>
        <v>0</v>
      </c>
      <c r="F38" s="41">
        <f t="shared" ref="F38:J38" si="76">+F32*0.7048944%</f>
        <v>0</v>
      </c>
      <c r="G38" s="41">
        <f t="shared" si="76"/>
        <v>0</v>
      </c>
      <c r="H38" s="41">
        <f t="shared" si="76"/>
        <v>0</v>
      </c>
      <c r="I38" s="41">
        <f t="shared" si="76"/>
        <v>0</v>
      </c>
      <c r="J38" s="41">
        <f t="shared" si="76"/>
        <v>0</v>
      </c>
      <c r="K38" s="128">
        <f t="shared" si="1"/>
        <v>38064297.600000001</v>
      </c>
      <c r="L38" s="41">
        <f t="shared" ref="L38:Q38" si="77">+L32*0.7048944%</f>
        <v>1799736.3820800001</v>
      </c>
      <c r="M38" s="41">
        <f t="shared" si="77"/>
        <v>2020547.3724576002</v>
      </c>
      <c r="N38" s="41">
        <f t="shared" si="77"/>
        <v>3418691.3169696005</v>
      </c>
      <c r="O38" s="41">
        <f t="shared" si="77"/>
        <v>2231229.0303072003</v>
      </c>
      <c r="P38" s="41">
        <f t="shared" si="77"/>
        <v>1629032.1052320001</v>
      </c>
      <c r="Q38" s="409">
        <f t="shared" si="77"/>
        <v>2058708.9454848003</v>
      </c>
      <c r="R38" s="128">
        <f t="shared" si="9"/>
        <v>13157945.152531201</v>
      </c>
      <c r="S38" s="41">
        <f t="shared" ref="S38:Z38" si="78">+S32*0.7048944%</f>
        <v>1463582.1112416</v>
      </c>
      <c r="T38" s="41">
        <f t="shared" si="78"/>
        <v>0</v>
      </c>
      <c r="U38" s="41">
        <f t="shared" si="78"/>
        <v>0</v>
      </c>
      <c r="V38" s="41">
        <f t="shared" si="78"/>
        <v>0</v>
      </c>
      <c r="W38" s="41">
        <f t="shared" si="78"/>
        <v>0</v>
      </c>
      <c r="X38" s="41">
        <f t="shared" si="78"/>
        <v>0</v>
      </c>
      <c r="Y38" s="41">
        <f t="shared" si="78"/>
        <v>0</v>
      </c>
      <c r="Z38" s="41">
        <f t="shared" si="78"/>
        <v>0</v>
      </c>
      <c r="AA38" s="128">
        <f t="shared" si="24"/>
        <v>1463582.1112416</v>
      </c>
      <c r="AB38" s="128">
        <f t="shared" si="12"/>
        <v>14621527.263772801</v>
      </c>
      <c r="AC38" s="175">
        <f t="shared" si="13"/>
        <v>0.38412707407407409</v>
      </c>
    </row>
    <row r="39" spans="1:29" s="63" customFormat="1" ht="31.5" x14ac:dyDescent="0.2">
      <c r="A39" s="397">
        <v>1</v>
      </c>
      <c r="B39" s="81" t="s">
        <v>416</v>
      </c>
      <c r="C39" s="79" t="s">
        <v>417</v>
      </c>
      <c r="D39" s="329">
        <v>48600000000</v>
      </c>
      <c r="E39" s="187">
        <f>SUM('ADICIONES  2021'!C39:I39)</f>
        <v>0</v>
      </c>
      <c r="F39" s="146"/>
      <c r="G39" s="146"/>
      <c r="H39" s="146"/>
      <c r="I39" s="146"/>
      <c r="J39" s="146"/>
      <c r="K39" s="78">
        <f t="shared" si="1"/>
        <v>48600000000</v>
      </c>
      <c r="L39" s="146">
        <v>4175360200</v>
      </c>
      <c r="M39" s="146">
        <v>4562101700</v>
      </c>
      <c r="N39" s="146">
        <v>5542916900</v>
      </c>
      <c r="O39" s="146">
        <v>4649810700</v>
      </c>
      <c r="P39" s="146">
        <v>3963220700</v>
      </c>
      <c r="Q39" s="411">
        <v>4971919100</v>
      </c>
      <c r="R39" s="78">
        <f t="shared" si="9"/>
        <v>27865329300</v>
      </c>
      <c r="S39" s="146">
        <v>4704453500</v>
      </c>
      <c r="T39" s="146"/>
      <c r="U39" s="146"/>
      <c r="V39" s="146"/>
      <c r="W39" s="146"/>
      <c r="X39" s="146"/>
      <c r="Y39" s="146"/>
      <c r="Z39" s="146"/>
      <c r="AA39" s="78">
        <f t="shared" si="24"/>
        <v>4704453500</v>
      </c>
      <c r="AB39" s="78">
        <f t="shared" si="12"/>
        <v>32569782800</v>
      </c>
      <c r="AC39" s="174">
        <f t="shared" si="13"/>
        <v>0.67016013991769552</v>
      </c>
    </row>
    <row r="40" spans="1:29" ht="28.5" x14ac:dyDescent="0.2">
      <c r="B40" s="76" t="s">
        <v>418</v>
      </c>
      <c r="C40" s="154" t="s">
        <v>125</v>
      </c>
      <c r="D40" s="330">
        <f>+D39*69.7845456%</f>
        <v>33915289161.600002</v>
      </c>
      <c r="E40" s="188">
        <f>SUM('ADICIONES  2021'!C40:I40)</f>
        <v>0</v>
      </c>
      <c r="F40" s="41">
        <f t="shared" ref="F40:J40" si="79">+F39*69.7845456%</f>
        <v>0</v>
      </c>
      <c r="G40" s="41">
        <f t="shared" si="79"/>
        <v>0</v>
      </c>
      <c r="H40" s="41">
        <f t="shared" si="79"/>
        <v>0</v>
      </c>
      <c r="I40" s="41">
        <f t="shared" si="79"/>
        <v>0</v>
      </c>
      <c r="J40" s="41">
        <f t="shared" si="79"/>
        <v>0</v>
      </c>
      <c r="K40" s="128">
        <f t="shared" si="1"/>
        <v>33915289161.600002</v>
      </c>
      <c r="L40" s="41">
        <f t="shared" ref="L40:Q40" si="80">+L39*69.7845456%</f>
        <v>2913756142.7332511</v>
      </c>
      <c r="M40" s="41">
        <f t="shared" si="80"/>
        <v>3183641941.1548753</v>
      </c>
      <c r="N40" s="41">
        <f t="shared" si="80"/>
        <v>3868099371.6506066</v>
      </c>
      <c r="O40" s="41">
        <f t="shared" si="80"/>
        <v>3244849268.2551794</v>
      </c>
      <c r="P40" s="41">
        <f t="shared" si="80"/>
        <v>2765715556.6201391</v>
      </c>
      <c r="Q40" s="409">
        <f t="shared" si="80"/>
        <v>3469631151.5346098</v>
      </c>
      <c r="R40" s="128">
        <f t="shared" si="9"/>
        <v>19445693431.948662</v>
      </c>
      <c r="S40" s="41">
        <f t="shared" ref="S40:Z40" si="81">+S39*69.7845456%</f>
        <v>3282981497.9382963</v>
      </c>
      <c r="T40" s="41">
        <f t="shared" si="81"/>
        <v>0</v>
      </c>
      <c r="U40" s="41">
        <f t="shared" si="81"/>
        <v>0</v>
      </c>
      <c r="V40" s="41">
        <f t="shared" si="81"/>
        <v>0</v>
      </c>
      <c r="W40" s="41">
        <f t="shared" si="81"/>
        <v>0</v>
      </c>
      <c r="X40" s="41">
        <f t="shared" si="81"/>
        <v>0</v>
      </c>
      <c r="Y40" s="41">
        <f t="shared" si="81"/>
        <v>0</v>
      </c>
      <c r="Z40" s="41">
        <f t="shared" si="81"/>
        <v>0</v>
      </c>
      <c r="AA40" s="128">
        <f t="shared" si="24"/>
        <v>3282981497.9382963</v>
      </c>
      <c r="AB40" s="128">
        <f t="shared" si="12"/>
        <v>22728674929.886959</v>
      </c>
      <c r="AC40" s="175">
        <f t="shared" si="13"/>
        <v>0.67016013991769552</v>
      </c>
    </row>
    <row r="41" spans="1:29" ht="14.25" x14ac:dyDescent="0.2">
      <c r="B41" s="76" t="s">
        <v>419</v>
      </c>
      <c r="C41" s="77" t="s">
        <v>126</v>
      </c>
      <c r="D41" s="330">
        <f>+D39*7.992%</f>
        <v>3884112000.0000005</v>
      </c>
      <c r="E41" s="188">
        <f>SUM('ADICIONES  2021'!C41:I41)</f>
        <v>0</v>
      </c>
      <c r="F41" s="41">
        <f t="shared" ref="F41:J41" si="82">+F39*7.992%</f>
        <v>0</v>
      </c>
      <c r="G41" s="41">
        <f t="shared" si="82"/>
        <v>0</v>
      </c>
      <c r="H41" s="41">
        <f t="shared" si="82"/>
        <v>0</v>
      </c>
      <c r="I41" s="41">
        <f t="shared" si="82"/>
        <v>0</v>
      </c>
      <c r="J41" s="41">
        <f t="shared" si="82"/>
        <v>0</v>
      </c>
      <c r="K41" s="128">
        <f t="shared" si="1"/>
        <v>3884112000.0000005</v>
      </c>
      <c r="L41" s="41">
        <f t="shared" ref="L41:Q41" si="83">+L39*7.992%</f>
        <v>333694787.18400002</v>
      </c>
      <c r="M41" s="41">
        <f t="shared" si="83"/>
        <v>364603167.86400002</v>
      </c>
      <c r="N41" s="41">
        <f t="shared" si="83"/>
        <v>442989918.648</v>
      </c>
      <c r="O41" s="41">
        <f t="shared" si="83"/>
        <v>371612871.14399999</v>
      </c>
      <c r="P41" s="41">
        <f t="shared" si="83"/>
        <v>316740598.34400004</v>
      </c>
      <c r="Q41" s="409">
        <f t="shared" si="83"/>
        <v>397355774.472</v>
      </c>
      <c r="R41" s="128">
        <f t="shared" si="9"/>
        <v>2226997117.6560001</v>
      </c>
      <c r="S41" s="41">
        <f t="shared" ref="S41:Z41" si="84">+S39*7.992%</f>
        <v>375979923.72000003</v>
      </c>
      <c r="T41" s="41">
        <f t="shared" si="84"/>
        <v>0</v>
      </c>
      <c r="U41" s="41">
        <f t="shared" si="84"/>
        <v>0</v>
      </c>
      <c r="V41" s="41">
        <f t="shared" si="84"/>
        <v>0</v>
      </c>
      <c r="W41" s="41">
        <f t="shared" si="84"/>
        <v>0</v>
      </c>
      <c r="X41" s="41">
        <f t="shared" si="84"/>
        <v>0</v>
      </c>
      <c r="Y41" s="41">
        <f t="shared" si="84"/>
        <v>0</v>
      </c>
      <c r="Z41" s="41">
        <f t="shared" si="84"/>
        <v>0</v>
      </c>
      <c r="AA41" s="128">
        <f t="shared" si="24"/>
        <v>375979923.72000003</v>
      </c>
      <c r="AB41" s="128">
        <f t="shared" si="12"/>
        <v>2602977041.3760004</v>
      </c>
      <c r="AC41" s="175">
        <f t="shared" si="13"/>
        <v>0.67016013991769552</v>
      </c>
    </row>
    <row r="42" spans="1:29" ht="14.25" x14ac:dyDescent="0.2">
      <c r="B42" s="76" t="s">
        <v>420</v>
      </c>
      <c r="C42" s="77" t="s">
        <v>127</v>
      </c>
      <c r="D42" s="330">
        <f>+D39*20%</f>
        <v>9720000000</v>
      </c>
      <c r="E42" s="188">
        <f>SUM('ADICIONES  2021'!C42:I42)</f>
        <v>0</v>
      </c>
      <c r="F42" s="41">
        <f t="shared" ref="F42:J42" si="85">+F39*20%</f>
        <v>0</v>
      </c>
      <c r="G42" s="41">
        <f t="shared" si="85"/>
        <v>0</v>
      </c>
      <c r="H42" s="41">
        <f t="shared" si="85"/>
        <v>0</v>
      </c>
      <c r="I42" s="41">
        <f t="shared" si="85"/>
        <v>0</v>
      </c>
      <c r="J42" s="41">
        <f t="shared" si="85"/>
        <v>0</v>
      </c>
      <c r="K42" s="128">
        <f t="shared" si="1"/>
        <v>9720000000</v>
      </c>
      <c r="L42" s="41">
        <f t="shared" ref="L42:Q42" si="86">+L39*20%</f>
        <v>835072040</v>
      </c>
      <c r="M42" s="41">
        <f t="shared" si="86"/>
        <v>912420340</v>
      </c>
      <c r="N42" s="41">
        <f t="shared" si="86"/>
        <v>1108583380</v>
      </c>
      <c r="O42" s="41">
        <f t="shared" si="86"/>
        <v>929962140</v>
      </c>
      <c r="P42" s="41">
        <f t="shared" si="86"/>
        <v>792644140</v>
      </c>
      <c r="Q42" s="409">
        <f t="shared" si="86"/>
        <v>994383820</v>
      </c>
      <c r="R42" s="128">
        <f t="shared" si="9"/>
        <v>5573065860</v>
      </c>
      <c r="S42" s="41">
        <f t="shared" ref="S42:Z42" si="87">+S39*20%</f>
        <v>940890700</v>
      </c>
      <c r="T42" s="41">
        <f t="shared" si="87"/>
        <v>0</v>
      </c>
      <c r="U42" s="41">
        <f t="shared" si="87"/>
        <v>0</v>
      </c>
      <c r="V42" s="41">
        <f t="shared" si="87"/>
        <v>0</v>
      </c>
      <c r="W42" s="41">
        <f t="shared" si="87"/>
        <v>0</v>
      </c>
      <c r="X42" s="41">
        <f t="shared" si="87"/>
        <v>0</v>
      </c>
      <c r="Y42" s="41">
        <f t="shared" si="87"/>
        <v>0</v>
      </c>
      <c r="Z42" s="41">
        <f t="shared" si="87"/>
        <v>0</v>
      </c>
      <c r="AA42" s="128">
        <f t="shared" si="24"/>
        <v>940890700</v>
      </c>
      <c r="AB42" s="128">
        <f t="shared" si="12"/>
        <v>6513956560</v>
      </c>
      <c r="AC42" s="175">
        <f t="shared" si="13"/>
        <v>0.67016013991769552</v>
      </c>
    </row>
    <row r="43" spans="1:29" ht="14.25" x14ac:dyDescent="0.2">
      <c r="B43" s="76" t="s">
        <v>421</v>
      </c>
      <c r="C43" s="77" t="s">
        <v>128</v>
      </c>
      <c r="D43" s="330">
        <f>+D39*0.08%</f>
        <v>38880000</v>
      </c>
      <c r="E43" s="188">
        <f>SUM('ADICIONES  2021'!C43:I43)</f>
        <v>0</v>
      </c>
      <c r="F43" s="41">
        <f t="shared" ref="F43:J43" si="88">+F39*0.08%</f>
        <v>0</v>
      </c>
      <c r="G43" s="41">
        <f t="shared" si="88"/>
        <v>0</v>
      </c>
      <c r="H43" s="41">
        <f t="shared" si="88"/>
        <v>0</v>
      </c>
      <c r="I43" s="41">
        <f t="shared" si="88"/>
        <v>0</v>
      </c>
      <c r="J43" s="41">
        <f t="shared" si="88"/>
        <v>0</v>
      </c>
      <c r="K43" s="128">
        <f t="shared" si="1"/>
        <v>38880000</v>
      </c>
      <c r="L43" s="41">
        <f t="shared" ref="L43:Q43" si="89">+L39*0.08%</f>
        <v>3340288.16</v>
      </c>
      <c r="M43" s="41">
        <f t="shared" si="89"/>
        <v>3649681.3600000003</v>
      </c>
      <c r="N43" s="41">
        <f t="shared" si="89"/>
        <v>4434333.5200000005</v>
      </c>
      <c r="O43" s="41">
        <f t="shared" si="89"/>
        <v>3719848.56</v>
      </c>
      <c r="P43" s="41">
        <f t="shared" si="89"/>
        <v>3170576.56</v>
      </c>
      <c r="Q43" s="409">
        <f t="shared" si="89"/>
        <v>3977535.2800000003</v>
      </c>
      <c r="R43" s="128">
        <f t="shared" si="9"/>
        <v>22292263.440000001</v>
      </c>
      <c r="S43" s="41">
        <f t="shared" ref="S43:Z43" si="90">+S39*0.08%</f>
        <v>3763562.8000000003</v>
      </c>
      <c r="T43" s="41">
        <f t="shared" si="90"/>
        <v>0</v>
      </c>
      <c r="U43" s="41">
        <f t="shared" si="90"/>
        <v>0</v>
      </c>
      <c r="V43" s="41">
        <f t="shared" si="90"/>
        <v>0</v>
      </c>
      <c r="W43" s="41">
        <f t="shared" si="90"/>
        <v>0</v>
      </c>
      <c r="X43" s="41">
        <f t="shared" si="90"/>
        <v>0</v>
      </c>
      <c r="Y43" s="41">
        <f t="shared" si="90"/>
        <v>0</v>
      </c>
      <c r="Z43" s="41">
        <f t="shared" si="90"/>
        <v>0</v>
      </c>
      <c r="AA43" s="128">
        <f t="shared" si="24"/>
        <v>3763562.8000000003</v>
      </c>
      <c r="AB43" s="128">
        <f t="shared" si="12"/>
        <v>26055826.240000002</v>
      </c>
      <c r="AC43" s="175">
        <f t="shared" si="13"/>
        <v>0.67016013991769552</v>
      </c>
    </row>
    <row r="44" spans="1:29" ht="14.25" x14ac:dyDescent="0.2">
      <c r="B44" s="76" t="s">
        <v>422</v>
      </c>
      <c r="C44" s="77" t="s">
        <v>129</v>
      </c>
      <c r="D44" s="330">
        <f>+D39*1.43856%</f>
        <v>699140160</v>
      </c>
      <c r="E44" s="188">
        <f>SUM('ADICIONES  2021'!C44:I44)</f>
        <v>0</v>
      </c>
      <c r="F44" s="41">
        <f t="shared" ref="F44:J44" si="91">+F39*1.43856%</f>
        <v>0</v>
      </c>
      <c r="G44" s="41">
        <f t="shared" si="91"/>
        <v>0</v>
      </c>
      <c r="H44" s="41">
        <f t="shared" si="91"/>
        <v>0</v>
      </c>
      <c r="I44" s="41">
        <f t="shared" si="91"/>
        <v>0</v>
      </c>
      <c r="J44" s="41">
        <f t="shared" si="91"/>
        <v>0</v>
      </c>
      <c r="K44" s="128">
        <f t="shared" si="1"/>
        <v>699140160</v>
      </c>
      <c r="L44" s="41">
        <f t="shared" ref="L44:Q44" si="92">+L39*1.43856%</f>
        <v>60065061.693120003</v>
      </c>
      <c r="M44" s="41">
        <f t="shared" si="92"/>
        <v>65628570.215520002</v>
      </c>
      <c r="N44" s="41">
        <f t="shared" si="92"/>
        <v>79738185.356639996</v>
      </c>
      <c r="O44" s="41">
        <f t="shared" si="92"/>
        <v>66890316.805919997</v>
      </c>
      <c r="P44" s="41">
        <f t="shared" si="92"/>
        <v>57013307.701920003</v>
      </c>
      <c r="Q44" s="409">
        <f t="shared" si="92"/>
        <v>71524039.404960006</v>
      </c>
      <c r="R44" s="128">
        <f t="shared" si="9"/>
        <v>400859481.17808008</v>
      </c>
      <c r="S44" s="41">
        <f t="shared" ref="S44:Z44" si="93">+S39*1.43856%</f>
        <v>67676386.269600004</v>
      </c>
      <c r="T44" s="41">
        <f t="shared" si="93"/>
        <v>0</v>
      </c>
      <c r="U44" s="41">
        <f t="shared" si="93"/>
        <v>0</v>
      </c>
      <c r="V44" s="41">
        <f t="shared" si="93"/>
        <v>0</v>
      </c>
      <c r="W44" s="41">
        <f t="shared" si="93"/>
        <v>0</v>
      </c>
      <c r="X44" s="41">
        <f t="shared" si="93"/>
        <v>0</v>
      </c>
      <c r="Y44" s="41">
        <f t="shared" si="93"/>
        <v>0</v>
      </c>
      <c r="Z44" s="41">
        <f t="shared" si="93"/>
        <v>0</v>
      </c>
      <c r="AA44" s="128">
        <f t="shared" si="24"/>
        <v>67676386.269600004</v>
      </c>
      <c r="AB44" s="128">
        <f t="shared" si="12"/>
        <v>468535867.44768012</v>
      </c>
      <c r="AC44" s="175">
        <f t="shared" si="13"/>
        <v>0.67016013991769563</v>
      </c>
    </row>
    <row r="45" spans="1:29" ht="28.5" x14ac:dyDescent="0.2">
      <c r="B45" s="76" t="s">
        <v>423</v>
      </c>
      <c r="C45" s="77" t="s">
        <v>130</v>
      </c>
      <c r="D45" s="330">
        <f>+D39*0.7048944%</f>
        <v>342578678.40000004</v>
      </c>
      <c r="E45" s="188">
        <f>SUM('ADICIONES  2021'!C45:I45)</f>
        <v>0</v>
      </c>
      <c r="F45" s="41">
        <f t="shared" ref="F45:J45" si="94">+F39*0.7048944%</f>
        <v>0</v>
      </c>
      <c r="G45" s="41">
        <f t="shared" si="94"/>
        <v>0</v>
      </c>
      <c r="H45" s="41">
        <f t="shared" si="94"/>
        <v>0</v>
      </c>
      <c r="I45" s="41">
        <f t="shared" si="94"/>
        <v>0</v>
      </c>
      <c r="J45" s="41">
        <f t="shared" si="94"/>
        <v>0</v>
      </c>
      <c r="K45" s="128">
        <f t="shared" si="1"/>
        <v>342578678.40000004</v>
      </c>
      <c r="L45" s="41">
        <f t="shared" ref="L45:Q45" si="95">+L39*0.7048944%</f>
        <v>29431880.229628801</v>
      </c>
      <c r="M45" s="41">
        <f t="shared" si="95"/>
        <v>32157999.405604802</v>
      </c>
      <c r="N45" s="41">
        <f t="shared" si="95"/>
        <v>39071710.824753605</v>
      </c>
      <c r="O45" s="41">
        <f t="shared" si="95"/>
        <v>32776255.234900802</v>
      </c>
      <c r="P45" s="41">
        <f t="shared" si="95"/>
        <v>27936520.773940802</v>
      </c>
      <c r="Q45" s="409">
        <f t="shared" si="95"/>
        <v>35046779.308430403</v>
      </c>
      <c r="R45" s="128">
        <f t="shared" si="9"/>
        <v>196421145.7772592</v>
      </c>
      <c r="S45" s="41">
        <f t="shared" ref="S45:Z45" si="96">+S39*0.7048944%</f>
        <v>33161429.272104003</v>
      </c>
      <c r="T45" s="41">
        <f t="shared" si="96"/>
        <v>0</v>
      </c>
      <c r="U45" s="41">
        <f t="shared" si="96"/>
        <v>0</v>
      </c>
      <c r="V45" s="41">
        <f t="shared" si="96"/>
        <v>0</v>
      </c>
      <c r="W45" s="41">
        <f t="shared" si="96"/>
        <v>0</v>
      </c>
      <c r="X45" s="41">
        <f t="shared" si="96"/>
        <v>0</v>
      </c>
      <c r="Y45" s="41">
        <f t="shared" si="96"/>
        <v>0</v>
      </c>
      <c r="Z45" s="41">
        <f t="shared" si="96"/>
        <v>0</v>
      </c>
      <c r="AA45" s="128">
        <f t="shared" si="24"/>
        <v>33161429.272104003</v>
      </c>
      <c r="AB45" s="128">
        <f t="shared" si="12"/>
        <v>229582575.0493632</v>
      </c>
      <c r="AC45" s="175">
        <f t="shared" si="13"/>
        <v>0.67016013991769541</v>
      </c>
    </row>
    <row r="46" spans="1:29" s="63" customFormat="1" ht="15.75" x14ac:dyDescent="0.2">
      <c r="A46" s="397">
        <v>1</v>
      </c>
      <c r="B46" s="81" t="s">
        <v>424</v>
      </c>
      <c r="C46" s="79" t="s">
        <v>425</v>
      </c>
      <c r="D46" s="329">
        <v>3000000000</v>
      </c>
      <c r="E46" s="187">
        <f>SUM('ADICIONES  2021'!C46:I46)</f>
        <v>0</v>
      </c>
      <c r="F46" s="146"/>
      <c r="G46" s="146"/>
      <c r="H46" s="146"/>
      <c r="I46" s="146"/>
      <c r="J46" s="146"/>
      <c r="K46" s="78">
        <f t="shared" si="1"/>
        <v>3000000000</v>
      </c>
      <c r="L46" s="146">
        <v>387155350</v>
      </c>
      <c r="M46" s="146">
        <v>385510900</v>
      </c>
      <c r="N46" s="146">
        <v>421700300</v>
      </c>
      <c r="O46" s="146">
        <v>434859000</v>
      </c>
      <c r="P46" s="146">
        <v>385099700</v>
      </c>
      <c r="Q46" s="411">
        <v>276530900</v>
      </c>
      <c r="R46" s="78">
        <f t="shared" si="9"/>
        <v>2290856150</v>
      </c>
      <c r="S46" s="146">
        <v>448945900</v>
      </c>
      <c r="T46" s="146"/>
      <c r="U46" s="146"/>
      <c r="V46" s="146"/>
      <c r="W46" s="146"/>
      <c r="X46" s="146"/>
      <c r="Y46" s="146"/>
      <c r="Z46" s="146"/>
      <c r="AA46" s="78">
        <f t="shared" si="24"/>
        <v>448945900</v>
      </c>
      <c r="AB46" s="78">
        <f t="shared" si="12"/>
        <v>2739802050</v>
      </c>
      <c r="AC46" s="174">
        <f t="shared" si="13"/>
        <v>0.91326735000000003</v>
      </c>
    </row>
    <row r="47" spans="1:29" ht="28.5" x14ac:dyDescent="0.2">
      <c r="B47" s="76" t="s">
        <v>426</v>
      </c>
      <c r="C47" s="77" t="s">
        <v>181</v>
      </c>
      <c r="D47" s="330">
        <f>+D46*87.230682%</f>
        <v>2616920460</v>
      </c>
      <c r="E47" s="188">
        <f>SUM('ADICIONES  2021'!C47:I47)</f>
        <v>0</v>
      </c>
      <c r="F47" s="41">
        <f t="shared" ref="F47:J47" si="97">+F46*87.230682%</f>
        <v>0</v>
      </c>
      <c r="G47" s="41">
        <f t="shared" si="97"/>
        <v>0</v>
      </c>
      <c r="H47" s="41">
        <f t="shared" si="97"/>
        <v>0</v>
      </c>
      <c r="I47" s="41">
        <f t="shared" si="97"/>
        <v>0</v>
      </c>
      <c r="J47" s="41">
        <f t="shared" si="97"/>
        <v>0</v>
      </c>
      <c r="K47" s="128">
        <f t="shared" si="1"/>
        <v>2616920460</v>
      </c>
      <c r="L47" s="41">
        <f t="shared" ref="L47:Q47" si="98">+L46*87.230682%</f>
        <v>337718252.20448703</v>
      </c>
      <c r="M47" s="41">
        <f t="shared" si="98"/>
        <v>336283787.25433803</v>
      </c>
      <c r="N47" s="41">
        <f t="shared" si="98"/>
        <v>367852047.686046</v>
      </c>
      <c r="O47" s="41">
        <f t="shared" si="98"/>
        <v>379330471.43838</v>
      </c>
      <c r="P47" s="41">
        <f t="shared" si="98"/>
        <v>335925094.68995404</v>
      </c>
      <c r="Q47" s="409">
        <f t="shared" si="98"/>
        <v>241219790.01073802</v>
      </c>
      <c r="R47" s="128">
        <f t="shared" si="9"/>
        <v>1998329443.2839432</v>
      </c>
      <c r="S47" s="41">
        <f t="shared" ref="S47:Z47" si="99">+S46*87.230682%</f>
        <v>391618570.38103801</v>
      </c>
      <c r="T47" s="41">
        <f t="shared" si="99"/>
        <v>0</v>
      </c>
      <c r="U47" s="41">
        <f t="shared" si="99"/>
        <v>0</v>
      </c>
      <c r="V47" s="41">
        <f t="shared" si="99"/>
        <v>0</v>
      </c>
      <c r="W47" s="41">
        <f t="shared" si="99"/>
        <v>0</v>
      </c>
      <c r="X47" s="41">
        <f t="shared" si="99"/>
        <v>0</v>
      </c>
      <c r="Y47" s="41">
        <f t="shared" si="99"/>
        <v>0</v>
      </c>
      <c r="Z47" s="41">
        <f t="shared" si="99"/>
        <v>0</v>
      </c>
      <c r="AA47" s="128">
        <f t="shared" si="24"/>
        <v>391618570.38103801</v>
      </c>
      <c r="AB47" s="128">
        <f t="shared" si="12"/>
        <v>2389948013.6649814</v>
      </c>
      <c r="AC47" s="175">
        <f t="shared" si="13"/>
        <v>0.91326735000000014</v>
      </c>
    </row>
    <row r="48" spans="1:29" ht="14.25" x14ac:dyDescent="0.2">
      <c r="B48" s="76" t="s">
        <v>427</v>
      </c>
      <c r="C48" s="77" t="s">
        <v>182</v>
      </c>
      <c r="D48" s="330">
        <f>+D46*0.1%</f>
        <v>3000000</v>
      </c>
      <c r="E48" s="188">
        <f>SUM('ADICIONES  2021'!C48:I48)</f>
        <v>0</v>
      </c>
      <c r="F48" s="41">
        <f t="shared" ref="F48:J48" si="100">+F46*0.1%</f>
        <v>0</v>
      </c>
      <c r="G48" s="41">
        <f t="shared" si="100"/>
        <v>0</v>
      </c>
      <c r="H48" s="41">
        <f t="shared" si="100"/>
        <v>0</v>
      </c>
      <c r="I48" s="41">
        <f t="shared" si="100"/>
        <v>0</v>
      </c>
      <c r="J48" s="41">
        <f t="shared" si="100"/>
        <v>0</v>
      </c>
      <c r="K48" s="128">
        <f t="shared" si="1"/>
        <v>3000000</v>
      </c>
      <c r="L48" s="41">
        <f t="shared" ref="L48:Q48" si="101">+L46*0.1%</f>
        <v>387155.35000000003</v>
      </c>
      <c r="M48" s="41">
        <f t="shared" si="101"/>
        <v>385510.9</v>
      </c>
      <c r="N48" s="41">
        <f t="shared" si="101"/>
        <v>421700.3</v>
      </c>
      <c r="O48" s="41">
        <f t="shared" si="101"/>
        <v>434859</v>
      </c>
      <c r="P48" s="41">
        <f t="shared" si="101"/>
        <v>385099.7</v>
      </c>
      <c r="Q48" s="409">
        <f t="shared" si="101"/>
        <v>276530.90000000002</v>
      </c>
      <c r="R48" s="128">
        <f t="shared" si="9"/>
        <v>2290856.15</v>
      </c>
      <c r="S48" s="41">
        <f t="shared" ref="S48:Z48" si="102">+S46*0.1%</f>
        <v>448945.9</v>
      </c>
      <c r="T48" s="41">
        <f t="shared" si="102"/>
        <v>0</v>
      </c>
      <c r="U48" s="41">
        <f t="shared" si="102"/>
        <v>0</v>
      </c>
      <c r="V48" s="41">
        <f t="shared" si="102"/>
        <v>0</v>
      </c>
      <c r="W48" s="41">
        <f t="shared" si="102"/>
        <v>0</v>
      </c>
      <c r="X48" s="41">
        <f t="shared" si="102"/>
        <v>0</v>
      </c>
      <c r="Y48" s="41">
        <f t="shared" si="102"/>
        <v>0</v>
      </c>
      <c r="Z48" s="41">
        <f t="shared" si="102"/>
        <v>0</v>
      </c>
      <c r="AA48" s="128">
        <f t="shared" si="24"/>
        <v>448945.9</v>
      </c>
      <c r="AB48" s="128">
        <f t="shared" si="12"/>
        <v>2739802.05</v>
      </c>
      <c r="AC48" s="175">
        <f t="shared" si="13"/>
        <v>0.91326734999999992</v>
      </c>
    </row>
    <row r="49" spans="1:29" ht="14.25" x14ac:dyDescent="0.2">
      <c r="B49" s="76" t="s">
        <v>428</v>
      </c>
      <c r="C49" s="154" t="s">
        <v>183</v>
      </c>
      <c r="D49" s="330">
        <f>+D46*9.99%</f>
        <v>299700000</v>
      </c>
      <c r="E49" s="188">
        <f>SUM('ADICIONES  2021'!C49:I49)</f>
        <v>0</v>
      </c>
      <c r="F49" s="41">
        <f t="shared" ref="F49:J49" si="103">+F46*9.99%</f>
        <v>0</v>
      </c>
      <c r="G49" s="41">
        <f t="shared" si="103"/>
        <v>0</v>
      </c>
      <c r="H49" s="41">
        <f t="shared" si="103"/>
        <v>0</v>
      </c>
      <c r="I49" s="41">
        <f t="shared" si="103"/>
        <v>0</v>
      </c>
      <c r="J49" s="41">
        <f t="shared" si="103"/>
        <v>0</v>
      </c>
      <c r="K49" s="128">
        <f t="shared" si="1"/>
        <v>299700000</v>
      </c>
      <c r="L49" s="41">
        <f t="shared" ref="L49:Q49" si="104">+L46*9.99%</f>
        <v>38676819.465000004</v>
      </c>
      <c r="M49" s="41">
        <f t="shared" si="104"/>
        <v>38512538.910000004</v>
      </c>
      <c r="N49" s="41">
        <f t="shared" si="104"/>
        <v>42127859.969999999</v>
      </c>
      <c r="O49" s="41">
        <f t="shared" si="104"/>
        <v>43442414.100000001</v>
      </c>
      <c r="P49" s="41">
        <f t="shared" si="104"/>
        <v>38471460.030000001</v>
      </c>
      <c r="Q49" s="409">
        <f t="shared" si="104"/>
        <v>27625436.91</v>
      </c>
      <c r="R49" s="128">
        <f t="shared" si="9"/>
        <v>228856529.38499999</v>
      </c>
      <c r="S49" s="41">
        <f t="shared" ref="S49:Z49" si="105">+S46*9.99%</f>
        <v>44849695.410000004</v>
      </c>
      <c r="T49" s="41">
        <f t="shared" si="105"/>
        <v>0</v>
      </c>
      <c r="U49" s="41">
        <f t="shared" si="105"/>
        <v>0</v>
      </c>
      <c r="V49" s="41">
        <f t="shared" si="105"/>
        <v>0</v>
      </c>
      <c r="W49" s="41">
        <f t="shared" si="105"/>
        <v>0</v>
      </c>
      <c r="X49" s="41">
        <f t="shared" si="105"/>
        <v>0</v>
      </c>
      <c r="Y49" s="41">
        <f t="shared" si="105"/>
        <v>0</v>
      </c>
      <c r="Z49" s="41">
        <f t="shared" si="105"/>
        <v>0</v>
      </c>
      <c r="AA49" s="128">
        <f t="shared" si="24"/>
        <v>44849695.410000004</v>
      </c>
      <c r="AB49" s="128">
        <f t="shared" si="12"/>
        <v>273706224.79500002</v>
      </c>
      <c r="AC49" s="175">
        <f t="shared" si="13"/>
        <v>0.91326735000000003</v>
      </c>
    </row>
    <row r="50" spans="1:29" ht="28.5" x14ac:dyDescent="0.2">
      <c r="B50" s="76" t="s">
        <v>429</v>
      </c>
      <c r="C50" s="77" t="s">
        <v>184</v>
      </c>
      <c r="D50" s="330">
        <f>+D46*1.7982%</f>
        <v>53946000.000000007</v>
      </c>
      <c r="E50" s="188">
        <f>SUM('ADICIONES  2021'!C50:I50)</f>
        <v>0</v>
      </c>
      <c r="F50" s="41">
        <f t="shared" ref="F50:J50" si="106">+F46*1.7982%</f>
        <v>0</v>
      </c>
      <c r="G50" s="41">
        <f t="shared" si="106"/>
        <v>0</v>
      </c>
      <c r="H50" s="41">
        <f t="shared" si="106"/>
        <v>0</v>
      </c>
      <c r="I50" s="41">
        <f t="shared" si="106"/>
        <v>0</v>
      </c>
      <c r="J50" s="41">
        <f t="shared" si="106"/>
        <v>0</v>
      </c>
      <c r="K50" s="128">
        <f t="shared" si="1"/>
        <v>53946000.000000007</v>
      </c>
      <c r="L50" s="41">
        <f t="shared" ref="L50:Q50" si="107">+L46*1.7982%</f>
        <v>6961827.5037000002</v>
      </c>
      <c r="M50" s="41">
        <f t="shared" si="107"/>
        <v>6932257.003800001</v>
      </c>
      <c r="N50" s="41">
        <f t="shared" si="107"/>
        <v>7583014.7946000006</v>
      </c>
      <c r="O50" s="41">
        <f t="shared" si="107"/>
        <v>7819634.5380000006</v>
      </c>
      <c r="P50" s="41">
        <f t="shared" si="107"/>
        <v>6924862.8054000009</v>
      </c>
      <c r="Q50" s="409">
        <f t="shared" si="107"/>
        <v>4972578.6438000007</v>
      </c>
      <c r="R50" s="128">
        <f t="shared" si="9"/>
        <v>41194175.289300002</v>
      </c>
      <c r="S50" s="41">
        <f t="shared" ref="S50:Z50" si="108">+S46*1.7982%</f>
        <v>8072945.1738000009</v>
      </c>
      <c r="T50" s="41">
        <f t="shared" si="108"/>
        <v>0</v>
      </c>
      <c r="U50" s="41">
        <f t="shared" si="108"/>
        <v>0</v>
      </c>
      <c r="V50" s="41">
        <f t="shared" si="108"/>
        <v>0</v>
      </c>
      <c r="W50" s="41">
        <f t="shared" si="108"/>
        <v>0</v>
      </c>
      <c r="X50" s="41">
        <f t="shared" si="108"/>
        <v>0</v>
      </c>
      <c r="Y50" s="41">
        <f t="shared" si="108"/>
        <v>0</v>
      </c>
      <c r="Z50" s="41">
        <f t="shared" si="108"/>
        <v>0</v>
      </c>
      <c r="AA50" s="128">
        <f t="shared" si="24"/>
        <v>8072945.1738000009</v>
      </c>
      <c r="AB50" s="128">
        <f t="shared" si="12"/>
        <v>49267120.463100001</v>
      </c>
      <c r="AC50" s="175">
        <f t="shared" si="13"/>
        <v>0.91326734999999992</v>
      </c>
    </row>
    <row r="51" spans="1:29" ht="28.5" x14ac:dyDescent="0.2">
      <c r="B51" s="76" t="s">
        <v>430</v>
      </c>
      <c r="C51" s="77" t="s">
        <v>185</v>
      </c>
      <c r="D51" s="330">
        <f>+D46*0.881118%</f>
        <v>26433540</v>
      </c>
      <c r="E51" s="188">
        <f>SUM('ADICIONES  2021'!C51:I51)</f>
        <v>0</v>
      </c>
      <c r="F51" s="41">
        <f t="shared" ref="F51:J51" si="109">+F46*0.881118%</f>
        <v>0</v>
      </c>
      <c r="G51" s="41">
        <f t="shared" si="109"/>
        <v>0</v>
      </c>
      <c r="H51" s="41">
        <f t="shared" si="109"/>
        <v>0</v>
      </c>
      <c r="I51" s="41">
        <f t="shared" si="109"/>
        <v>0</v>
      </c>
      <c r="J51" s="41">
        <f t="shared" si="109"/>
        <v>0</v>
      </c>
      <c r="K51" s="128">
        <f t="shared" si="1"/>
        <v>26433540</v>
      </c>
      <c r="L51" s="41">
        <f t="shared" ref="L51:Q51" si="110">+L46*0.881118%</f>
        <v>3411295.4768130002</v>
      </c>
      <c r="M51" s="41">
        <f t="shared" si="110"/>
        <v>3396805.9318619999</v>
      </c>
      <c r="N51" s="41">
        <f t="shared" si="110"/>
        <v>3715677.2493540002</v>
      </c>
      <c r="O51" s="41">
        <f t="shared" si="110"/>
        <v>3831620.92362</v>
      </c>
      <c r="P51" s="41">
        <f t="shared" si="110"/>
        <v>3393182.774646</v>
      </c>
      <c r="Q51" s="409">
        <f t="shared" si="110"/>
        <v>2436563.5354619999</v>
      </c>
      <c r="R51" s="128">
        <f t="shared" si="9"/>
        <v>20185145.891757</v>
      </c>
      <c r="S51" s="41">
        <f t="shared" ref="S51:Z51" si="111">+S46*0.881118%</f>
        <v>3955743.1351620001</v>
      </c>
      <c r="T51" s="41">
        <f t="shared" si="111"/>
        <v>0</v>
      </c>
      <c r="U51" s="41">
        <f t="shared" si="111"/>
        <v>0</v>
      </c>
      <c r="V51" s="41">
        <f t="shared" si="111"/>
        <v>0</v>
      </c>
      <c r="W51" s="41">
        <f t="shared" si="111"/>
        <v>0</v>
      </c>
      <c r="X51" s="41">
        <f t="shared" si="111"/>
        <v>0</v>
      </c>
      <c r="Y51" s="41">
        <f t="shared" si="111"/>
        <v>0</v>
      </c>
      <c r="Z51" s="41">
        <f t="shared" si="111"/>
        <v>0</v>
      </c>
      <c r="AA51" s="128">
        <f t="shared" si="24"/>
        <v>3955743.1351620001</v>
      </c>
      <c r="AB51" s="128">
        <f t="shared" si="12"/>
        <v>24140889.026919</v>
      </c>
      <c r="AC51" s="175">
        <f t="shared" si="13"/>
        <v>0.91326735000000003</v>
      </c>
    </row>
    <row r="52" spans="1:29" s="63" customFormat="1" ht="31.5" x14ac:dyDescent="0.2">
      <c r="A52" s="397"/>
      <c r="B52" s="81" t="s">
        <v>431</v>
      </c>
      <c r="C52" s="79" t="s">
        <v>432</v>
      </c>
      <c r="D52" s="329">
        <f>+D53+D66</f>
        <v>11210000000</v>
      </c>
      <c r="E52" s="187">
        <f>SUM('ADICIONES  2021'!C52:I52)</f>
        <v>0</v>
      </c>
      <c r="F52" s="223">
        <f t="shared" ref="F52:J52" si="112">+F53+F66</f>
        <v>0</v>
      </c>
      <c r="G52" s="223">
        <f t="shared" si="112"/>
        <v>0</v>
      </c>
      <c r="H52" s="223">
        <f t="shared" si="112"/>
        <v>0</v>
      </c>
      <c r="I52" s="223">
        <f t="shared" si="112"/>
        <v>0</v>
      </c>
      <c r="J52" s="223">
        <f t="shared" si="112"/>
        <v>0</v>
      </c>
      <c r="K52" s="78">
        <f t="shared" si="1"/>
        <v>11210000000</v>
      </c>
      <c r="L52" s="223">
        <f t="shared" ref="L52:Q52" si="113">+L53+L66</f>
        <v>2320488617</v>
      </c>
      <c r="M52" s="223">
        <f t="shared" si="113"/>
        <v>795897270</v>
      </c>
      <c r="N52" s="223">
        <f t="shared" si="113"/>
        <v>1526197728</v>
      </c>
      <c r="O52" s="223">
        <f t="shared" si="113"/>
        <v>1066083240</v>
      </c>
      <c r="P52" s="223">
        <f t="shared" si="113"/>
        <v>1066021600</v>
      </c>
      <c r="Q52" s="407">
        <f t="shared" si="113"/>
        <v>992006400</v>
      </c>
      <c r="R52" s="78">
        <f t="shared" si="9"/>
        <v>7766694855</v>
      </c>
      <c r="S52" s="223">
        <f t="shared" ref="S52:Z52" si="114">+S53+S66</f>
        <v>1459532200</v>
      </c>
      <c r="T52" s="223">
        <f t="shared" si="114"/>
        <v>0</v>
      </c>
      <c r="U52" s="223">
        <f t="shared" si="114"/>
        <v>0</v>
      </c>
      <c r="V52" s="223">
        <f t="shared" si="114"/>
        <v>0</v>
      </c>
      <c r="W52" s="223">
        <f t="shared" si="114"/>
        <v>0</v>
      </c>
      <c r="X52" s="223">
        <f t="shared" si="114"/>
        <v>0</v>
      </c>
      <c r="Y52" s="223">
        <f t="shared" si="114"/>
        <v>0</v>
      </c>
      <c r="Z52" s="223">
        <f t="shared" si="114"/>
        <v>0</v>
      </c>
      <c r="AA52" s="78">
        <f t="shared" si="24"/>
        <v>1459532200</v>
      </c>
      <c r="AB52" s="78">
        <f t="shared" si="12"/>
        <v>9226227055</v>
      </c>
      <c r="AC52" s="174">
        <f t="shared" si="13"/>
        <v>0.82303541971454064</v>
      </c>
    </row>
    <row r="53" spans="1:29" s="63" customFormat="1" ht="15.75" x14ac:dyDescent="0.2">
      <c r="A53" s="397">
        <v>1</v>
      </c>
      <c r="B53" s="81" t="s">
        <v>433</v>
      </c>
      <c r="C53" s="79" t="s">
        <v>434</v>
      </c>
      <c r="D53" s="329">
        <f>+D54+D60</f>
        <v>7010000000</v>
      </c>
      <c r="E53" s="187">
        <f>SUM('ADICIONES  2021'!C53:I53)</f>
        <v>0</v>
      </c>
      <c r="F53" s="223">
        <f t="shared" ref="F53:J53" si="115">+F54+F60</f>
        <v>0</v>
      </c>
      <c r="G53" s="223">
        <f t="shared" si="115"/>
        <v>0</v>
      </c>
      <c r="H53" s="223">
        <f t="shared" si="115"/>
        <v>0</v>
      </c>
      <c r="I53" s="223">
        <f t="shared" si="115"/>
        <v>0</v>
      </c>
      <c r="J53" s="223">
        <f t="shared" si="115"/>
        <v>0</v>
      </c>
      <c r="K53" s="78">
        <f t="shared" si="1"/>
        <v>7010000000</v>
      </c>
      <c r="L53" s="223">
        <f t="shared" ref="L53:Q53" si="116">+L54+L60</f>
        <v>1438428374</v>
      </c>
      <c r="M53" s="223">
        <f t="shared" si="116"/>
        <v>531566428</v>
      </c>
      <c r="N53" s="223">
        <f t="shared" si="116"/>
        <v>1022861813</v>
      </c>
      <c r="O53" s="223">
        <f t="shared" si="116"/>
        <v>695531310</v>
      </c>
      <c r="P53" s="223">
        <f t="shared" si="116"/>
        <v>694761809</v>
      </c>
      <c r="Q53" s="407">
        <f t="shared" si="116"/>
        <v>569638842</v>
      </c>
      <c r="R53" s="78">
        <f t="shared" si="9"/>
        <v>4952788576</v>
      </c>
      <c r="S53" s="223">
        <f t="shared" ref="S53:Z53" si="117">+S54+S60</f>
        <v>975943549</v>
      </c>
      <c r="T53" s="223">
        <f t="shared" si="117"/>
        <v>0</v>
      </c>
      <c r="U53" s="223">
        <f t="shared" si="117"/>
        <v>0</v>
      </c>
      <c r="V53" s="223">
        <f t="shared" si="117"/>
        <v>0</v>
      </c>
      <c r="W53" s="223">
        <f t="shared" si="117"/>
        <v>0</v>
      </c>
      <c r="X53" s="223">
        <f t="shared" si="117"/>
        <v>0</v>
      </c>
      <c r="Y53" s="223">
        <f t="shared" si="117"/>
        <v>0</v>
      </c>
      <c r="Z53" s="223">
        <f t="shared" si="117"/>
        <v>0</v>
      </c>
      <c r="AA53" s="78">
        <f t="shared" si="24"/>
        <v>975943549</v>
      </c>
      <c r="AB53" s="78">
        <f t="shared" si="12"/>
        <v>5928732125</v>
      </c>
      <c r="AC53" s="174">
        <f t="shared" si="13"/>
        <v>0.84575351283880174</v>
      </c>
    </row>
    <row r="54" spans="1:29" s="63" customFormat="1" ht="30" x14ac:dyDescent="0.2">
      <c r="A54" s="397">
        <v>1</v>
      </c>
      <c r="B54" s="81" t="s">
        <v>435</v>
      </c>
      <c r="C54" s="194" t="s">
        <v>436</v>
      </c>
      <c r="D54" s="332">
        <v>10000000</v>
      </c>
      <c r="E54" s="187">
        <f>SUM('ADICIONES  2021'!C54:I54)</f>
        <v>0</v>
      </c>
      <c r="F54" s="146"/>
      <c r="G54" s="146"/>
      <c r="H54" s="146"/>
      <c r="I54" s="146"/>
      <c r="J54" s="146"/>
      <c r="K54" s="78">
        <f t="shared" si="1"/>
        <v>10000000</v>
      </c>
      <c r="L54" s="146">
        <v>0</v>
      </c>
      <c r="M54" s="146">
        <v>0</v>
      </c>
      <c r="N54" s="146">
        <v>0</v>
      </c>
      <c r="O54" s="146">
        <v>0</v>
      </c>
      <c r="P54" s="146">
        <v>0</v>
      </c>
      <c r="Q54" s="411">
        <v>0</v>
      </c>
      <c r="R54" s="78">
        <f t="shared" si="9"/>
        <v>0</v>
      </c>
      <c r="S54" s="146">
        <v>0</v>
      </c>
      <c r="T54" s="146"/>
      <c r="U54" s="146"/>
      <c r="V54" s="146"/>
      <c r="W54" s="146"/>
      <c r="X54" s="146"/>
      <c r="Y54" s="146"/>
      <c r="Z54" s="146"/>
      <c r="AA54" s="78">
        <f t="shared" si="24"/>
        <v>0</v>
      </c>
      <c r="AB54" s="78">
        <f t="shared" si="12"/>
        <v>0</v>
      </c>
      <c r="AC54" s="174">
        <f t="shared" si="13"/>
        <v>0</v>
      </c>
    </row>
    <row r="55" spans="1:29" ht="42.75" x14ac:dyDescent="0.2">
      <c r="B55" s="76" t="s">
        <v>437</v>
      </c>
      <c r="C55" s="77" t="s">
        <v>131</v>
      </c>
      <c r="D55" s="330">
        <f>+D54*87.230682%</f>
        <v>8723068.2000000011</v>
      </c>
      <c r="E55" s="188">
        <f>SUM('ADICIONES  2021'!C55:I55)</f>
        <v>0</v>
      </c>
      <c r="F55" s="41">
        <f t="shared" ref="F55:J55" si="118">+F54*87.230682%</f>
        <v>0</v>
      </c>
      <c r="G55" s="41">
        <f t="shared" si="118"/>
        <v>0</v>
      </c>
      <c r="H55" s="41">
        <f t="shared" si="118"/>
        <v>0</v>
      </c>
      <c r="I55" s="41">
        <f t="shared" si="118"/>
        <v>0</v>
      </c>
      <c r="J55" s="41">
        <f t="shared" si="118"/>
        <v>0</v>
      </c>
      <c r="K55" s="128">
        <f t="shared" si="1"/>
        <v>8723068.2000000011</v>
      </c>
      <c r="L55" s="41">
        <f t="shared" ref="L55:Q55" si="119">+L54*87.230682%</f>
        <v>0</v>
      </c>
      <c r="M55" s="41">
        <f t="shared" si="119"/>
        <v>0</v>
      </c>
      <c r="N55" s="41">
        <f t="shared" si="119"/>
        <v>0</v>
      </c>
      <c r="O55" s="41">
        <f t="shared" si="119"/>
        <v>0</v>
      </c>
      <c r="P55" s="41">
        <f t="shared" si="119"/>
        <v>0</v>
      </c>
      <c r="Q55" s="409">
        <f t="shared" si="119"/>
        <v>0</v>
      </c>
      <c r="R55" s="128">
        <f t="shared" si="9"/>
        <v>0</v>
      </c>
      <c r="S55" s="41">
        <f t="shared" ref="S55:Z55" si="120">+S54*87.230682%</f>
        <v>0</v>
      </c>
      <c r="T55" s="41">
        <f t="shared" si="120"/>
        <v>0</v>
      </c>
      <c r="U55" s="41">
        <f t="shared" si="120"/>
        <v>0</v>
      </c>
      <c r="V55" s="41">
        <f t="shared" si="120"/>
        <v>0</v>
      </c>
      <c r="W55" s="41">
        <f t="shared" si="120"/>
        <v>0</v>
      </c>
      <c r="X55" s="41">
        <f t="shared" si="120"/>
        <v>0</v>
      </c>
      <c r="Y55" s="41">
        <f t="shared" si="120"/>
        <v>0</v>
      </c>
      <c r="Z55" s="41">
        <f t="shared" si="120"/>
        <v>0</v>
      </c>
      <c r="AA55" s="128">
        <f t="shared" si="24"/>
        <v>0</v>
      </c>
      <c r="AB55" s="128">
        <f t="shared" si="12"/>
        <v>0</v>
      </c>
      <c r="AC55" s="175">
        <f t="shared" si="13"/>
        <v>0</v>
      </c>
    </row>
    <row r="56" spans="1:29" ht="28.5" x14ac:dyDescent="0.2">
      <c r="B56" s="76" t="s">
        <v>438</v>
      </c>
      <c r="C56" s="154" t="s">
        <v>132</v>
      </c>
      <c r="D56" s="330">
        <f>+D54*0.1%</f>
        <v>10000</v>
      </c>
      <c r="E56" s="188">
        <f>SUM('ADICIONES  2021'!C56:I56)</f>
        <v>0</v>
      </c>
      <c r="F56" s="41">
        <f t="shared" ref="F56:J56" si="121">+F54*0.1%</f>
        <v>0</v>
      </c>
      <c r="G56" s="41">
        <f t="shared" si="121"/>
        <v>0</v>
      </c>
      <c r="H56" s="41">
        <f t="shared" si="121"/>
        <v>0</v>
      </c>
      <c r="I56" s="41">
        <f t="shared" si="121"/>
        <v>0</v>
      </c>
      <c r="J56" s="41">
        <f t="shared" si="121"/>
        <v>0</v>
      </c>
      <c r="K56" s="128">
        <f t="shared" si="1"/>
        <v>10000</v>
      </c>
      <c r="L56" s="41">
        <f t="shared" ref="L56:Q56" si="122">+L54*0.1%</f>
        <v>0</v>
      </c>
      <c r="M56" s="41">
        <f t="shared" si="122"/>
        <v>0</v>
      </c>
      <c r="N56" s="41">
        <f t="shared" si="122"/>
        <v>0</v>
      </c>
      <c r="O56" s="41">
        <f t="shared" si="122"/>
        <v>0</v>
      </c>
      <c r="P56" s="41">
        <f t="shared" si="122"/>
        <v>0</v>
      </c>
      <c r="Q56" s="409">
        <f t="shared" si="122"/>
        <v>0</v>
      </c>
      <c r="R56" s="128">
        <f t="shared" si="9"/>
        <v>0</v>
      </c>
      <c r="S56" s="41">
        <f t="shared" ref="S56:Z56" si="123">+S54*0.1%</f>
        <v>0</v>
      </c>
      <c r="T56" s="41">
        <f t="shared" si="123"/>
        <v>0</v>
      </c>
      <c r="U56" s="41">
        <f t="shared" si="123"/>
        <v>0</v>
      </c>
      <c r="V56" s="41">
        <f t="shared" si="123"/>
        <v>0</v>
      </c>
      <c r="W56" s="41">
        <f t="shared" si="123"/>
        <v>0</v>
      </c>
      <c r="X56" s="41">
        <f t="shared" si="123"/>
        <v>0</v>
      </c>
      <c r="Y56" s="41">
        <f t="shared" si="123"/>
        <v>0</v>
      </c>
      <c r="Z56" s="41">
        <f t="shared" si="123"/>
        <v>0</v>
      </c>
      <c r="AA56" s="128">
        <f t="shared" si="24"/>
        <v>0</v>
      </c>
      <c r="AB56" s="128">
        <f t="shared" si="12"/>
        <v>0</v>
      </c>
      <c r="AC56" s="175">
        <f t="shared" si="13"/>
        <v>0</v>
      </c>
    </row>
    <row r="57" spans="1:29" ht="28.5" x14ac:dyDescent="0.2">
      <c r="B57" s="76" t="s">
        <v>439</v>
      </c>
      <c r="C57" s="77" t="s">
        <v>133</v>
      </c>
      <c r="D57" s="330">
        <f>+D54*9.99%</f>
        <v>999000</v>
      </c>
      <c r="E57" s="188">
        <f>SUM('ADICIONES  2021'!C57:I57)</f>
        <v>0</v>
      </c>
      <c r="F57" s="41">
        <f t="shared" ref="F57:J57" si="124">+F54*9.99%</f>
        <v>0</v>
      </c>
      <c r="G57" s="41">
        <f t="shared" si="124"/>
        <v>0</v>
      </c>
      <c r="H57" s="41">
        <f t="shared" si="124"/>
        <v>0</v>
      </c>
      <c r="I57" s="41">
        <f t="shared" si="124"/>
        <v>0</v>
      </c>
      <c r="J57" s="41">
        <f t="shared" si="124"/>
        <v>0</v>
      </c>
      <c r="K57" s="128">
        <f t="shared" si="1"/>
        <v>999000</v>
      </c>
      <c r="L57" s="41">
        <f t="shared" ref="L57:Q57" si="125">+L54*9.99%</f>
        <v>0</v>
      </c>
      <c r="M57" s="41">
        <f t="shared" si="125"/>
        <v>0</v>
      </c>
      <c r="N57" s="41">
        <f t="shared" si="125"/>
        <v>0</v>
      </c>
      <c r="O57" s="41">
        <f t="shared" si="125"/>
        <v>0</v>
      </c>
      <c r="P57" s="41">
        <f t="shared" si="125"/>
        <v>0</v>
      </c>
      <c r="Q57" s="409">
        <f t="shared" si="125"/>
        <v>0</v>
      </c>
      <c r="R57" s="128">
        <f t="shared" si="9"/>
        <v>0</v>
      </c>
      <c r="S57" s="41">
        <f t="shared" ref="S57:Z57" si="126">+S54*9.99%</f>
        <v>0</v>
      </c>
      <c r="T57" s="41">
        <f t="shared" si="126"/>
        <v>0</v>
      </c>
      <c r="U57" s="41">
        <f t="shared" si="126"/>
        <v>0</v>
      </c>
      <c r="V57" s="41">
        <f t="shared" si="126"/>
        <v>0</v>
      </c>
      <c r="W57" s="41">
        <f t="shared" si="126"/>
        <v>0</v>
      </c>
      <c r="X57" s="41">
        <f t="shared" si="126"/>
        <v>0</v>
      </c>
      <c r="Y57" s="41">
        <f t="shared" si="126"/>
        <v>0</v>
      </c>
      <c r="Z57" s="41">
        <f t="shared" si="126"/>
        <v>0</v>
      </c>
      <c r="AA57" s="128">
        <f t="shared" si="24"/>
        <v>0</v>
      </c>
      <c r="AB57" s="128">
        <f t="shared" si="12"/>
        <v>0</v>
      </c>
      <c r="AC57" s="175">
        <f t="shared" si="13"/>
        <v>0</v>
      </c>
    </row>
    <row r="58" spans="1:29" ht="28.5" x14ac:dyDescent="0.2">
      <c r="B58" s="76" t="s">
        <v>440</v>
      </c>
      <c r="C58" s="77" t="s">
        <v>134</v>
      </c>
      <c r="D58" s="330">
        <f>+D54*1.7982%</f>
        <v>179820</v>
      </c>
      <c r="E58" s="188">
        <f>SUM('ADICIONES  2021'!C58:I58)</f>
        <v>0</v>
      </c>
      <c r="F58" s="41">
        <f t="shared" ref="F58:J58" si="127">+F54*1.7982%</f>
        <v>0</v>
      </c>
      <c r="G58" s="41">
        <f t="shared" si="127"/>
        <v>0</v>
      </c>
      <c r="H58" s="41">
        <f t="shared" si="127"/>
        <v>0</v>
      </c>
      <c r="I58" s="41">
        <f t="shared" si="127"/>
        <v>0</v>
      </c>
      <c r="J58" s="41">
        <f t="shared" si="127"/>
        <v>0</v>
      </c>
      <c r="K58" s="128">
        <f t="shared" si="1"/>
        <v>179820</v>
      </c>
      <c r="L58" s="41">
        <f t="shared" ref="L58:Q58" si="128">+L54*1.7982%</f>
        <v>0</v>
      </c>
      <c r="M58" s="41">
        <f t="shared" si="128"/>
        <v>0</v>
      </c>
      <c r="N58" s="41">
        <f t="shared" si="128"/>
        <v>0</v>
      </c>
      <c r="O58" s="41">
        <f t="shared" si="128"/>
        <v>0</v>
      </c>
      <c r="P58" s="41">
        <f t="shared" si="128"/>
        <v>0</v>
      </c>
      <c r="Q58" s="409">
        <f t="shared" si="128"/>
        <v>0</v>
      </c>
      <c r="R58" s="128">
        <f t="shared" si="9"/>
        <v>0</v>
      </c>
      <c r="S58" s="41">
        <f t="shared" ref="S58:Z58" si="129">+S54*1.7982%</f>
        <v>0</v>
      </c>
      <c r="T58" s="41">
        <f t="shared" si="129"/>
        <v>0</v>
      </c>
      <c r="U58" s="41">
        <f t="shared" si="129"/>
        <v>0</v>
      </c>
      <c r="V58" s="41">
        <f t="shared" si="129"/>
        <v>0</v>
      </c>
      <c r="W58" s="41">
        <f t="shared" si="129"/>
        <v>0</v>
      </c>
      <c r="X58" s="41">
        <f t="shared" si="129"/>
        <v>0</v>
      </c>
      <c r="Y58" s="41">
        <f t="shared" si="129"/>
        <v>0</v>
      </c>
      <c r="Z58" s="41">
        <f t="shared" si="129"/>
        <v>0</v>
      </c>
      <c r="AA58" s="128">
        <f t="shared" si="24"/>
        <v>0</v>
      </c>
      <c r="AB58" s="128">
        <f t="shared" si="12"/>
        <v>0</v>
      </c>
      <c r="AC58" s="175">
        <f t="shared" si="13"/>
        <v>0</v>
      </c>
    </row>
    <row r="59" spans="1:29" ht="42.75" x14ac:dyDescent="0.2">
      <c r="B59" s="76" t="s">
        <v>441</v>
      </c>
      <c r="C59" s="77" t="s">
        <v>135</v>
      </c>
      <c r="D59" s="330">
        <f>+D54*0.881118%</f>
        <v>88111.8</v>
      </c>
      <c r="E59" s="188">
        <f>SUM('ADICIONES  2021'!C59:I59)</f>
        <v>0</v>
      </c>
      <c r="F59" s="41">
        <f t="shared" ref="F59:J59" si="130">+F54*0.881118%</f>
        <v>0</v>
      </c>
      <c r="G59" s="41">
        <f t="shared" si="130"/>
        <v>0</v>
      </c>
      <c r="H59" s="41">
        <f t="shared" si="130"/>
        <v>0</v>
      </c>
      <c r="I59" s="41">
        <f t="shared" si="130"/>
        <v>0</v>
      </c>
      <c r="J59" s="41">
        <f t="shared" si="130"/>
        <v>0</v>
      </c>
      <c r="K59" s="128">
        <f t="shared" si="1"/>
        <v>88111.8</v>
      </c>
      <c r="L59" s="41">
        <f t="shared" ref="L59:Q59" si="131">+L54*0.881118%</f>
        <v>0</v>
      </c>
      <c r="M59" s="41">
        <f t="shared" si="131"/>
        <v>0</v>
      </c>
      <c r="N59" s="41">
        <f t="shared" si="131"/>
        <v>0</v>
      </c>
      <c r="O59" s="41">
        <f t="shared" si="131"/>
        <v>0</v>
      </c>
      <c r="P59" s="41">
        <f t="shared" si="131"/>
        <v>0</v>
      </c>
      <c r="Q59" s="409">
        <f t="shared" si="131"/>
        <v>0</v>
      </c>
      <c r="R59" s="128">
        <f t="shared" si="9"/>
        <v>0</v>
      </c>
      <c r="S59" s="41">
        <f t="shared" ref="S59:Z59" si="132">+S54*0.881118%</f>
        <v>0</v>
      </c>
      <c r="T59" s="41">
        <f t="shared" si="132"/>
        <v>0</v>
      </c>
      <c r="U59" s="41">
        <f t="shared" si="132"/>
        <v>0</v>
      </c>
      <c r="V59" s="41">
        <f t="shared" si="132"/>
        <v>0</v>
      </c>
      <c r="W59" s="41">
        <f t="shared" si="132"/>
        <v>0</v>
      </c>
      <c r="X59" s="41">
        <f t="shared" si="132"/>
        <v>0</v>
      </c>
      <c r="Y59" s="41">
        <f t="shared" si="132"/>
        <v>0</v>
      </c>
      <c r="Z59" s="41">
        <f t="shared" si="132"/>
        <v>0</v>
      </c>
      <c r="AA59" s="128">
        <f t="shared" si="24"/>
        <v>0</v>
      </c>
      <c r="AB59" s="128">
        <f t="shared" si="12"/>
        <v>0</v>
      </c>
      <c r="AC59" s="175">
        <f t="shared" si="13"/>
        <v>0</v>
      </c>
    </row>
    <row r="60" spans="1:29" s="63" customFormat="1" ht="30" x14ac:dyDescent="0.2">
      <c r="A60" s="397">
        <v>1</v>
      </c>
      <c r="B60" s="81" t="s">
        <v>442</v>
      </c>
      <c r="C60" s="194" t="s">
        <v>443</v>
      </c>
      <c r="D60" s="333">
        <v>7000000000</v>
      </c>
      <c r="E60" s="187">
        <f>SUM('ADICIONES  2021'!C60:I60)</f>
        <v>0</v>
      </c>
      <c r="F60" s="78"/>
      <c r="G60" s="78"/>
      <c r="H60" s="78"/>
      <c r="I60" s="78"/>
      <c r="J60" s="78"/>
      <c r="K60" s="78">
        <f t="shared" si="1"/>
        <v>7000000000</v>
      </c>
      <c r="L60" s="78">
        <v>1438428374</v>
      </c>
      <c r="M60" s="78">
        <v>531566428</v>
      </c>
      <c r="N60" s="78">
        <v>1022861813</v>
      </c>
      <c r="O60" s="78">
        <v>695531310</v>
      </c>
      <c r="P60" s="78">
        <v>694761809</v>
      </c>
      <c r="Q60" s="408">
        <v>569638842</v>
      </c>
      <c r="R60" s="78">
        <f t="shared" si="9"/>
        <v>4952788576</v>
      </c>
      <c r="S60" s="78">
        <v>975943549</v>
      </c>
      <c r="T60" s="78"/>
      <c r="U60" s="78"/>
      <c r="V60" s="78"/>
      <c r="W60" s="78"/>
      <c r="X60" s="78"/>
      <c r="Y60" s="78"/>
      <c r="Z60" s="78"/>
      <c r="AA60" s="78">
        <f t="shared" si="24"/>
        <v>975943549</v>
      </c>
      <c r="AB60" s="78">
        <f t="shared" si="12"/>
        <v>5928732125</v>
      </c>
      <c r="AC60" s="174">
        <f t="shared" si="13"/>
        <v>0.84696173214285719</v>
      </c>
    </row>
    <row r="61" spans="1:29" ht="28.5" x14ac:dyDescent="0.2">
      <c r="B61" s="76" t="s">
        <v>444</v>
      </c>
      <c r="C61" s="77" t="s">
        <v>136</v>
      </c>
      <c r="D61" s="330">
        <f>+D60*87.230682%</f>
        <v>6106147740</v>
      </c>
      <c r="E61" s="188">
        <f>SUM('ADICIONES  2021'!C61:I61)</f>
        <v>0</v>
      </c>
      <c r="F61" s="41">
        <f t="shared" ref="F61:J61" si="133">+F60*87.230682%</f>
        <v>0</v>
      </c>
      <c r="G61" s="41">
        <f t="shared" si="133"/>
        <v>0</v>
      </c>
      <c r="H61" s="41">
        <f t="shared" si="133"/>
        <v>0</v>
      </c>
      <c r="I61" s="41">
        <f t="shared" si="133"/>
        <v>0</v>
      </c>
      <c r="J61" s="41">
        <f t="shared" si="133"/>
        <v>0</v>
      </c>
      <c r="K61" s="128">
        <f t="shared" si="1"/>
        <v>6106147740</v>
      </c>
      <c r="L61" s="41">
        <f t="shared" ref="L61:Q61" si="134">+L60*87.230682%</f>
        <v>1254750880.7217107</v>
      </c>
      <c r="M61" s="41">
        <f t="shared" si="134"/>
        <v>463689020.42743897</v>
      </c>
      <c r="N61" s="41">
        <f t="shared" si="134"/>
        <v>892249335.39746475</v>
      </c>
      <c r="O61" s="41">
        <f t="shared" si="134"/>
        <v>606716705.23653424</v>
      </c>
      <c r="P61" s="41">
        <f t="shared" si="134"/>
        <v>606045464.26623738</v>
      </c>
      <c r="Q61" s="409">
        <f t="shared" si="134"/>
        <v>496899846.81350249</v>
      </c>
      <c r="R61" s="128">
        <f t="shared" si="9"/>
        <v>4320351252.8628883</v>
      </c>
      <c r="S61" s="41">
        <f t="shared" ref="S61:Z61" si="135">+S60*87.230682%</f>
        <v>851322213.72770417</v>
      </c>
      <c r="T61" s="41">
        <f t="shared" si="135"/>
        <v>0</v>
      </c>
      <c r="U61" s="41">
        <f t="shared" si="135"/>
        <v>0</v>
      </c>
      <c r="V61" s="41">
        <f t="shared" si="135"/>
        <v>0</v>
      </c>
      <c r="W61" s="41">
        <f t="shared" si="135"/>
        <v>0</v>
      </c>
      <c r="X61" s="41">
        <f t="shared" si="135"/>
        <v>0</v>
      </c>
      <c r="Y61" s="41">
        <f t="shared" si="135"/>
        <v>0</v>
      </c>
      <c r="Z61" s="41">
        <f t="shared" si="135"/>
        <v>0</v>
      </c>
      <c r="AA61" s="128">
        <f t="shared" si="24"/>
        <v>851322213.72770417</v>
      </c>
      <c r="AB61" s="128">
        <f t="shared" si="12"/>
        <v>5171673466.5905924</v>
      </c>
      <c r="AC61" s="175">
        <f t="shared" si="13"/>
        <v>0.84696173214285708</v>
      </c>
    </row>
    <row r="62" spans="1:29" ht="28.5" x14ac:dyDescent="0.2">
      <c r="B62" s="76" t="s">
        <v>445</v>
      </c>
      <c r="C62" s="77" t="s">
        <v>137</v>
      </c>
      <c r="D62" s="330">
        <f>+D60*0.1%</f>
        <v>7000000</v>
      </c>
      <c r="E62" s="188">
        <f>SUM('ADICIONES  2021'!C62:I62)</f>
        <v>0</v>
      </c>
      <c r="F62" s="41">
        <f t="shared" ref="F62:J62" si="136">+F60*0.1%</f>
        <v>0</v>
      </c>
      <c r="G62" s="41">
        <f t="shared" si="136"/>
        <v>0</v>
      </c>
      <c r="H62" s="41">
        <f t="shared" si="136"/>
        <v>0</v>
      </c>
      <c r="I62" s="41">
        <f t="shared" si="136"/>
        <v>0</v>
      </c>
      <c r="J62" s="41">
        <f t="shared" si="136"/>
        <v>0</v>
      </c>
      <c r="K62" s="128">
        <f t="shared" si="1"/>
        <v>7000000</v>
      </c>
      <c r="L62" s="41">
        <f t="shared" ref="L62:Q62" si="137">+L60*0.1%</f>
        <v>1438428.3740000001</v>
      </c>
      <c r="M62" s="41">
        <f t="shared" si="137"/>
        <v>531566.42799999996</v>
      </c>
      <c r="N62" s="41">
        <f t="shared" si="137"/>
        <v>1022861.813</v>
      </c>
      <c r="O62" s="41">
        <f t="shared" si="137"/>
        <v>695531.31</v>
      </c>
      <c r="P62" s="41">
        <f t="shared" si="137"/>
        <v>694761.80900000001</v>
      </c>
      <c r="Q62" s="409">
        <f t="shared" si="137"/>
        <v>569638.84200000006</v>
      </c>
      <c r="R62" s="128">
        <f t="shared" si="9"/>
        <v>4952788.5760000004</v>
      </c>
      <c r="S62" s="41">
        <f t="shared" ref="S62:Z62" si="138">+S60*0.1%</f>
        <v>975943.549</v>
      </c>
      <c r="T62" s="41">
        <f t="shared" si="138"/>
        <v>0</v>
      </c>
      <c r="U62" s="41">
        <f t="shared" si="138"/>
        <v>0</v>
      </c>
      <c r="V62" s="41">
        <f t="shared" si="138"/>
        <v>0</v>
      </c>
      <c r="W62" s="41">
        <f t="shared" si="138"/>
        <v>0</v>
      </c>
      <c r="X62" s="41">
        <f t="shared" si="138"/>
        <v>0</v>
      </c>
      <c r="Y62" s="41">
        <f t="shared" si="138"/>
        <v>0</v>
      </c>
      <c r="Z62" s="41">
        <f t="shared" si="138"/>
        <v>0</v>
      </c>
      <c r="AA62" s="128">
        <f t="shared" si="24"/>
        <v>975943.549</v>
      </c>
      <c r="AB62" s="128">
        <f t="shared" si="12"/>
        <v>5928732.125</v>
      </c>
      <c r="AC62" s="175">
        <f t="shared" si="13"/>
        <v>0.84696173214285719</v>
      </c>
    </row>
    <row r="63" spans="1:29" ht="28.5" x14ac:dyDescent="0.2">
      <c r="B63" s="76" t="s">
        <v>446</v>
      </c>
      <c r="C63" s="77" t="s">
        <v>138</v>
      </c>
      <c r="D63" s="330">
        <f>+D60*9.99%</f>
        <v>699300000</v>
      </c>
      <c r="E63" s="188">
        <f>SUM('ADICIONES  2021'!C63:I63)</f>
        <v>0</v>
      </c>
      <c r="F63" s="41">
        <f t="shared" ref="F63:J63" si="139">+F60*9.99%</f>
        <v>0</v>
      </c>
      <c r="G63" s="41">
        <f t="shared" si="139"/>
        <v>0</v>
      </c>
      <c r="H63" s="41">
        <f t="shared" si="139"/>
        <v>0</v>
      </c>
      <c r="I63" s="41">
        <f t="shared" si="139"/>
        <v>0</v>
      </c>
      <c r="J63" s="41">
        <f t="shared" si="139"/>
        <v>0</v>
      </c>
      <c r="K63" s="128">
        <f t="shared" si="1"/>
        <v>699300000</v>
      </c>
      <c r="L63" s="41">
        <f t="shared" ref="L63:Q63" si="140">+L60*9.99%</f>
        <v>143698994.56260002</v>
      </c>
      <c r="M63" s="41">
        <f t="shared" si="140"/>
        <v>53103486.157200001</v>
      </c>
      <c r="N63" s="41">
        <f t="shared" si="140"/>
        <v>102183895.1187</v>
      </c>
      <c r="O63" s="41">
        <f t="shared" si="140"/>
        <v>69483577.869000003</v>
      </c>
      <c r="P63" s="41">
        <f t="shared" si="140"/>
        <v>69406704.719099998</v>
      </c>
      <c r="Q63" s="409">
        <f t="shared" si="140"/>
        <v>56906920.315800004</v>
      </c>
      <c r="R63" s="128">
        <f t="shared" si="9"/>
        <v>494783578.74240005</v>
      </c>
      <c r="S63" s="41">
        <f t="shared" ref="S63:Z63" si="141">+S60*9.99%</f>
        <v>97496760.545100003</v>
      </c>
      <c r="T63" s="41">
        <f t="shared" si="141"/>
        <v>0</v>
      </c>
      <c r="U63" s="41">
        <f t="shared" si="141"/>
        <v>0</v>
      </c>
      <c r="V63" s="41">
        <f t="shared" si="141"/>
        <v>0</v>
      </c>
      <c r="W63" s="41">
        <f t="shared" si="141"/>
        <v>0</v>
      </c>
      <c r="X63" s="41">
        <f t="shared" si="141"/>
        <v>0</v>
      </c>
      <c r="Y63" s="41">
        <f t="shared" si="141"/>
        <v>0</v>
      </c>
      <c r="Z63" s="41">
        <f t="shared" si="141"/>
        <v>0</v>
      </c>
      <c r="AA63" s="128">
        <f t="shared" si="24"/>
        <v>97496760.545100003</v>
      </c>
      <c r="AB63" s="128">
        <f t="shared" si="12"/>
        <v>592280339.28750002</v>
      </c>
      <c r="AC63" s="175">
        <f t="shared" si="13"/>
        <v>0.84696173214285719</v>
      </c>
    </row>
    <row r="64" spans="1:29" ht="28.5" x14ac:dyDescent="0.2">
      <c r="B64" s="76" t="s">
        <v>447</v>
      </c>
      <c r="C64" s="154" t="s">
        <v>139</v>
      </c>
      <c r="D64" s="330">
        <f>+D60*1.7982%</f>
        <v>125874000.00000001</v>
      </c>
      <c r="E64" s="188">
        <f>SUM('ADICIONES  2021'!C64:I64)</f>
        <v>0</v>
      </c>
      <c r="F64" s="41">
        <f t="shared" ref="F64:J64" si="142">+F60*1.7982%</f>
        <v>0</v>
      </c>
      <c r="G64" s="41">
        <f t="shared" si="142"/>
        <v>0</v>
      </c>
      <c r="H64" s="41">
        <f t="shared" si="142"/>
        <v>0</v>
      </c>
      <c r="I64" s="41">
        <f t="shared" si="142"/>
        <v>0</v>
      </c>
      <c r="J64" s="41">
        <f t="shared" si="142"/>
        <v>0</v>
      </c>
      <c r="K64" s="128">
        <f t="shared" si="1"/>
        <v>125874000.00000001</v>
      </c>
      <c r="L64" s="41">
        <f t="shared" ref="L64:Q64" si="143">+L60*1.7982%</f>
        <v>25865819.021268003</v>
      </c>
      <c r="M64" s="41">
        <f t="shared" si="143"/>
        <v>9558627.5082960017</v>
      </c>
      <c r="N64" s="41">
        <f t="shared" si="143"/>
        <v>18393101.121366002</v>
      </c>
      <c r="O64" s="41">
        <f t="shared" si="143"/>
        <v>12507044.016420001</v>
      </c>
      <c r="P64" s="41">
        <f t="shared" si="143"/>
        <v>12493206.849438</v>
      </c>
      <c r="Q64" s="409">
        <f t="shared" si="143"/>
        <v>10243245.656844001</v>
      </c>
      <c r="R64" s="128">
        <f t="shared" si="9"/>
        <v>89061044.173632011</v>
      </c>
      <c r="S64" s="41">
        <f t="shared" ref="S64:Z64" si="144">+S60*1.7982%</f>
        <v>17549416.898118</v>
      </c>
      <c r="T64" s="41">
        <f t="shared" si="144"/>
        <v>0</v>
      </c>
      <c r="U64" s="41">
        <f t="shared" si="144"/>
        <v>0</v>
      </c>
      <c r="V64" s="41">
        <f t="shared" si="144"/>
        <v>0</v>
      </c>
      <c r="W64" s="41">
        <f t="shared" si="144"/>
        <v>0</v>
      </c>
      <c r="X64" s="41">
        <f t="shared" si="144"/>
        <v>0</v>
      </c>
      <c r="Y64" s="41">
        <f t="shared" si="144"/>
        <v>0</v>
      </c>
      <c r="Z64" s="41">
        <f t="shared" si="144"/>
        <v>0</v>
      </c>
      <c r="AA64" s="128">
        <f t="shared" si="24"/>
        <v>17549416.898118</v>
      </c>
      <c r="AB64" s="128">
        <f t="shared" si="12"/>
        <v>106610461.07175002</v>
      </c>
      <c r="AC64" s="175">
        <f t="shared" si="13"/>
        <v>0.84696173214285719</v>
      </c>
    </row>
    <row r="65" spans="1:29" ht="42.75" x14ac:dyDescent="0.2">
      <c r="B65" s="76" t="s">
        <v>448</v>
      </c>
      <c r="C65" s="77" t="s">
        <v>140</v>
      </c>
      <c r="D65" s="330">
        <f>+D60*0.881118%</f>
        <v>61678260</v>
      </c>
      <c r="E65" s="188">
        <f>SUM('ADICIONES  2021'!C65:I65)</f>
        <v>0</v>
      </c>
      <c r="F65" s="41">
        <f t="shared" ref="F65:J65" si="145">+F60*0.881118%</f>
        <v>0</v>
      </c>
      <c r="G65" s="41">
        <f t="shared" si="145"/>
        <v>0</v>
      </c>
      <c r="H65" s="41">
        <f t="shared" si="145"/>
        <v>0</v>
      </c>
      <c r="I65" s="41">
        <f t="shared" si="145"/>
        <v>0</v>
      </c>
      <c r="J65" s="41">
        <f t="shared" si="145"/>
        <v>0</v>
      </c>
      <c r="K65" s="128">
        <f t="shared" si="1"/>
        <v>61678260</v>
      </c>
      <c r="L65" s="41">
        <f t="shared" ref="L65:Q65" si="146">+L60*0.881118%</f>
        <v>12674251.320421319</v>
      </c>
      <c r="M65" s="41">
        <f t="shared" si="146"/>
        <v>4683727.4790650401</v>
      </c>
      <c r="N65" s="41">
        <f t="shared" si="146"/>
        <v>9012619.5494693406</v>
      </c>
      <c r="O65" s="41">
        <f t="shared" si="146"/>
        <v>6128451.5680457996</v>
      </c>
      <c r="P65" s="41">
        <f t="shared" si="146"/>
        <v>6121671.3562246198</v>
      </c>
      <c r="Q65" s="409">
        <f t="shared" si="146"/>
        <v>5019190.3718535602</v>
      </c>
      <c r="R65" s="128">
        <f t="shared" si="9"/>
        <v>43639911.64507968</v>
      </c>
      <c r="S65" s="41">
        <f t="shared" ref="S65:Z65" si="147">+S60*0.881118%</f>
        <v>8599214.2800778206</v>
      </c>
      <c r="T65" s="41">
        <f t="shared" si="147"/>
        <v>0</v>
      </c>
      <c r="U65" s="41">
        <f t="shared" si="147"/>
        <v>0</v>
      </c>
      <c r="V65" s="41">
        <f t="shared" si="147"/>
        <v>0</v>
      </c>
      <c r="W65" s="41">
        <f t="shared" si="147"/>
        <v>0</v>
      </c>
      <c r="X65" s="41">
        <f t="shared" si="147"/>
        <v>0</v>
      </c>
      <c r="Y65" s="41">
        <f t="shared" si="147"/>
        <v>0</v>
      </c>
      <c r="Z65" s="41">
        <f t="shared" si="147"/>
        <v>0</v>
      </c>
      <c r="AA65" s="128">
        <f t="shared" si="24"/>
        <v>8599214.2800778206</v>
      </c>
      <c r="AB65" s="128">
        <f t="shared" si="12"/>
        <v>52239125.925157502</v>
      </c>
      <c r="AC65" s="175">
        <f t="shared" si="13"/>
        <v>0.84696173214285719</v>
      </c>
    </row>
    <row r="66" spans="1:29" s="63" customFormat="1" ht="31.5" x14ac:dyDescent="0.2">
      <c r="A66" s="397">
        <v>1</v>
      </c>
      <c r="B66" s="81" t="s">
        <v>449</v>
      </c>
      <c r="C66" s="79" t="s">
        <v>450</v>
      </c>
      <c r="D66" s="329">
        <f>+D67+D73</f>
        <v>4200000000</v>
      </c>
      <c r="E66" s="187">
        <f>SUM('ADICIONES  2021'!C66:I66)</f>
        <v>0</v>
      </c>
      <c r="F66" s="223">
        <f t="shared" ref="F66:J66" si="148">+F67+F73</f>
        <v>0</v>
      </c>
      <c r="G66" s="223">
        <f t="shared" si="148"/>
        <v>0</v>
      </c>
      <c r="H66" s="223">
        <f t="shared" si="148"/>
        <v>0</v>
      </c>
      <c r="I66" s="223">
        <f t="shared" si="148"/>
        <v>0</v>
      </c>
      <c r="J66" s="223">
        <f t="shared" si="148"/>
        <v>0</v>
      </c>
      <c r="K66" s="78">
        <f t="shared" si="1"/>
        <v>4200000000</v>
      </c>
      <c r="L66" s="223">
        <f t="shared" ref="L66:Q66" si="149">+L67+L73</f>
        <v>882060243</v>
      </c>
      <c r="M66" s="223">
        <f t="shared" si="149"/>
        <v>264330842</v>
      </c>
      <c r="N66" s="223">
        <f t="shared" si="149"/>
        <v>503335915</v>
      </c>
      <c r="O66" s="223">
        <f t="shared" si="149"/>
        <v>370551930</v>
      </c>
      <c r="P66" s="223">
        <f t="shared" si="149"/>
        <v>371259791</v>
      </c>
      <c r="Q66" s="407">
        <f t="shared" si="149"/>
        <v>422367558</v>
      </c>
      <c r="R66" s="78">
        <f t="shared" si="9"/>
        <v>2813906279</v>
      </c>
      <c r="S66" s="223">
        <f t="shared" ref="S66:Z66" si="150">+S67+S73</f>
        <v>483588651</v>
      </c>
      <c r="T66" s="223">
        <f t="shared" si="150"/>
        <v>0</v>
      </c>
      <c r="U66" s="223">
        <f t="shared" si="150"/>
        <v>0</v>
      </c>
      <c r="V66" s="223">
        <f t="shared" si="150"/>
        <v>0</v>
      </c>
      <c r="W66" s="223">
        <f t="shared" si="150"/>
        <v>0</v>
      </c>
      <c r="X66" s="223">
        <f t="shared" si="150"/>
        <v>0</v>
      </c>
      <c r="Y66" s="223">
        <f t="shared" si="150"/>
        <v>0</v>
      </c>
      <c r="Z66" s="223">
        <f t="shared" si="150"/>
        <v>0</v>
      </c>
      <c r="AA66" s="78">
        <f t="shared" si="24"/>
        <v>483588651</v>
      </c>
      <c r="AB66" s="78">
        <f t="shared" si="12"/>
        <v>3297494930</v>
      </c>
      <c r="AC66" s="174">
        <f t="shared" si="13"/>
        <v>0.78511784047619049</v>
      </c>
    </row>
    <row r="67" spans="1:29" s="63" customFormat="1" ht="31.5" x14ac:dyDescent="0.2">
      <c r="A67" s="397">
        <v>1</v>
      </c>
      <c r="B67" s="81" t="s">
        <v>451</v>
      </c>
      <c r="C67" s="79" t="s">
        <v>452</v>
      </c>
      <c r="D67" s="333">
        <v>700000000</v>
      </c>
      <c r="E67" s="187">
        <f>SUM('ADICIONES  2021'!C67:I67)</f>
        <v>0</v>
      </c>
      <c r="F67" s="78"/>
      <c r="G67" s="78"/>
      <c r="H67" s="78"/>
      <c r="I67" s="78"/>
      <c r="J67" s="78"/>
      <c r="K67" s="78">
        <f t="shared" si="1"/>
        <v>700000000</v>
      </c>
      <c r="L67" s="78">
        <v>149187000</v>
      </c>
      <c r="M67" s="78">
        <v>32551848</v>
      </c>
      <c r="N67" s="78">
        <v>106242600</v>
      </c>
      <c r="O67" s="78">
        <v>87298800</v>
      </c>
      <c r="P67" s="78">
        <v>87561600</v>
      </c>
      <c r="Q67" s="408">
        <v>47219400</v>
      </c>
      <c r="R67" s="78">
        <f t="shared" si="9"/>
        <v>510061248</v>
      </c>
      <c r="S67" s="78">
        <v>52471200</v>
      </c>
      <c r="T67" s="78"/>
      <c r="U67" s="78"/>
      <c r="V67" s="78"/>
      <c r="W67" s="78"/>
      <c r="X67" s="78"/>
      <c r="Y67" s="78"/>
      <c r="Z67" s="78"/>
      <c r="AA67" s="78">
        <f t="shared" si="24"/>
        <v>52471200</v>
      </c>
      <c r="AB67" s="78">
        <f t="shared" si="12"/>
        <v>562532448</v>
      </c>
      <c r="AC67" s="174">
        <f t="shared" si="13"/>
        <v>0.8036177828571428</v>
      </c>
    </row>
    <row r="68" spans="1:29" ht="42.75" x14ac:dyDescent="0.2">
      <c r="B68" s="76" t="s">
        <v>453</v>
      </c>
      <c r="C68" s="77" t="s">
        <v>141</v>
      </c>
      <c r="D68" s="330">
        <f>+D67*87.230682%</f>
        <v>610614774</v>
      </c>
      <c r="E68" s="188">
        <f>SUM('ADICIONES  2021'!C68:I68)</f>
        <v>0</v>
      </c>
      <c r="F68" s="41">
        <f t="shared" ref="F68:J68" si="151">+F67*87.230682%</f>
        <v>0</v>
      </c>
      <c r="G68" s="41">
        <f t="shared" si="151"/>
        <v>0</v>
      </c>
      <c r="H68" s="41">
        <f t="shared" si="151"/>
        <v>0</v>
      </c>
      <c r="I68" s="41">
        <f t="shared" si="151"/>
        <v>0</v>
      </c>
      <c r="J68" s="41">
        <f t="shared" si="151"/>
        <v>0</v>
      </c>
      <c r="K68" s="128">
        <f t="shared" si="1"/>
        <v>610614774</v>
      </c>
      <c r="L68" s="41">
        <f t="shared" ref="L68:Q68" si="152">+L67*87.230682%</f>
        <v>130136837.55534001</v>
      </c>
      <c r="M68" s="41">
        <f t="shared" si="152"/>
        <v>28395199.014003363</v>
      </c>
      <c r="N68" s="41">
        <f t="shared" si="152"/>
        <v>92676144.554532006</v>
      </c>
      <c r="O68" s="41">
        <f t="shared" si="152"/>
        <v>76151338.617816001</v>
      </c>
      <c r="P68" s="41">
        <f t="shared" si="152"/>
        <v>76380580.850112006</v>
      </c>
      <c r="Q68" s="409">
        <f t="shared" si="152"/>
        <v>41189804.656308003</v>
      </c>
      <c r="R68" s="128">
        <f t="shared" si="9"/>
        <v>444929905.24811137</v>
      </c>
      <c r="S68" s="41">
        <f t="shared" ref="S68:Z68" si="153">+S67*87.230682%</f>
        <v>45770985.613584004</v>
      </c>
      <c r="T68" s="41">
        <f t="shared" si="153"/>
        <v>0</v>
      </c>
      <c r="U68" s="41">
        <f t="shared" si="153"/>
        <v>0</v>
      </c>
      <c r="V68" s="41">
        <f t="shared" si="153"/>
        <v>0</v>
      </c>
      <c r="W68" s="41">
        <f t="shared" si="153"/>
        <v>0</v>
      </c>
      <c r="X68" s="41">
        <f t="shared" si="153"/>
        <v>0</v>
      </c>
      <c r="Y68" s="41">
        <f t="shared" si="153"/>
        <v>0</v>
      </c>
      <c r="Z68" s="41">
        <f t="shared" si="153"/>
        <v>0</v>
      </c>
      <c r="AA68" s="128">
        <f t="shared" si="24"/>
        <v>45770985.613584004</v>
      </c>
      <c r="AB68" s="128">
        <f t="shared" si="12"/>
        <v>490700890.86169535</v>
      </c>
      <c r="AC68" s="175">
        <f t="shared" si="13"/>
        <v>0.8036177828571428</v>
      </c>
    </row>
    <row r="69" spans="1:29" ht="28.5" x14ac:dyDescent="0.2">
      <c r="B69" s="76" t="s">
        <v>454</v>
      </c>
      <c r="C69" s="77" t="s">
        <v>142</v>
      </c>
      <c r="D69" s="330">
        <f>+D67*0.1%</f>
        <v>700000</v>
      </c>
      <c r="E69" s="188">
        <f>SUM('ADICIONES  2021'!C69:I69)</f>
        <v>0</v>
      </c>
      <c r="F69" s="41">
        <f t="shared" ref="F69:J69" si="154">+F67*0.1%</f>
        <v>0</v>
      </c>
      <c r="G69" s="41">
        <f t="shared" si="154"/>
        <v>0</v>
      </c>
      <c r="H69" s="41">
        <f t="shared" si="154"/>
        <v>0</v>
      </c>
      <c r="I69" s="41">
        <f t="shared" si="154"/>
        <v>0</v>
      </c>
      <c r="J69" s="41">
        <f t="shared" si="154"/>
        <v>0</v>
      </c>
      <c r="K69" s="128">
        <f t="shared" si="1"/>
        <v>700000</v>
      </c>
      <c r="L69" s="41">
        <f t="shared" ref="L69:Q69" si="155">+L67*0.1%</f>
        <v>149187</v>
      </c>
      <c r="M69" s="41">
        <f t="shared" si="155"/>
        <v>32551.848000000002</v>
      </c>
      <c r="N69" s="41">
        <f t="shared" si="155"/>
        <v>106242.6</v>
      </c>
      <c r="O69" s="41">
        <f t="shared" si="155"/>
        <v>87298.8</v>
      </c>
      <c r="P69" s="41">
        <f t="shared" si="155"/>
        <v>87561.600000000006</v>
      </c>
      <c r="Q69" s="409">
        <f t="shared" si="155"/>
        <v>47219.4</v>
      </c>
      <c r="R69" s="128">
        <f t="shared" si="9"/>
        <v>510061.24800000002</v>
      </c>
      <c r="S69" s="41">
        <f t="shared" ref="S69:Z69" si="156">+S67*0.1%</f>
        <v>52471.200000000004</v>
      </c>
      <c r="T69" s="41">
        <f t="shared" si="156"/>
        <v>0</v>
      </c>
      <c r="U69" s="41">
        <f t="shared" si="156"/>
        <v>0</v>
      </c>
      <c r="V69" s="41">
        <f t="shared" si="156"/>
        <v>0</v>
      </c>
      <c r="W69" s="41">
        <f t="shared" si="156"/>
        <v>0</v>
      </c>
      <c r="X69" s="41">
        <f t="shared" si="156"/>
        <v>0</v>
      </c>
      <c r="Y69" s="41">
        <f t="shared" si="156"/>
        <v>0</v>
      </c>
      <c r="Z69" s="41">
        <f t="shared" si="156"/>
        <v>0</v>
      </c>
      <c r="AA69" s="128">
        <f t="shared" si="24"/>
        <v>52471.200000000004</v>
      </c>
      <c r="AB69" s="128">
        <f t="shared" si="12"/>
        <v>562532.44799999997</v>
      </c>
      <c r="AC69" s="175">
        <f t="shared" si="13"/>
        <v>0.8036177828571428</v>
      </c>
    </row>
    <row r="70" spans="1:29" ht="28.5" x14ac:dyDescent="0.2">
      <c r="B70" s="76" t="s">
        <v>455</v>
      </c>
      <c r="C70" s="77" t="s">
        <v>143</v>
      </c>
      <c r="D70" s="330">
        <f>+D67*9.99%</f>
        <v>69930000</v>
      </c>
      <c r="E70" s="188">
        <f>SUM('ADICIONES  2021'!C70:I70)</f>
        <v>0</v>
      </c>
      <c r="F70" s="41">
        <f t="shared" ref="F70:J70" si="157">+F67*9.99%</f>
        <v>0</v>
      </c>
      <c r="G70" s="41">
        <f t="shared" si="157"/>
        <v>0</v>
      </c>
      <c r="H70" s="41">
        <f t="shared" si="157"/>
        <v>0</v>
      </c>
      <c r="I70" s="41">
        <f t="shared" si="157"/>
        <v>0</v>
      </c>
      <c r="J70" s="41">
        <f t="shared" si="157"/>
        <v>0</v>
      </c>
      <c r="K70" s="128">
        <f t="shared" si="1"/>
        <v>69930000</v>
      </c>
      <c r="L70" s="41">
        <f t="shared" ref="L70:Q70" si="158">+L67*9.99%</f>
        <v>14903781.300000001</v>
      </c>
      <c r="M70" s="41">
        <f t="shared" si="158"/>
        <v>3251929.6151999999</v>
      </c>
      <c r="N70" s="41">
        <f t="shared" si="158"/>
        <v>10613635.74</v>
      </c>
      <c r="O70" s="41">
        <f t="shared" si="158"/>
        <v>8721150.120000001</v>
      </c>
      <c r="P70" s="41">
        <f t="shared" si="158"/>
        <v>8747403.8399999999</v>
      </c>
      <c r="Q70" s="409">
        <f t="shared" si="158"/>
        <v>4717218.0600000005</v>
      </c>
      <c r="R70" s="128">
        <f t="shared" si="9"/>
        <v>50955118.675200015</v>
      </c>
      <c r="S70" s="41">
        <f t="shared" ref="S70:Z70" si="159">+S67*9.99%</f>
        <v>5241872.88</v>
      </c>
      <c r="T70" s="41">
        <f t="shared" si="159"/>
        <v>0</v>
      </c>
      <c r="U70" s="41">
        <f t="shared" si="159"/>
        <v>0</v>
      </c>
      <c r="V70" s="41">
        <f t="shared" si="159"/>
        <v>0</v>
      </c>
      <c r="W70" s="41">
        <f t="shared" si="159"/>
        <v>0</v>
      </c>
      <c r="X70" s="41">
        <f t="shared" si="159"/>
        <v>0</v>
      </c>
      <c r="Y70" s="41">
        <f t="shared" si="159"/>
        <v>0</v>
      </c>
      <c r="Z70" s="41">
        <f t="shared" si="159"/>
        <v>0</v>
      </c>
      <c r="AA70" s="128">
        <f t="shared" si="24"/>
        <v>5241872.88</v>
      </c>
      <c r="AB70" s="128">
        <f t="shared" si="12"/>
        <v>56196991.555200018</v>
      </c>
      <c r="AC70" s="175">
        <f t="shared" si="13"/>
        <v>0.80361778285714314</v>
      </c>
    </row>
    <row r="71" spans="1:29" s="116" customFormat="1" ht="28.5" x14ac:dyDescent="0.2">
      <c r="A71" s="396"/>
      <c r="B71" s="76" t="s">
        <v>456</v>
      </c>
      <c r="C71" s="154" t="s">
        <v>144</v>
      </c>
      <c r="D71" s="330">
        <f>+D67*1.7982%</f>
        <v>12587400.000000002</v>
      </c>
      <c r="E71" s="188">
        <f>SUM('ADICIONES  2021'!C71:I71)</f>
        <v>0</v>
      </c>
      <c r="F71" s="41">
        <f t="shared" ref="F71:J71" si="160">+F67*1.7982%</f>
        <v>0</v>
      </c>
      <c r="G71" s="41">
        <f t="shared" si="160"/>
        <v>0</v>
      </c>
      <c r="H71" s="41">
        <f t="shared" si="160"/>
        <v>0</v>
      </c>
      <c r="I71" s="41">
        <f t="shared" si="160"/>
        <v>0</v>
      </c>
      <c r="J71" s="41">
        <f t="shared" si="160"/>
        <v>0</v>
      </c>
      <c r="K71" s="128">
        <f t="shared" si="1"/>
        <v>12587400.000000002</v>
      </c>
      <c r="L71" s="41">
        <f t="shared" ref="L71:Q71" si="161">+L67*1.7982%</f>
        <v>2682680.6340000001</v>
      </c>
      <c r="M71" s="41">
        <f t="shared" si="161"/>
        <v>585347.33073600009</v>
      </c>
      <c r="N71" s="41">
        <f t="shared" si="161"/>
        <v>1910454.4332000001</v>
      </c>
      <c r="O71" s="41">
        <f t="shared" si="161"/>
        <v>1569807.0216000001</v>
      </c>
      <c r="P71" s="41">
        <f t="shared" si="161"/>
        <v>1574532.6912000002</v>
      </c>
      <c r="Q71" s="409">
        <f t="shared" si="161"/>
        <v>849099.25080000004</v>
      </c>
      <c r="R71" s="128">
        <f t="shared" si="9"/>
        <v>9171921.3615359999</v>
      </c>
      <c r="S71" s="41">
        <f t="shared" ref="S71:Z71" si="162">+S67*1.7982%</f>
        <v>943537.11840000004</v>
      </c>
      <c r="T71" s="41">
        <f t="shared" si="162"/>
        <v>0</v>
      </c>
      <c r="U71" s="41">
        <f t="shared" si="162"/>
        <v>0</v>
      </c>
      <c r="V71" s="41">
        <f t="shared" si="162"/>
        <v>0</v>
      </c>
      <c r="W71" s="41">
        <f t="shared" si="162"/>
        <v>0</v>
      </c>
      <c r="X71" s="41">
        <f t="shared" si="162"/>
        <v>0</v>
      </c>
      <c r="Y71" s="41">
        <f t="shared" si="162"/>
        <v>0</v>
      </c>
      <c r="Z71" s="41">
        <f t="shared" si="162"/>
        <v>0</v>
      </c>
      <c r="AA71" s="128">
        <f t="shared" si="24"/>
        <v>943537.11840000004</v>
      </c>
      <c r="AB71" s="128">
        <f t="shared" si="12"/>
        <v>10115458.479936</v>
      </c>
      <c r="AC71" s="175">
        <f t="shared" si="13"/>
        <v>0.80361778285714269</v>
      </c>
    </row>
    <row r="72" spans="1:29" ht="42.75" x14ac:dyDescent="0.2">
      <c r="B72" s="76" t="s">
        <v>457</v>
      </c>
      <c r="C72" s="77" t="s">
        <v>145</v>
      </c>
      <c r="D72" s="330">
        <f>+D67*0.881118%</f>
        <v>6167826</v>
      </c>
      <c r="E72" s="188">
        <f>SUM('ADICIONES  2021'!C72:I72)</f>
        <v>0</v>
      </c>
      <c r="F72" s="41">
        <f t="shared" ref="F72:J72" si="163">+F67*0.881118%</f>
        <v>0</v>
      </c>
      <c r="G72" s="41">
        <f t="shared" si="163"/>
        <v>0</v>
      </c>
      <c r="H72" s="41">
        <f t="shared" si="163"/>
        <v>0</v>
      </c>
      <c r="I72" s="41">
        <f t="shared" si="163"/>
        <v>0</v>
      </c>
      <c r="J72" s="41">
        <f t="shared" si="163"/>
        <v>0</v>
      </c>
      <c r="K72" s="128">
        <f t="shared" si="1"/>
        <v>6167826</v>
      </c>
      <c r="L72" s="41">
        <f t="shared" ref="L72:Q72" si="164">+L67*0.881118%</f>
        <v>1314513.5106599999</v>
      </c>
      <c r="M72" s="41">
        <f t="shared" si="164"/>
        <v>286820.19206064002</v>
      </c>
      <c r="N72" s="41">
        <f t="shared" si="164"/>
        <v>936122.67226799997</v>
      </c>
      <c r="O72" s="41">
        <f t="shared" si="164"/>
        <v>769205.44058399997</v>
      </c>
      <c r="P72" s="41">
        <f t="shared" si="164"/>
        <v>771521.01868800004</v>
      </c>
      <c r="Q72" s="409">
        <f t="shared" si="164"/>
        <v>416058.63289200002</v>
      </c>
      <c r="R72" s="128">
        <f t="shared" si="9"/>
        <v>4494241.4671526402</v>
      </c>
      <c r="S72" s="41">
        <f t="shared" ref="S72:Z72" si="165">+S67*0.881118%</f>
        <v>462333.18801600003</v>
      </c>
      <c r="T72" s="41">
        <f t="shared" si="165"/>
        <v>0</v>
      </c>
      <c r="U72" s="41">
        <f t="shared" si="165"/>
        <v>0</v>
      </c>
      <c r="V72" s="41">
        <f t="shared" si="165"/>
        <v>0</v>
      </c>
      <c r="W72" s="41">
        <f t="shared" si="165"/>
        <v>0</v>
      </c>
      <c r="X72" s="41">
        <f t="shared" si="165"/>
        <v>0</v>
      </c>
      <c r="Y72" s="41">
        <f t="shared" si="165"/>
        <v>0</v>
      </c>
      <c r="Z72" s="41">
        <f t="shared" si="165"/>
        <v>0</v>
      </c>
      <c r="AA72" s="128">
        <f t="shared" si="24"/>
        <v>462333.18801600003</v>
      </c>
      <c r="AB72" s="128">
        <f t="shared" si="12"/>
        <v>4956574.6551686404</v>
      </c>
      <c r="AC72" s="175">
        <f t="shared" si="13"/>
        <v>0.80361778285714291</v>
      </c>
    </row>
    <row r="73" spans="1:29" s="63" customFormat="1" ht="31.5" x14ac:dyDescent="0.2">
      <c r="A73" s="397">
        <v>1</v>
      </c>
      <c r="B73" s="81" t="s">
        <v>458</v>
      </c>
      <c r="C73" s="79" t="s">
        <v>459</v>
      </c>
      <c r="D73" s="332">
        <v>3500000000</v>
      </c>
      <c r="E73" s="187">
        <f>SUM('ADICIONES  2021'!C73:I73)</f>
        <v>0</v>
      </c>
      <c r="F73" s="146"/>
      <c r="G73" s="146"/>
      <c r="H73" s="146"/>
      <c r="I73" s="146"/>
      <c r="J73" s="146"/>
      <c r="K73" s="78">
        <f t="shared" si="1"/>
        <v>3500000000</v>
      </c>
      <c r="L73" s="146">
        <v>732873243</v>
      </c>
      <c r="M73" s="146">
        <v>231778994</v>
      </c>
      <c r="N73" s="146">
        <v>397093315</v>
      </c>
      <c r="O73" s="146">
        <v>283253130</v>
      </c>
      <c r="P73" s="146">
        <v>283698191</v>
      </c>
      <c r="Q73" s="411">
        <v>375148158</v>
      </c>
      <c r="R73" s="78">
        <f t="shared" si="9"/>
        <v>2303845031</v>
      </c>
      <c r="S73" s="146">
        <v>431117451</v>
      </c>
      <c r="T73" s="146"/>
      <c r="U73" s="146"/>
      <c r="V73" s="146"/>
      <c r="W73" s="146"/>
      <c r="X73" s="146"/>
      <c r="Y73" s="146"/>
      <c r="Z73" s="146"/>
      <c r="AA73" s="78">
        <f t="shared" si="24"/>
        <v>431117451</v>
      </c>
      <c r="AB73" s="78">
        <f t="shared" si="12"/>
        <v>2734962482</v>
      </c>
      <c r="AC73" s="174">
        <f t="shared" si="13"/>
        <v>0.78141785200000002</v>
      </c>
    </row>
    <row r="74" spans="1:29" ht="42.75" x14ac:dyDescent="0.2">
      <c r="B74" s="76" t="s">
        <v>460</v>
      </c>
      <c r="C74" s="77" t="s">
        <v>146</v>
      </c>
      <c r="D74" s="330">
        <f>+D73*87.230682%</f>
        <v>3053073870</v>
      </c>
      <c r="E74" s="188">
        <f>SUM('ADICIONES  2021'!C74:I74)</f>
        <v>0</v>
      </c>
      <c r="F74" s="41">
        <f t="shared" ref="F74:J74" si="166">+F73*87.230682%</f>
        <v>0</v>
      </c>
      <c r="G74" s="41">
        <f t="shared" si="166"/>
        <v>0</v>
      </c>
      <c r="H74" s="41">
        <f t="shared" si="166"/>
        <v>0</v>
      </c>
      <c r="I74" s="41">
        <f t="shared" si="166"/>
        <v>0</v>
      </c>
      <c r="J74" s="41">
        <f t="shared" si="166"/>
        <v>0</v>
      </c>
      <c r="K74" s="128">
        <f t="shared" si="1"/>
        <v>3053073870</v>
      </c>
      <c r="L74" s="41">
        <f t="shared" ref="L74:Q74" si="167">+L73*87.230682%</f>
        <v>639290328.06441724</v>
      </c>
      <c r="M74" s="41">
        <f t="shared" si="167"/>
        <v>202182397.19893909</v>
      </c>
      <c r="N74" s="41">
        <f t="shared" si="167"/>
        <v>346387206.85090834</v>
      </c>
      <c r="O74" s="41">
        <f t="shared" si="167"/>
        <v>247083637.08534661</v>
      </c>
      <c r="P74" s="41">
        <f t="shared" si="167"/>
        <v>247471866.83096263</v>
      </c>
      <c r="Q74" s="409">
        <f t="shared" si="167"/>
        <v>327244296.73383754</v>
      </c>
      <c r="R74" s="128">
        <f t="shared" si="9"/>
        <v>2009659732.7644117</v>
      </c>
      <c r="S74" s="41">
        <f t="shared" ref="S74:Z74" si="168">+S73*87.230682%</f>
        <v>376066692.72831583</v>
      </c>
      <c r="T74" s="41">
        <f t="shared" si="168"/>
        <v>0</v>
      </c>
      <c r="U74" s="41">
        <f t="shared" si="168"/>
        <v>0</v>
      </c>
      <c r="V74" s="41">
        <f t="shared" si="168"/>
        <v>0</v>
      </c>
      <c r="W74" s="41">
        <f t="shared" si="168"/>
        <v>0</v>
      </c>
      <c r="X74" s="41">
        <f t="shared" si="168"/>
        <v>0</v>
      </c>
      <c r="Y74" s="41">
        <f t="shared" si="168"/>
        <v>0</v>
      </c>
      <c r="Z74" s="41">
        <f t="shared" si="168"/>
        <v>0</v>
      </c>
      <c r="AA74" s="128">
        <f t="shared" si="24"/>
        <v>376066692.72831583</v>
      </c>
      <c r="AB74" s="128">
        <f t="shared" si="12"/>
        <v>2385726425.4927273</v>
      </c>
      <c r="AC74" s="175">
        <f t="shared" si="13"/>
        <v>0.78141785200000002</v>
      </c>
    </row>
    <row r="75" spans="1:29" ht="28.5" x14ac:dyDescent="0.2">
      <c r="B75" s="76" t="s">
        <v>461</v>
      </c>
      <c r="C75" s="77" t="s">
        <v>147</v>
      </c>
      <c r="D75" s="330">
        <f>+D73*0.1%</f>
        <v>3500000</v>
      </c>
      <c r="E75" s="188">
        <f>SUM('ADICIONES  2021'!C75:I75)</f>
        <v>0</v>
      </c>
      <c r="F75" s="41">
        <f t="shared" ref="F75:J75" si="169">+F73*0.1%</f>
        <v>0</v>
      </c>
      <c r="G75" s="41">
        <f t="shared" si="169"/>
        <v>0</v>
      </c>
      <c r="H75" s="41">
        <f t="shared" si="169"/>
        <v>0</v>
      </c>
      <c r="I75" s="41">
        <f t="shared" si="169"/>
        <v>0</v>
      </c>
      <c r="J75" s="41">
        <f t="shared" si="169"/>
        <v>0</v>
      </c>
      <c r="K75" s="128">
        <f t="shared" ref="K75:K139" si="170">+D75+E75-F75+G75-H75</f>
        <v>3500000</v>
      </c>
      <c r="L75" s="41">
        <f t="shared" ref="L75:Q75" si="171">+L73*0.1%</f>
        <v>732873.24300000002</v>
      </c>
      <c r="M75" s="41">
        <f t="shared" si="171"/>
        <v>231778.99400000001</v>
      </c>
      <c r="N75" s="41">
        <f t="shared" si="171"/>
        <v>397093.315</v>
      </c>
      <c r="O75" s="41">
        <f t="shared" si="171"/>
        <v>283253.13</v>
      </c>
      <c r="P75" s="41">
        <f t="shared" si="171"/>
        <v>283698.19099999999</v>
      </c>
      <c r="Q75" s="409">
        <f t="shared" si="171"/>
        <v>375148.158</v>
      </c>
      <c r="R75" s="128">
        <f t="shared" si="9"/>
        <v>2303845.031</v>
      </c>
      <c r="S75" s="41">
        <f t="shared" ref="S75:Z75" si="172">+S73*0.1%</f>
        <v>431117.451</v>
      </c>
      <c r="T75" s="41">
        <f t="shared" si="172"/>
        <v>0</v>
      </c>
      <c r="U75" s="41">
        <f t="shared" si="172"/>
        <v>0</v>
      </c>
      <c r="V75" s="41">
        <f t="shared" si="172"/>
        <v>0</v>
      </c>
      <c r="W75" s="41">
        <f t="shared" si="172"/>
        <v>0</v>
      </c>
      <c r="X75" s="41">
        <f t="shared" si="172"/>
        <v>0</v>
      </c>
      <c r="Y75" s="41">
        <f t="shared" si="172"/>
        <v>0</v>
      </c>
      <c r="Z75" s="41">
        <f t="shared" si="172"/>
        <v>0</v>
      </c>
      <c r="AA75" s="128">
        <f t="shared" si="24"/>
        <v>431117.451</v>
      </c>
      <c r="AB75" s="128">
        <f t="shared" si="12"/>
        <v>2734962.4819999998</v>
      </c>
      <c r="AC75" s="175">
        <f t="shared" si="13"/>
        <v>0.78141785199999991</v>
      </c>
    </row>
    <row r="76" spans="1:29" ht="28.5" x14ac:dyDescent="0.2">
      <c r="B76" s="76" t="s">
        <v>462</v>
      </c>
      <c r="C76" s="77" t="s">
        <v>148</v>
      </c>
      <c r="D76" s="330">
        <f>+D73*9.99%</f>
        <v>349650000</v>
      </c>
      <c r="E76" s="188">
        <f>SUM('ADICIONES  2021'!C76:I76)</f>
        <v>0</v>
      </c>
      <c r="F76" s="41">
        <f t="shared" ref="F76:J76" si="173">+F73*9.99%</f>
        <v>0</v>
      </c>
      <c r="G76" s="41">
        <f t="shared" si="173"/>
        <v>0</v>
      </c>
      <c r="H76" s="41">
        <f t="shared" si="173"/>
        <v>0</v>
      </c>
      <c r="I76" s="41">
        <f t="shared" si="173"/>
        <v>0</v>
      </c>
      <c r="J76" s="41">
        <f t="shared" si="173"/>
        <v>0</v>
      </c>
      <c r="K76" s="128">
        <f t="shared" si="170"/>
        <v>349650000</v>
      </c>
      <c r="L76" s="41">
        <f t="shared" ref="L76:Q76" si="174">+L73*9.99%</f>
        <v>73214036.975700006</v>
      </c>
      <c r="M76" s="41">
        <f t="shared" si="174"/>
        <v>23154721.500599999</v>
      </c>
      <c r="N76" s="41">
        <f t="shared" si="174"/>
        <v>39669622.168499999</v>
      </c>
      <c r="O76" s="41">
        <f t="shared" si="174"/>
        <v>28296987.686999999</v>
      </c>
      <c r="P76" s="41">
        <f t="shared" si="174"/>
        <v>28341449.280900002</v>
      </c>
      <c r="Q76" s="409">
        <f t="shared" si="174"/>
        <v>37477300.984200001</v>
      </c>
      <c r="R76" s="128">
        <f t="shared" si="9"/>
        <v>230154118.59690002</v>
      </c>
      <c r="S76" s="41">
        <f t="shared" ref="S76:Z76" si="175">+S73*9.99%</f>
        <v>43068633.354900002</v>
      </c>
      <c r="T76" s="41">
        <f t="shared" si="175"/>
        <v>0</v>
      </c>
      <c r="U76" s="41">
        <f t="shared" si="175"/>
        <v>0</v>
      </c>
      <c r="V76" s="41">
        <f t="shared" si="175"/>
        <v>0</v>
      </c>
      <c r="W76" s="41">
        <f t="shared" si="175"/>
        <v>0</v>
      </c>
      <c r="X76" s="41">
        <f t="shared" si="175"/>
        <v>0</v>
      </c>
      <c r="Y76" s="41">
        <f t="shared" si="175"/>
        <v>0</v>
      </c>
      <c r="Z76" s="41">
        <f t="shared" si="175"/>
        <v>0</v>
      </c>
      <c r="AA76" s="128">
        <f t="shared" si="24"/>
        <v>43068633.354900002</v>
      </c>
      <c r="AB76" s="128">
        <f t="shared" si="12"/>
        <v>273222751.95179999</v>
      </c>
      <c r="AC76" s="175">
        <f t="shared" si="13"/>
        <v>0.78141785199999991</v>
      </c>
    </row>
    <row r="77" spans="1:29" ht="28.5" x14ac:dyDescent="0.2">
      <c r="B77" s="76" t="s">
        <v>463</v>
      </c>
      <c r="C77" s="77" t="s">
        <v>149</v>
      </c>
      <c r="D77" s="330">
        <f>+D73*1.7982%</f>
        <v>62937000.000000007</v>
      </c>
      <c r="E77" s="188">
        <f>SUM('ADICIONES  2021'!C77:I77)</f>
        <v>0</v>
      </c>
      <c r="F77" s="41">
        <f t="shared" ref="F77:J77" si="176">+F73*1.7982%</f>
        <v>0</v>
      </c>
      <c r="G77" s="41">
        <f t="shared" si="176"/>
        <v>0</v>
      </c>
      <c r="H77" s="41">
        <f t="shared" si="176"/>
        <v>0</v>
      </c>
      <c r="I77" s="41">
        <f t="shared" si="176"/>
        <v>0</v>
      </c>
      <c r="J77" s="41">
        <f t="shared" si="176"/>
        <v>0</v>
      </c>
      <c r="K77" s="128">
        <f t="shared" si="170"/>
        <v>62937000.000000007</v>
      </c>
      <c r="L77" s="41">
        <f t="shared" ref="L77:Q77" si="177">+L73*1.7982%</f>
        <v>13178526.655626001</v>
      </c>
      <c r="M77" s="41">
        <f t="shared" si="177"/>
        <v>4167849.8701080005</v>
      </c>
      <c r="N77" s="41">
        <f t="shared" si="177"/>
        <v>7140531.9903300004</v>
      </c>
      <c r="O77" s="41">
        <f t="shared" si="177"/>
        <v>5093457.7836600002</v>
      </c>
      <c r="P77" s="41">
        <f t="shared" si="177"/>
        <v>5101460.8705620002</v>
      </c>
      <c r="Q77" s="409">
        <f t="shared" si="177"/>
        <v>6745914.1771560004</v>
      </c>
      <c r="R77" s="128">
        <f t="shared" ref="R77:R141" si="178">SUM(L77:Q77)</f>
        <v>41427741.347442001</v>
      </c>
      <c r="S77" s="41">
        <f t="shared" ref="S77:Z77" si="179">+S73*1.7982%</f>
        <v>7752354.0038820002</v>
      </c>
      <c r="T77" s="41">
        <f t="shared" si="179"/>
        <v>0</v>
      </c>
      <c r="U77" s="41">
        <f t="shared" si="179"/>
        <v>0</v>
      </c>
      <c r="V77" s="41">
        <f t="shared" si="179"/>
        <v>0</v>
      </c>
      <c r="W77" s="41">
        <f t="shared" si="179"/>
        <v>0</v>
      </c>
      <c r="X77" s="41">
        <f t="shared" si="179"/>
        <v>0</v>
      </c>
      <c r="Y77" s="41">
        <f t="shared" si="179"/>
        <v>0</v>
      </c>
      <c r="Z77" s="41">
        <f t="shared" si="179"/>
        <v>0</v>
      </c>
      <c r="AA77" s="128">
        <f t="shared" si="24"/>
        <v>7752354.0038820002</v>
      </c>
      <c r="AB77" s="128">
        <f t="shared" ref="AB77:AB141" si="180">+R77+AA77</f>
        <v>49180095.351323999</v>
      </c>
      <c r="AC77" s="175">
        <f t="shared" ref="AC77:AC141" si="181">+AB77/K77</f>
        <v>0.78141785199999991</v>
      </c>
    </row>
    <row r="78" spans="1:29" ht="42.75" x14ac:dyDescent="0.2">
      <c r="B78" s="76" t="s">
        <v>464</v>
      </c>
      <c r="C78" s="77" t="s">
        <v>150</v>
      </c>
      <c r="D78" s="330">
        <f>+D73*0.881118%</f>
        <v>30839130</v>
      </c>
      <c r="E78" s="188">
        <f>SUM('ADICIONES  2021'!C78:I78)</f>
        <v>0</v>
      </c>
      <c r="F78" s="41">
        <f t="shared" ref="F78:J78" si="182">+F73*0.881118%</f>
        <v>0</v>
      </c>
      <c r="G78" s="41">
        <f t="shared" si="182"/>
        <v>0</v>
      </c>
      <c r="H78" s="41">
        <f t="shared" si="182"/>
        <v>0</v>
      </c>
      <c r="I78" s="41">
        <f t="shared" si="182"/>
        <v>0</v>
      </c>
      <c r="J78" s="41">
        <f t="shared" si="182"/>
        <v>0</v>
      </c>
      <c r="K78" s="128">
        <f t="shared" si="170"/>
        <v>30839130</v>
      </c>
      <c r="L78" s="41">
        <f t="shared" ref="L78:Q78" si="183">+L73*0.881118%</f>
        <v>6457478.0612567402</v>
      </c>
      <c r="M78" s="41">
        <f t="shared" si="183"/>
        <v>2042246.43635292</v>
      </c>
      <c r="N78" s="41">
        <f t="shared" si="183"/>
        <v>3498860.6752617001</v>
      </c>
      <c r="O78" s="41">
        <f t="shared" si="183"/>
        <v>2495794.3139934</v>
      </c>
      <c r="P78" s="41">
        <f t="shared" si="183"/>
        <v>2499715.8265753798</v>
      </c>
      <c r="Q78" s="409">
        <f t="shared" si="183"/>
        <v>3305497.9468064401</v>
      </c>
      <c r="R78" s="128">
        <f t="shared" si="178"/>
        <v>20299593.260246582</v>
      </c>
      <c r="S78" s="41">
        <f t="shared" ref="S78:Z78" si="184">+S73*0.881118%</f>
        <v>3798653.4619021802</v>
      </c>
      <c r="T78" s="41">
        <f t="shared" si="184"/>
        <v>0</v>
      </c>
      <c r="U78" s="41">
        <f t="shared" si="184"/>
        <v>0</v>
      </c>
      <c r="V78" s="41">
        <f t="shared" si="184"/>
        <v>0</v>
      </c>
      <c r="W78" s="41">
        <f t="shared" si="184"/>
        <v>0</v>
      </c>
      <c r="X78" s="41">
        <f t="shared" si="184"/>
        <v>0</v>
      </c>
      <c r="Y78" s="41">
        <f t="shared" si="184"/>
        <v>0</v>
      </c>
      <c r="Z78" s="41">
        <f t="shared" si="184"/>
        <v>0</v>
      </c>
      <c r="AA78" s="128">
        <f t="shared" si="24"/>
        <v>3798653.4619021802</v>
      </c>
      <c r="AB78" s="128">
        <f t="shared" si="180"/>
        <v>24098246.722148761</v>
      </c>
      <c r="AC78" s="175">
        <f t="shared" si="181"/>
        <v>0.78141785200000002</v>
      </c>
    </row>
    <row r="79" spans="1:29" s="63" customFormat="1" ht="31.5" x14ac:dyDescent="0.2">
      <c r="A79" s="397">
        <v>1</v>
      </c>
      <c r="B79" s="81" t="s">
        <v>465</v>
      </c>
      <c r="C79" s="79" t="s">
        <v>466</v>
      </c>
      <c r="D79" s="329">
        <f>+D80+D87</f>
        <v>121699200000</v>
      </c>
      <c r="E79" s="187">
        <f>SUM('ADICIONES  2021'!C79:I79)</f>
        <v>0</v>
      </c>
      <c r="F79" s="223">
        <f t="shared" ref="F79:J79" si="185">+F80+F87</f>
        <v>0</v>
      </c>
      <c r="G79" s="223">
        <f t="shared" si="185"/>
        <v>350000000</v>
      </c>
      <c r="H79" s="223">
        <f t="shared" si="185"/>
        <v>0</v>
      </c>
      <c r="I79" s="223">
        <f t="shared" si="185"/>
        <v>0</v>
      </c>
      <c r="J79" s="223">
        <f t="shared" si="185"/>
        <v>0</v>
      </c>
      <c r="K79" s="78">
        <f t="shared" si="170"/>
        <v>122049200000</v>
      </c>
      <c r="L79" s="223">
        <f t="shared" ref="L79:Q79" si="186">+L80+L87</f>
        <v>14313551440.780798</v>
      </c>
      <c r="M79" s="223">
        <f t="shared" si="186"/>
        <v>12509345161.062401</v>
      </c>
      <c r="N79" s="223">
        <f t="shared" si="186"/>
        <v>9970196546.1247997</v>
      </c>
      <c r="O79" s="223">
        <f t="shared" si="186"/>
        <v>10331226345.958399</v>
      </c>
      <c r="P79" s="223">
        <f t="shared" si="186"/>
        <v>10668352261.235199</v>
      </c>
      <c r="Q79" s="407">
        <f t="shared" si="186"/>
        <v>9916741233.6767998</v>
      </c>
      <c r="R79" s="78">
        <f t="shared" si="178"/>
        <v>67709412988.838394</v>
      </c>
      <c r="S79" s="223">
        <f t="shared" ref="S79:Z79" si="187">+S80+S87</f>
        <v>8991385598.5791988</v>
      </c>
      <c r="T79" s="223">
        <f t="shared" si="187"/>
        <v>0</v>
      </c>
      <c r="U79" s="223">
        <f t="shared" si="187"/>
        <v>0</v>
      </c>
      <c r="V79" s="223">
        <f t="shared" si="187"/>
        <v>0</v>
      </c>
      <c r="W79" s="223">
        <f t="shared" si="187"/>
        <v>0</v>
      </c>
      <c r="X79" s="223">
        <f t="shared" si="187"/>
        <v>0</v>
      </c>
      <c r="Y79" s="223">
        <f t="shared" si="187"/>
        <v>0</v>
      </c>
      <c r="Z79" s="223">
        <f t="shared" si="187"/>
        <v>0</v>
      </c>
      <c r="AA79" s="78">
        <f t="shared" si="24"/>
        <v>8991385598.5791988</v>
      </c>
      <c r="AB79" s="78">
        <f t="shared" si="180"/>
        <v>76700798587.417587</v>
      </c>
      <c r="AC79" s="174">
        <f t="shared" si="181"/>
        <v>0.62844163327098901</v>
      </c>
    </row>
    <row r="80" spans="1:29" s="63" customFormat="1" ht="31.5" x14ac:dyDescent="0.2">
      <c r="A80" s="397">
        <v>1</v>
      </c>
      <c r="B80" s="81" t="s">
        <v>953</v>
      </c>
      <c r="C80" s="79" t="s">
        <v>954</v>
      </c>
      <c r="D80" s="329">
        <f>SUM(D81:D86)</f>
        <v>117699200000</v>
      </c>
      <c r="E80" s="187">
        <f>SUM('ADICIONES  2021'!C80:I80)</f>
        <v>0</v>
      </c>
      <c r="F80" s="146"/>
      <c r="G80" s="146">
        <f>SUM(G81:G86)</f>
        <v>350000000</v>
      </c>
      <c r="H80" s="146"/>
      <c r="I80" s="146"/>
      <c r="J80" s="146"/>
      <c r="K80" s="78">
        <f t="shared" si="170"/>
        <v>118049200000</v>
      </c>
      <c r="L80" s="146">
        <f t="shared" ref="L80:P80" si="188">SUM(L81:L86)</f>
        <v>14180402440.780798</v>
      </c>
      <c r="M80" s="146">
        <f t="shared" si="188"/>
        <v>12378033161.062401</v>
      </c>
      <c r="N80" s="146">
        <f t="shared" si="188"/>
        <v>9716462546.1247997</v>
      </c>
      <c r="O80" s="146">
        <f t="shared" si="188"/>
        <v>10243426345.958399</v>
      </c>
      <c r="P80" s="146">
        <f t="shared" si="188"/>
        <v>10564969261.235199</v>
      </c>
      <c r="Q80" s="411">
        <f>SUM(Q81:Q86)</f>
        <v>9823046233.6767998</v>
      </c>
      <c r="R80" s="78">
        <f t="shared" si="178"/>
        <v>66906339988.838394</v>
      </c>
      <c r="S80" s="146">
        <f>SUM(S81:S86)</f>
        <v>8935814598.5791988</v>
      </c>
      <c r="T80" s="146"/>
      <c r="U80" s="146"/>
      <c r="V80" s="146"/>
      <c r="W80" s="146"/>
      <c r="X80" s="146"/>
      <c r="Y80" s="146"/>
      <c r="Z80" s="146"/>
      <c r="AA80" s="78">
        <f t="shared" si="24"/>
        <v>8935814598.5791988</v>
      </c>
      <c r="AB80" s="78">
        <f t="shared" si="180"/>
        <v>75842154587.417587</v>
      </c>
      <c r="AC80" s="174">
        <f t="shared" si="181"/>
        <v>0.64246224953170028</v>
      </c>
    </row>
    <row r="81" spans="1:29" ht="28.5" x14ac:dyDescent="0.2">
      <c r="B81" s="76" t="s">
        <v>955</v>
      </c>
      <c r="C81" s="77" t="s">
        <v>956</v>
      </c>
      <c r="D81" s="330">
        <v>101737552500</v>
      </c>
      <c r="E81" s="188">
        <f>SUM('ADICIONES  2021'!C81:I81)</f>
        <v>0</v>
      </c>
      <c r="F81" s="41">
        <f>+F80*81.390042%</f>
        <v>0</v>
      </c>
      <c r="G81" s="41">
        <v>0</v>
      </c>
      <c r="H81" s="41">
        <f t="shared" ref="H81:J81" si="189">+H80*81.390042%</f>
        <v>0</v>
      </c>
      <c r="I81" s="41">
        <f t="shared" si="189"/>
        <v>0</v>
      </c>
      <c r="J81" s="41">
        <f t="shared" si="189"/>
        <v>0</v>
      </c>
      <c r="K81" s="128">
        <f t="shared" si="170"/>
        <v>101737552500</v>
      </c>
      <c r="L81" s="41">
        <f>15060003000*81.390042%</f>
        <v>12257342766.901258</v>
      </c>
      <c r="M81" s="41">
        <f>13145834000*81.390042%</f>
        <v>10699399813.850279</v>
      </c>
      <c r="N81" s="41">
        <f>10319168000*81.390042%</f>
        <v>8398775169.2505598</v>
      </c>
      <c r="O81" s="41">
        <f>10878819000*81.390042%</f>
        <v>8854275353.2039795</v>
      </c>
      <c r="P81" s="41">
        <f>11220307000*81.390042%</f>
        <v>9132212579.8289394</v>
      </c>
      <c r="Q81" s="409">
        <f>10432363000*81.390042%</f>
        <v>8490904627.2924595</v>
      </c>
      <c r="R81" s="128">
        <f t="shared" si="178"/>
        <v>57832910310.327477</v>
      </c>
      <c r="S81" s="41">
        <f>9490097000*81.390042%</f>
        <v>7723993934.1407394</v>
      </c>
      <c r="T81" s="41">
        <f t="shared" ref="T81:Z81" si="190">+T80*81.390042%</f>
        <v>0</v>
      </c>
      <c r="U81" s="41">
        <f t="shared" si="190"/>
        <v>0</v>
      </c>
      <c r="V81" s="41">
        <f t="shared" si="190"/>
        <v>0</v>
      </c>
      <c r="W81" s="41">
        <f t="shared" si="190"/>
        <v>0</v>
      </c>
      <c r="X81" s="41">
        <f t="shared" si="190"/>
        <v>0</v>
      </c>
      <c r="Y81" s="41">
        <f t="shared" si="190"/>
        <v>0</v>
      </c>
      <c r="Z81" s="41">
        <f t="shared" si="190"/>
        <v>0</v>
      </c>
      <c r="AA81" s="128">
        <f t="shared" si="24"/>
        <v>7723993934.1407394</v>
      </c>
      <c r="AB81" s="128">
        <f t="shared" si="180"/>
        <v>65556904244.468216</v>
      </c>
      <c r="AC81" s="175">
        <f t="shared" si="181"/>
        <v>0.64437272800000001</v>
      </c>
    </row>
    <row r="82" spans="1:29" ht="28.5" x14ac:dyDescent="0.2">
      <c r="B82" s="76" t="s">
        <v>955</v>
      </c>
      <c r="C82" s="77" t="s">
        <v>956</v>
      </c>
      <c r="D82" s="330"/>
      <c r="E82" s="188">
        <f>SUM('ADICIONES  2021'!C82:I82)</f>
        <v>0</v>
      </c>
      <c r="F82" s="41"/>
      <c r="G82" s="41">
        <v>350000000</v>
      </c>
      <c r="H82" s="41"/>
      <c r="I82" s="41"/>
      <c r="J82" s="41"/>
      <c r="K82" s="128">
        <f t="shared" si="170"/>
        <v>350000000</v>
      </c>
      <c r="L82" s="41"/>
      <c r="M82" s="41"/>
      <c r="N82" s="41"/>
      <c r="O82" s="41"/>
      <c r="P82" s="41"/>
      <c r="Q82" s="409"/>
      <c r="R82" s="128">
        <f t="shared" si="178"/>
        <v>0</v>
      </c>
      <c r="S82" s="41"/>
      <c r="T82" s="41"/>
      <c r="U82" s="41"/>
      <c r="V82" s="41"/>
      <c r="W82" s="41"/>
      <c r="X82" s="41"/>
      <c r="Y82" s="41"/>
      <c r="Z82" s="41"/>
      <c r="AA82" s="128">
        <f t="shared" ref="AA82" si="191">SUM(S82:Z82)</f>
        <v>0</v>
      </c>
      <c r="AB82" s="128">
        <f t="shared" si="180"/>
        <v>0</v>
      </c>
      <c r="AC82" s="175">
        <f t="shared" si="181"/>
        <v>0</v>
      </c>
    </row>
    <row r="83" spans="1:29" ht="28.5" x14ac:dyDescent="0.2">
      <c r="B83" s="76" t="s">
        <v>957</v>
      </c>
      <c r="C83" s="77" t="s">
        <v>958</v>
      </c>
      <c r="D83" s="330">
        <v>125000000</v>
      </c>
      <c r="E83" s="188">
        <f>SUM('ADICIONES  2021'!C83:I83)</f>
        <v>0</v>
      </c>
      <c r="F83" s="41">
        <f t="shared" ref="F83:J83" si="192">+F80*0.1%</f>
        <v>0</v>
      </c>
      <c r="G83" s="41">
        <v>0</v>
      </c>
      <c r="H83" s="41">
        <f t="shared" si="192"/>
        <v>0</v>
      </c>
      <c r="I83" s="41">
        <f t="shared" si="192"/>
        <v>0</v>
      </c>
      <c r="J83" s="41">
        <f t="shared" si="192"/>
        <v>0</v>
      </c>
      <c r="K83" s="128">
        <f t="shared" si="170"/>
        <v>125000000</v>
      </c>
      <c r="L83" s="41">
        <f>15060003000*0.1%</f>
        <v>15060003</v>
      </c>
      <c r="M83" s="41">
        <f>13145834000*0.1%</f>
        <v>13145834</v>
      </c>
      <c r="N83" s="41">
        <f>10319168000*0.1%</f>
        <v>10319168</v>
      </c>
      <c r="O83" s="41">
        <f>10878819000*0.1%</f>
        <v>10878819</v>
      </c>
      <c r="P83" s="41">
        <f>11220307000*0.1%</f>
        <v>11220307</v>
      </c>
      <c r="Q83" s="409">
        <f>10432363000*0.1%</f>
        <v>10432363</v>
      </c>
      <c r="R83" s="128">
        <f t="shared" si="178"/>
        <v>71056494</v>
      </c>
      <c r="S83" s="41">
        <f>9490097000*0.1%</f>
        <v>9490097</v>
      </c>
      <c r="T83" s="41">
        <f t="shared" ref="T83:Z83" si="193">+T80*0.1%</f>
        <v>0</v>
      </c>
      <c r="U83" s="41">
        <f t="shared" si="193"/>
        <v>0</v>
      </c>
      <c r="V83" s="41">
        <f t="shared" si="193"/>
        <v>0</v>
      </c>
      <c r="W83" s="41">
        <f t="shared" si="193"/>
        <v>0</v>
      </c>
      <c r="X83" s="41">
        <f t="shared" si="193"/>
        <v>0</v>
      </c>
      <c r="Y83" s="41">
        <f t="shared" si="193"/>
        <v>0</v>
      </c>
      <c r="Z83" s="41">
        <f t="shared" si="193"/>
        <v>0</v>
      </c>
      <c r="AA83" s="128">
        <f t="shared" ref="AA83:AA146" si="194">SUM(S83:Z83)</f>
        <v>9490097</v>
      </c>
      <c r="AB83" s="128">
        <f t="shared" si="180"/>
        <v>80546591</v>
      </c>
      <c r="AC83" s="175">
        <f t="shared" si="181"/>
        <v>0.64437272800000001</v>
      </c>
    </row>
    <row r="84" spans="1:29" ht="28.5" x14ac:dyDescent="0.2">
      <c r="B84" s="76" t="s">
        <v>959</v>
      </c>
      <c r="C84" s="77" t="s">
        <v>960</v>
      </c>
      <c r="D84" s="330">
        <v>12487500000</v>
      </c>
      <c r="E84" s="188">
        <f>SUM('ADICIONES  2021'!C84:I84)</f>
        <v>0</v>
      </c>
      <c r="F84" s="41">
        <f t="shared" ref="F84:J84" si="195">+F80*9.99%</f>
        <v>0</v>
      </c>
      <c r="G84" s="41">
        <v>0</v>
      </c>
      <c r="H84" s="41">
        <f t="shared" si="195"/>
        <v>0</v>
      </c>
      <c r="I84" s="41">
        <f t="shared" si="195"/>
        <v>0</v>
      </c>
      <c r="J84" s="41">
        <f t="shared" si="195"/>
        <v>0</v>
      </c>
      <c r="K84" s="128">
        <f t="shared" si="170"/>
        <v>12487500000</v>
      </c>
      <c r="L84" s="41">
        <f>15060003000*9.99%</f>
        <v>1504494299.7</v>
      </c>
      <c r="M84" s="41">
        <f>13145834000*9.99%</f>
        <v>1313268816.6000001</v>
      </c>
      <c r="N84" s="41">
        <f>10319168000*9.99%</f>
        <v>1030884883.2</v>
      </c>
      <c r="O84" s="41">
        <f>10878819000*9.99%</f>
        <v>1086794018.1000001</v>
      </c>
      <c r="P84" s="41">
        <f>11220307000*9.99%</f>
        <v>1120908669.3</v>
      </c>
      <c r="Q84" s="409">
        <f>10432363000*9.99%</f>
        <v>1042193063.7</v>
      </c>
      <c r="R84" s="128">
        <f t="shared" si="178"/>
        <v>7098543750.6000004</v>
      </c>
      <c r="S84" s="41">
        <f>9490097000*9.99%</f>
        <v>948060690.30000007</v>
      </c>
      <c r="T84" s="41">
        <f t="shared" ref="T84:Z84" si="196">+T80*9.99%</f>
        <v>0</v>
      </c>
      <c r="U84" s="41">
        <f t="shared" si="196"/>
        <v>0</v>
      </c>
      <c r="V84" s="41">
        <f t="shared" si="196"/>
        <v>0</v>
      </c>
      <c r="W84" s="41">
        <f t="shared" si="196"/>
        <v>0</v>
      </c>
      <c r="X84" s="41">
        <f t="shared" si="196"/>
        <v>0</v>
      </c>
      <c r="Y84" s="41">
        <f t="shared" si="196"/>
        <v>0</v>
      </c>
      <c r="Z84" s="41">
        <f t="shared" si="196"/>
        <v>0</v>
      </c>
      <c r="AA84" s="128">
        <f t="shared" si="194"/>
        <v>948060690.30000007</v>
      </c>
      <c r="AB84" s="128">
        <f t="shared" si="180"/>
        <v>8046604440.9000006</v>
      </c>
      <c r="AC84" s="175">
        <f t="shared" si="181"/>
        <v>0.64437272800000001</v>
      </c>
    </row>
    <row r="85" spans="1:29" ht="28.5" x14ac:dyDescent="0.2">
      <c r="B85" s="76" t="s">
        <v>961</v>
      </c>
      <c r="C85" s="77" t="s">
        <v>962</v>
      </c>
      <c r="D85" s="334">
        <v>2247750000</v>
      </c>
      <c r="E85" s="188">
        <f>SUM('ADICIONES  2021'!C85:I85)</f>
        <v>0</v>
      </c>
      <c r="F85" s="41">
        <f t="shared" ref="F85:J85" si="197">+F80*1.7982%</f>
        <v>0</v>
      </c>
      <c r="G85" s="41">
        <v>0</v>
      </c>
      <c r="H85" s="41">
        <f t="shared" si="197"/>
        <v>0</v>
      </c>
      <c r="I85" s="41">
        <f t="shared" si="197"/>
        <v>0</v>
      </c>
      <c r="J85" s="41">
        <f t="shared" si="197"/>
        <v>0</v>
      </c>
      <c r="K85" s="128">
        <f t="shared" si="170"/>
        <v>2247750000</v>
      </c>
      <c r="L85" s="41">
        <f>15060003000*1.7982%</f>
        <v>270808973.94600004</v>
      </c>
      <c r="M85" s="41">
        <f>13145834000*1.7982%</f>
        <v>236388386.98800001</v>
      </c>
      <c r="N85" s="41">
        <f>10319168000*1.7982%</f>
        <v>185559278.97600001</v>
      </c>
      <c r="O85" s="41">
        <f>10878819000*1.7982%</f>
        <v>195622923.25800002</v>
      </c>
      <c r="P85" s="41">
        <f>11220307000*1.7982%</f>
        <v>201763560.47400001</v>
      </c>
      <c r="Q85" s="409">
        <f>10432363000*1.7982%</f>
        <v>187594751.46600002</v>
      </c>
      <c r="R85" s="128">
        <f t="shared" si="178"/>
        <v>1277737875.1080003</v>
      </c>
      <c r="S85" s="41">
        <f>9490097000*1.7982%</f>
        <v>170650924.25400001</v>
      </c>
      <c r="T85" s="41">
        <f t="shared" ref="T85:Z85" si="198">+T80*1.7982%</f>
        <v>0</v>
      </c>
      <c r="U85" s="41">
        <f t="shared" si="198"/>
        <v>0</v>
      </c>
      <c r="V85" s="41">
        <f t="shared" si="198"/>
        <v>0</v>
      </c>
      <c r="W85" s="41">
        <f t="shared" si="198"/>
        <v>0</v>
      </c>
      <c r="X85" s="41">
        <f t="shared" si="198"/>
        <v>0</v>
      </c>
      <c r="Y85" s="41">
        <f t="shared" si="198"/>
        <v>0</v>
      </c>
      <c r="Z85" s="41">
        <f t="shared" si="198"/>
        <v>0</v>
      </c>
      <c r="AA85" s="128">
        <f t="shared" si="194"/>
        <v>170650924.25400001</v>
      </c>
      <c r="AB85" s="128">
        <f t="shared" si="180"/>
        <v>1448388799.3620002</v>
      </c>
      <c r="AC85" s="175">
        <f t="shared" si="181"/>
        <v>0.64437272800000012</v>
      </c>
    </row>
    <row r="86" spans="1:29" ht="42.75" x14ac:dyDescent="0.2">
      <c r="B86" s="76" t="s">
        <v>963</v>
      </c>
      <c r="C86" s="77" t="s">
        <v>964</v>
      </c>
      <c r="D86" s="330">
        <v>1101397500</v>
      </c>
      <c r="E86" s="188">
        <f>SUM('ADICIONES  2021'!C86:I86)</f>
        <v>0</v>
      </c>
      <c r="F86" s="41">
        <f t="shared" ref="F86:J86" si="199">+F80*0.881118%</f>
        <v>0</v>
      </c>
      <c r="G86" s="41">
        <v>0</v>
      </c>
      <c r="H86" s="41">
        <f t="shared" si="199"/>
        <v>0</v>
      </c>
      <c r="I86" s="41">
        <f t="shared" si="199"/>
        <v>0</v>
      </c>
      <c r="J86" s="41">
        <f t="shared" si="199"/>
        <v>0</v>
      </c>
      <c r="K86" s="128">
        <f t="shared" si="170"/>
        <v>1101397500</v>
      </c>
      <c r="L86" s="41">
        <f>15060003000*0.881118%</f>
        <v>132696397.23354</v>
      </c>
      <c r="M86" s="41">
        <f>13145834000*0.881118%</f>
        <v>115830309.62412</v>
      </c>
      <c r="N86" s="41">
        <f>10319168000*0.881118%</f>
        <v>90924046.698239997</v>
      </c>
      <c r="O86" s="41">
        <f>10878819000*0.881118%</f>
        <v>95855232.396420002</v>
      </c>
      <c r="P86" s="41">
        <f>11220307000*0.881118%</f>
        <v>98864144.632259995</v>
      </c>
      <c r="Q86" s="409">
        <f>10432363000*0.881118%</f>
        <v>91921428.218339995</v>
      </c>
      <c r="R86" s="128">
        <f t="shared" si="178"/>
        <v>626091558.80291998</v>
      </c>
      <c r="S86" s="41">
        <f>9490097000*0.881118%</f>
        <v>83618952.884460002</v>
      </c>
      <c r="T86" s="41">
        <f t="shared" ref="T86:Z86" si="200">+T80*0.881118%</f>
        <v>0</v>
      </c>
      <c r="U86" s="41">
        <f t="shared" si="200"/>
        <v>0</v>
      </c>
      <c r="V86" s="41">
        <f t="shared" si="200"/>
        <v>0</v>
      </c>
      <c r="W86" s="41">
        <f t="shared" si="200"/>
        <v>0</v>
      </c>
      <c r="X86" s="41">
        <f t="shared" si="200"/>
        <v>0</v>
      </c>
      <c r="Y86" s="41">
        <f t="shared" si="200"/>
        <v>0</v>
      </c>
      <c r="Z86" s="41">
        <f t="shared" si="200"/>
        <v>0</v>
      </c>
      <c r="AA86" s="128">
        <f t="shared" si="194"/>
        <v>83618952.884460002</v>
      </c>
      <c r="AB86" s="128">
        <f t="shared" si="180"/>
        <v>709710511.68737996</v>
      </c>
      <c r="AC86" s="175">
        <f t="shared" si="181"/>
        <v>0.64437272800000001</v>
      </c>
    </row>
    <row r="87" spans="1:29" s="63" customFormat="1" ht="31.5" x14ac:dyDescent="0.2">
      <c r="A87" s="397">
        <v>1</v>
      </c>
      <c r="B87" s="81" t="s">
        <v>467</v>
      </c>
      <c r="C87" s="79" t="s">
        <v>468</v>
      </c>
      <c r="D87" s="329">
        <v>4000000000</v>
      </c>
      <c r="E87" s="187">
        <f>SUM('ADICIONES  2021'!C87:I87)</f>
        <v>0</v>
      </c>
      <c r="F87" s="146"/>
      <c r="G87" s="146"/>
      <c r="H87" s="146"/>
      <c r="I87" s="146"/>
      <c r="J87" s="146"/>
      <c r="K87" s="78">
        <f t="shared" si="170"/>
        <v>4000000000</v>
      </c>
      <c r="L87" s="146">
        <v>133149000</v>
      </c>
      <c r="M87" s="146">
        <v>131312000</v>
      </c>
      <c r="N87" s="146">
        <v>253734000</v>
      </c>
      <c r="O87" s="146">
        <v>87800000</v>
      </c>
      <c r="P87" s="146">
        <v>103383000</v>
      </c>
      <c r="Q87" s="411">
        <v>93695000</v>
      </c>
      <c r="R87" s="78">
        <f t="shared" si="178"/>
        <v>803073000</v>
      </c>
      <c r="S87" s="146">
        <v>55571000</v>
      </c>
      <c r="T87" s="146"/>
      <c r="U87" s="146"/>
      <c r="V87" s="146"/>
      <c r="W87" s="146"/>
      <c r="X87" s="146"/>
      <c r="Y87" s="146"/>
      <c r="Z87" s="146"/>
      <c r="AA87" s="78">
        <f t="shared" si="194"/>
        <v>55571000</v>
      </c>
      <c r="AB87" s="78">
        <f t="shared" si="180"/>
        <v>858644000</v>
      </c>
      <c r="AC87" s="174">
        <f t="shared" si="181"/>
        <v>0.21466099999999999</v>
      </c>
    </row>
    <row r="88" spans="1:29" ht="28.5" x14ac:dyDescent="0.2">
      <c r="B88" s="76" t="s">
        <v>469</v>
      </c>
      <c r="C88" s="77" t="s">
        <v>151</v>
      </c>
      <c r="D88" s="330">
        <f>+D87*87.230682%</f>
        <v>3489227280</v>
      </c>
      <c r="E88" s="188">
        <f>SUM('ADICIONES  2021'!C88:I88)</f>
        <v>0</v>
      </c>
      <c r="F88" s="41">
        <f t="shared" ref="F88:J88" si="201">+F87*87.230682%</f>
        <v>0</v>
      </c>
      <c r="G88" s="41">
        <f t="shared" si="201"/>
        <v>0</v>
      </c>
      <c r="H88" s="41">
        <f t="shared" si="201"/>
        <v>0</v>
      </c>
      <c r="I88" s="41">
        <f t="shared" si="201"/>
        <v>0</v>
      </c>
      <c r="J88" s="41">
        <f t="shared" si="201"/>
        <v>0</v>
      </c>
      <c r="K88" s="128">
        <f t="shared" si="170"/>
        <v>3489227280</v>
      </c>
      <c r="L88" s="41">
        <f t="shared" ref="L88:Q88" si="202">+L87*87.230682%</f>
        <v>116146780.77618</v>
      </c>
      <c r="M88" s="41">
        <f t="shared" si="202"/>
        <v>114544353.14784001</v>
      </c>
      <c r="N88" s="41">
        <f t="shared" si="202"/>
        <v>221333898.66588002</v>
      </c>
      <c r="O88" s="41">
        <f t="shared" si="202"/>
        <v>76588538.796000004</v>
      </c>
      <c r="P88" s="41">
        <f t="shared" si="202"/>
        <v>90181695.97206001</v>
      </c>
      <c r="Q88" s="409">
        <f t="shared" si="202"/>
        <v>81730787.499899998</v>
      </c>
      <c r="R88" s="128">
        <f t="shared" si="178"/>
        <v>700526054.85785997</v>
      </c>
      <c r="S88" s="41">
        <f t="shared" ref="S88:Z88" si="203">+S87*87.230682%</f>
        <v>48474962.294220001</v>
      </c>
      <c r="T88" s="41">
        <f t="shared" si="203"/>
        <v>0</v>
      </c>
      <c r="U88" s="41">
        <f t="shared" si="203"/>
        <v>0</v>
      </c>
      <c r="V88" s="41">
        <f t="shared" si="203"/>
        <v>0</v>
      </c>
      <c r="W88" s="41">
        <f t="shared" si="203"/>
        <v>0</v>
      </c>
      <c r="X88" s="41">
        <f t="shared" si="203"/>
        <v>0</v>
      </c>
      <c r="Y88" s="41">
        <f t="shared" si="203"/>
        <v>0</v>
      </c>
      <c r="Z88" s="41">
        <f t="shared" si="203"/>
        <v>0</v>
      </c>
      <c r="AA88" s="128">
        <f t="shared" si="194"/>
        <v>48474962.294220001</v>
      </c>
      <c r="AB88" s="128">
        <f t="shared" si="180"/>
        <v>749001017.15207994</v>
      </c>
      <c r="AC88" s="175">
        <f t="shared" si="181"/>
        <v>0.21466099999999999</v>
      </c>
    </row>
    <row r="89" spans="1:29" ht="28.5" x14ac:dyDescent="0.2">
      <c r="B89" s="76" t="s">
        <v>470</v>
      </c>
      <c r="C89" s="77" t="s">
        <v>152</v>
      </c>
      <c r="D89" s="330">
        <f>+D87*0.1%</f>
        <v>4000000</v>
      </c>
      <c r="E89" s="188">
        <f>SUM('ADICIONES  2021'!C89:I89)</f>
        <v>0</v>
      </c>
      <c r="F89" s="41">
        <f t="shared" ref="F89:J89" si="204">+F87*0.1%</f>
        <v>0</v>
      </c>
      <c r="G89" s="41">
        <f t="shared" si="204"/>
        <v>0</v>
      </c>
      <c r="H89" s="41">
        <f t="shared" si="204"/>
        <v>0</v>
      </c>
      <c r="I89" s="41">
        <f t="shared" si="204"/>
        <v>0</v>
      </c>
      <c r="J89" s="41">
        <f t="shared" si="204"/>
        <v>0</v>
      </c>
      <c r="K89" s="128">
        <f t="shared" si="170"/>
        <v>4000000</v>
      </c>
      <c r="L89" s="41">
        <f t="shared" ref="L89:Q89" si="205">+L87*0.1%</f>
        <v>133149</v>
      </c>
      <c r="M89" s="41">
        <f t="shared" si="205"/>
        <v>131312</v>
      </c>
      <c r="N89" s="41">
        <f t="shared" si="205"/>
        <v>253734</v>
      </c>
      <c r="O89" s="41">
        <f t="shared" si="205"/>
        <v>87800</v>
      </c>
      <c r="P89" s="41">
        <f t="shared" si="205"/>
        <v>103383</v>
      </c>
      <c r="Q89" s="409">
        <f t="shared" si="205"/>
        <v>93695</v>
      </c>
      <c r="R89" s="128">
        <f t="shared" si="178"/>
        <v>803073</v>
      </c>
      <c r="S89" s="41">
        <f t="shared" ref="S89:Z89" si="206">+S87*0.1%</f>
        <v>55571</v>
      </c>
      <c r="T89" s="41">
        <f t="shared" si="206"/>
        <v>0</v>
      </c>
      <c r="U89" s="41">
        <f t="shared" si="206"/>
        <v>0</v>
      </c>
      <c r="V89" s="41">
        <f t="shared" si="206"/>
        <v>0</v>
      </c>
      <c r="W89" s="41">
        <f t="shared" si="206"/>
        <v>0</v>
      </c>
      <c r="X89" s="41">
        <f t="shared" si="206"/>
        <v>0</v>
      </c>
      <c r="Y89" s="41">
        <f t="shared" si="206"/>
        <v>0</v>
      </c>
      <c r="Z89" s="41">
        <f t="shared" si="206"/>
        <v>0</v>
      </c>
      <c r="AA89" s="128">
        <f t="shared" si="194"/>
        <v>55571</v>
      </c>
      <c r="AB89" s="128">
        <f t="shared" si="180"/>
        <v>858644</v>
      </c>
      <c r="AC89" s="175">
        <f t="shared" si="181"/>
        <v>0.21466099999999999</v>
      </c>
    </row>
    <row r="90" spans="1:29" ht="28.5" x14ac:dyDescent="0.2">
      <c r="B90" s="76" t="s">
        <v>471</v>
      </c>
      <c r="C90" s="154" t="s">
        <v>153</v>
      </c>
      <c r="D90" s="330">
        <f>+D87*9.99%</f>
        <v>399600000</v>
      </c>
      <c r="E90" s="188">
        <f>SUM('ADICIONES  2021'!C90:I90)</f>
        <v>0</v>
      </c>
      <c r="F90" s="41">
        <f t="shared" ref="F90:J90" si="207">+F87*9.99%</f>
        <v>0</v>
      </c>
      <c r="G90" s="41">
        <f t="shared" si="207"/>
        <v>0</v>
      </c>
      <c r="H90" s="41">
        <f t="shared" si="207"/>
        <v>0</v>
      </c>
      <c r="I90" s="41">
        <f t="shared" si="207"/>
        <v>0</v>
      </c>
      <c r="J90" s="41">
        <f t="shared" si="207"/>
        <v>0</v>
      </c>
      <c r="K90" s="128">
        <f t="shared" si="170"/>
        <v>399600000</v>
      </c>
      <c r="L90" s="41">
        <f t="shared" ref="L90:Q90" si="208">+L87*9.99%</f>
        <v>13301585.1</v>
      </c>
      <c r="M90" s="41">
        <f t="shared" si="208"/>
        <v>13118068.800000001</v>
      </c>
      <c r="N90" s="41">
        <f t="shared" si="208"/>
        <v>25348026.600000001</v>
      </c>
      <c r="O90" s="41">
        <f t="shared" si="208"/>
        <v>8771220</v>
      </c>
      <c r="P90" s="41">
        <f t="shared" si="208"/>
        <v>10327961.700000001</v>
      </c>
      <c r="Q90" s="409">
        <f t="shared" si="208"/>
        <v>9360130.5</v>
      </c>
      <c r="R90" s="128">
        <f t="shared" si="178"/>
        <v>80226992.700000003</v>
      </c>
      <c r="S90" s="41">
        <f t="shared" ref="S90:Z90" si="209">+S87*9.99%</f>
        <v>5551542.9000000004</v>
      </c>
      <c r="T90" s="41">
        <f t="shared" si="209"/>
        <v>0</v>
      </c>
      <c r="U90" s="41">
        <f t="shared" si="209"/>
        <v>0</v>
      </c>
      <c r="V90" s="41">
        <f t="shared" si="209"/>
        <v>0</v>
      </c>
      <c r="W90" s="41">
        <f t="shared" si="209"/>
        <v>0</v>
      </c>
      <c r="X90" s="41">
        <f t="shared" si="209"/>
        <v>0</v>
      </c>
      <c r="Y90" s="41">
        <f t="shared" si="209"/>
        <v>0</v>
      </c>
      <c r="Z90" s="41">
        <f t="shared" si="209"/>
        <v>0</v>
      </c>
      <c r="AA90" s="128">
        <f t="shared" si="194"/>
        <v>5551542.9000000004</v>
      </c>
      <c r="AB90" s="128">
        <f t="shared" si="180"/>
        <v>85778535.600000009</v>
      </c>
      <c r="AC90" s="175">
        <f t="shared" si="181"/>
        <v>0.21466100000000002</v>
      </c>
    </row>
    <row r="91" spans="1:29" ht="28.5" x14ac:dyDescent="0.2">
      <c r="B91" s="76" t="s">
        <v>472</v>
      </c>
      <c r="C91" s="77" t="s">
        <v>154</v>
      </c>
      <c r="D91" s="330">
        <f>+D87*1.7982%</f>
        <v>71928000</v>
      </c>
      <c r="E91" s="188">
        <f>SUM('ADICIONES  2021'!C91:I91)</f>
        <v>0</v>
      </c>
      <c r="F91" s="41">
        <f t="shared" ref="F91:J91" si="210">+F87*1.7982%</f>
        <v>0</v>
      </c>
      <c r="G91" s="41">
        <f t="shared" si="210"/>
        <v>0</v>
      </c>
      <c r="H91" s="41">
        <f t="shared" si="210"/>
        <v>0</v>
      </c>
      <c r="I91" s="41">
        <f t="shared" si="210"/>
        <v>0</v>
      </c>
      <c r="J91" s="41">
        <f t="shared" si="210"/>
        <v>0</v>
      </c>
      <c r="K91" s="128">
        <f t="shared" si="170"/>
        <v>71928000</v>
      </c>
      <c r="L91" s="41">
        <f t="shared" ref="L91:Q91" si="211">+L87*1.7982%</f>
        <v>2394285.318</v>
      </c>
      <c r="M91" s="41">
        <f t="shared" si="211"/>
        <v>2361252.3840000001</v>
      </c>
      <c r="N91" s="41">
        <f t="shared" si="211"/>
        <v>4562644.7880000006</v>
      </c>
      <c r="O91" s="41">
        <f t="shared" si="211"/>
        <v>1578819.6</v>
      </c>
      <c r="P91" s="41">
        <f t="shared" si="211"/>
        <v>1859033.1060000001</v>
      </c>
      <c r="Q91" s="409">
        <f t="shared" si="211"/>
        <v>1684823.4900000002</v>
      </c>
      <c r="R91" s="128">
        <f t="shared" si="178"/>
        <v>14440858.686000001</v>
      </c>
      <c r="S91" s="41">
        <f t="shared" ref="S91:Z91" si="212">+S87*1.7982%</f>
        <v>999277.72200000007</v>
      </c>
      <c r="T91" s="41">
        <f t="shared" si="212"/>
        <v>0</v>
      </c>
      <c r="U91" s="41">
        <f t="shared" si="212"/>
        <v>0</v>
      </c>
      <c r="V91" s="41">
        <f t="shared" si="212"/>
        <v>0</v>
      </c>
      <c r="W91" s="41">
        <f t="shared" si="212"/>
        <v>0</v>
      </c>
      <c r="X91" s="41">
        <f t="shared" si="212"/>
        <v>0</v>
      </c>
      <c r="Y91" s="41">
        <f t="shared" si="212"/>
        <v>0</v>
      </c>
      <c r="Z91" s="41">
        <f t="shared" si="212"/>
        <v>0</v>
      </c>
      <c r="AA91" s="128">
        <f t="shared" si="194"/>
        <v>999277.72200000007</v>
      </c>
      <c r="AB91" s="128">
        <f t="shared" si="180"/>
        <v>15440136.408</v>
      </c>
      <c r="AC91" s="175">
        <f t="shared" si="181"/>
        <v>0.21466099999999999</v>
      </c>
    </row>
    <row r="92" spans="1:29" ht="42.75" x14ac:dyDescent="0.2">
      <c r="B92" s="76" t="s">
        <v>473</v>
      </c>
      <c r="C92" s="77" t="s">
        <v>155</v>
      </c>
      <c r="D92" s="330">
        <f>+D87*0.881118%</f>
        <v>35244720</v>
      </c>
      <c r="E92" s="188">
        <f>SUM('ADICIONES  2021'!C92:I92)</f>
        <v>0</v>
      </c>
      <c r="F92" s="41">
        <f t="shared" ref="F92:J92" si="213">+F87*0.881118%</f>
        <v>0</v>
      </c>
      <c r="G92" s="41">
        <f t="shared" si="213"/>
        <v>0</v>
      </c>
      <c r="H92" s="41">
        <f t="shared" si="213"/>
        <v>0</v>
      </c>
      <c r="I92" s="41">
        <f t="shared" si="213"/>
        <v>0</v>
      </c>
      <c r="J92" s="41">
        <f t="shared" si="213"/>
        <v>0</v>
      </c>
      <c r="K92" s="128">
        <f t="shared" si="170"/>
        <v>35244720</v>
      </c>
      <c r="L92" s="41">
        <f t="shared" ref="L92:Q92" si="214">+L87*0.881118%</f>
        <v>1173199.8058199999</v>
      </c>
      <c r="M92" s="41">
        <f t="shared" si="214"/>
        <v>1157013.6681600001</v>
      </c>
      <c r="N92" s="41">
        <f t="shared" si="214"/>
        <v>2235695.94612</v>
      </c>
      <c r="O92" s="41">
        <f t="shared" si="214"/>
        <v>773621.60400000005</v>
      </c>
      <c r="P92" s="41">
        <f t="shared" si="214"/>
        <v>910926.22193999996</v>
      </c>
      <c r="Q92" s="409">
        <f t="shared" si="214"/>
        <v>825563.51009999996</v>
      </c>
      <c r="R92" s="128">
        <f t="shared" si="178"/>
        <v>7076020.7561399993</v>
      </c>
      <c r="S92" s="41">
        <f t="shared" ref="S92:Z92" si="215">+S87*0.881118%</f>
        <v>489646.08377999999</v>
      </c>
      <c r="T92" s="41">
        <f t="shared" si="215"/>
        <v>0</v>
      </c>
      <c r="U92" s="41">
        <f t="shared" si="215"/>
        <v>0</v>
      </c>
      <c r="V92" s="41">
        <f t="shared" si="215"/>
        <v>0</v>
      </c>
      <c r="W92" s="41">
        <f t="shared" si="215"/>
        <v>0</v>
      </c>
      <c r="X92" s="41">
        <f t="shared" si="215"/>
        <v>0</v>
      </c>
      <c r="Y92" s="41">
        <f t="shared" si="215"/>
        <v>0</v>
      </c>
      <c r="Z92" s="41">
        <f t="shared" si="215"/>
        <v>0</v>
      </c>
      <c r="AA92" s="128">
        <f t="shared" si="194"/>
        <v>489646.08377999999</v>
      </c>
      <c r="AB92" s="128">
        <f t="shared" si="180"/>
        <v>7565666.8399199992</v>
      </c>
      <c r="AC92" s="175">
        <f t="shared" si="181"/>
        <v>0.21466099999999999</v>
      </c>
    </row>
    <row r="93" spans="1:29" s="63" customFormat="1" ht="30" x14ac:dyDescent="0.2">
      <c r="A93" s="397"/>
      <c r="B93" s="81" t="s">
        <v>474</v>
      </c>
      <c r="C93" s="194" t="s">
        <v>475</v>
      </c>
      <c r="D93" s="329">
        <f>+D94</f>
        <v>16000000000</v>
      </c>
      <c r="E93" s="187">
        <f>SUM('ADICIONES  2021'!C93:I93)</f>
        <v>0</v>
      </c>
      <c r="F93" s="223">
        <f t="shared" ref="F93:Z93" si="216">+F94</f>
        <v>0</v>
      </c>
      <c r="G93" s="223">
        <f t="shared" si="216"/>
        <v>0</v>
      </c>
      <c r="H93" s="223">
        <f t="shared" si="216"/>
        <v>0</v>
      </c>
      <c r="I93" s="223">
        <f t="shared" si="216"/>
        <v>0</v>
      </c>
      <c r="J93" s="223">
        <f t="shared" si="216"/>
        <v>0</v>
      </c>
      <c r="K93" s="78">
        <f t="shared" si="170"/>
        <v>16000000000</v>
      </c>
      <c r="L93" s="223">
        <f t="shared" si="216"/>
        <v>2256310592</v>
      </c>
      <c r="M93" s="223">
        <f t="shared" si="216"/>
        <v>501577217</v>
      </c>
      <c r="N93" s="223">
        <f t="shared" si="216"/>
        <v>1172862674</v>
      </c>
      <c r="O93" s="223">
        <f t="shared" si="216"/>
        <v>1313844793</v>
      </c>
      <c r="P93" s="223">
        <f t="shared" si="216"/>
        <v>1447433120</v>
      </c>
      <c r="Q93" s="407">
        <f t="shared" si="216"/>
        <v>1215837824</v>
      </c>
      <c r="R93" s="78">
        <f t="shared" si="178"/>
        <v>7907866220</v>
      </c>
      <c r="S93" s="223">
        <f t="shared" si="216"/>
        <v>1045183945</v>
      </c>
      <c r="T93" s="223">
        <f t="shared" si="216"/>
        <v>0</v>
      </c>
      <c r="U93" s="223">
        <f t="shared" si="216"/>
        <v>0</v>
      </c>
      <c r="V93" s="223">
        <f t="shared" si="216"/>
        <v>0</v>
      </c>
      <c r="W93" s="223">
        <f t="shared" si="216"/>
        <v>0</v>
      </c>
      <c r="X93" s="223">
        <f t="shared" si="216"/>
        <v>0</v>
      </c>
      <c r="Y93" s="223">
        <f t="shared" si="216"/>
        <v>0</v>
      </c>
      <c r="Z93" s="223">
        <f t="shared" si="216"/>
        <v>0</v>
      </c>
      <c r="AA93" s="78">
        <f t="shared" si="194"/>
        <v>1045183945</v>
      </c>
      <c r="AB93" s="78">
        <f t="shared" si="180"/>
        <v>8953050165</v>
      </c>
      <c r="AC93" s="174">
        <f t="shared" si="181"/>
        <v>0.55956563531250003</v>
      </c>
    </row>
    <row r="94" spans="1:29" s="63" customFormat="1" ht="31.5" x14ac:dyDescent="0.2">
      <c r="A94" s="397">
        <v>1</v>
      </c>
      <c r="B94" s="81" t="s">
        <v>476</v>
      </c>
      <c r="C94" s="79" t="s">
        <v>477</v>
      </c>
      <c r="D94" s="329">
        <f>+D95+D102</f>
        <v>16000000000</v>
      </c>
      <c r="E94" s="187">
        <f>SUM('ADICIONES  2021'!C94:I94)</f>
        <v>0</v>
      </c>
      <c r="F94" s="223">
        <f t="shared" ref="F94:J94" si="217">+F95+F102</f>
        <v>0</v>
      </c>
      <c r="G94" s="223">
        <f t="shared" si="217"/>
        <v>0</v>
      </c>
      <c r="H94" s="223">
        <f t="shared" si="217"/>
        <v>0</v>
      </c>
      <c r="I94" s="223">
        <f t="shared" si="217"/>
        <v>0</v>
      </c>
      <c r="J94" s="223">
        <f t="shared" si="217"/>
        <v>0</v>
      </c>
      <c r="K94" s="78">
        <f t="shared" si="170"/>
        <v>16000000000</v>
      </c>
      <c r="L94" s="223">
        <f t="shared" ref="L94:Q94" si="218">+L95+L102</f>
        <v>2256310592</v>
      </c>
      <c r="M94" s="223">
        <f t="shared" si="218"/>
        <v>501577217</v>
      </c>
      <c r="N94" s="223">
        <f t="shared" si="218"/>
        <v>1172862674</v>
      </c>
      <c r="O94" s="223">
        <f t="shared" si="218"/>
        <v>1313844793</v>
      </c>
      <c r="P94" s="223">
        <f t="shared" si="218"/>
        <v>1447433120</v>
      </c>
      <c r="Q94" s="407">
        <f t="shared" si="218"/>
        <v>1215837824</v>
      </c>
      <c r="R94" s="78">
        <f t="shared" si="178"/>
        <v>7907866220</v>
      </c>
      <c r="S94" s="223">
        <f t="shared" ref="S94:Z94" si="219">+S95+S102</f>
        <v>1045183945</v>
      </c>
      <c r="T94" s="223">
        <f t="shared" si="219"/>
        <v>0</v>
      </c>
      <c r="U94" s="223">
        <f t="shared" si="219"/>
        <v>0</v>
      </c>
      <c r="V94" s="223">
        <f t="shared" si="219"/>
        <v>0</v>
      </c>
      <c r="W94" s="223">
        <f t="shared" si="219"/>
        <v>0</v>
      </c>
      <c r="X94" s="223">
        <f t="shared" si="219"/>
        <v>0</v>
      </c>
      <c r="Y94" s="223">
        <f t="shared" si="219"/>
        <v>0</v>
      </c>
      <c r="Z94" s="223">
        <f t="shared" si="219"/>
        <v>0</v>
      </c>
      <c r="AA94" s="78">
        <f t="shared" si="194"/>
        <v>1045183945</v>
      </c>
      <c r="AB94" s="78">
        <f t="shared" si="180"/>
        <v>8953050165</v>
      </c>
      <c r="AC94" s="174">
        <f t="shared" si="181"/>
        <v>0.55956563531250003</v>
      </c>
    </row>
    <row r="95" spans="1:29" s="63" customFormat="1" ht="47.25" x14ac:dyDescent="0.2">
      <c r="A95" s="397">
        <v>1</v>
      </c>
      <c r="B95" s="81" t="s">
        <v>478</v>
      </c>
      <c r="C95" s="79" t="s">
        <v>479</v>
      </c>
      <c r="D95" s="333">
        <v>0</v>
      </c>
      <c r="E95" s="187">
        <f>SUM('ADICIONES  2021'!C95:I95)</f>
        <v>0</v>
      </c>
      <c r="F95" s="78"/>
      <c r="G95" s="78"/>
      <c r="H95" s="78"/>
      <c r="I95" s="78"/>
      <c r="J95" s="78"/>
      <c r="K95" s="78">
        <f t="shared" si="170"/>
        <v>0</v>
      </c>
      <c r="L95" s="78">
        <v>0</v>
      </c>
      <c r="M95" s="78">
        <v>0</v>
      </c>
      <c r="N95" s="78">
        <v>0</v>
      </c>
      <c r="O95" s="78">
        <v>0</v>
      </c>
      <c r="P95" s="78">
        <v>0</v>
      </c>
      <c r="Q95" s="408">
        <v>0</v>
      </c>
      <c r="R95" s="78">
        <f t="shared" si="178"/>
        <v>0</v>
      </c>
      <c r="S95" s="78">
        <v>0</v>
      </c>
      <c r="T95" s="78"/>
      <c r="U95" s="78"/>
      <c r="V95" s="78"/>
      <c r="W95" s="78"/>
      <c r="X95" s="78"/>
      <c r="Y95" s="78"/>
      <c r="Z95" s="78"/>
      <c r="AA95" s="78">
        <f t="shared" si="194"/>
        <v>0</v>
      </c>
      <c r="AB95" s="78">
        <f t="shared" si="180"/>
        <v>0</v>
      </c>
      <c r="AC95" s="174">
        <v>0</v>
      </c>
    </row>
    <row r="96" spans="1:29" ht="42.75" x14ac:dyDescent="0.2">
      <c r="B96" s="76" t="s">
        <v>480</v>
      </c>
      <c r="C96" s="77" t="s">
        <v>156</v>
      </c>
      <c r="D96" s="330">
        <f>+D95*82.8691479%</f>
        <v>0</v>
      </c>
      <c r="E96" s="188">
        <f>SUM('ADICIONES  2021'!C96:I96)</f>
        <v>0</v>
      </c>
      <c r="F96" s="41">
        <f t="shared" ref="F96:J96" si="220">+F95*82.8691479%</f>
        <v>0</v>
      </c>
      <c r="G96" s="41">
        <f t="shared" si="220"/>
        <v>0</v>
      </c>
      <c r="H96" s="41">
        <f t="shared" si="220"/>
        <v>0</v>
      </c>
      <c r="I96" s="41">
        <f t="shared" si="220"/>
        <v>0</v>
      </c>
      <c r="J96" s="41">
        <f t="shared" si="220"/>
        <v>0</v>
      </c>
      <c r="K96" s="128">
        <f t="shared" si="170"/>
        <v>0</v>
      </c>
      <c r="L96" s="41">
        <f t="shared" ref="L96:Q96" si="221">+L95*82.8691479%</f>
        <v>0</v>
      </c>
      <c r="M96" s="41">
        <f t="shared" si="221"/>
        <v>0</v>
      </c>
      <c r="N96" s="41">
        <f t="shared" si="221"/>
        <v>0</v>
      </c>
      <c r="O96" s="41">
        <f t="shared" si="221"/>
        <v>0</v>
      </c>
      <c r="P96" s="41">
        <f t="shared" si="221"/>
        <v>0</v>
      </c>
      <c r="Q96" s="409">
        <f t="shared" si="221"/>
        <v>0</v>
      </c>
      <c r="R96" s="128">
        <f t="shared" si="178"/>
        <v>0</v>
      </c>
      <c r="S96" s="41">
        <f t="shared" ref="S96:Z96" si="222">+S95*82.8691479%</f>
        <v>0</v>
      </c>
      <c r="T96" s="41">
        <f t="shared" si="222"/>
        <v>0</v>
      </c>
      <c r="U96" s="41">
        <f t="shared" si="222"/>
        <v>0</v>
      </c>
      <c r="V96" s="41">
        <f t="shared" si="222"/>
        <v>0</v>
      </c>
      <c r="W96" s="41">
        <f t="shared" si="222"/>
        <v>0</v>
      </c>
      <c r="X96" s="41">
        <f t="shared" si="222"/>
        <v>0</v>
      </c>
      <c r="Y96" s="41">
        <f t="shared" si="222"/>
        <v>0</v>
      </c>
      <c r="Z96" s="41">
        <f t="shared" si="222"/>
        <v>0</v>
      </c>
      <c r="AA96" s="128">
        <f t="shared" si="194"/>
        <v>0</v>
      </c>
      <c r="AB96" s="128">
        <f t="shared" si="180"/>
        <v>0</v>
      </c>
      <c r="AC96" s="175">
        <v>0</v>
      </c>
    </row>
    <row r="97" spans="1:29" ht="28.5" x14ac:dyDescent="0.2">
      <c r="B97" s="76" t="s">
        <v>481</v>
      </c>
      <c r="C97" s="77" t="s">
        <v>157</v>
      </c>
      <c r="D97" s="330">
        <f>+D95*0.095%</f>
        <v>0</v>
      </c>
      <c r="E97" s="188">
        <f>SUM('ADICIONES  2021'!C97:I97)</f>
        <v>0</v>
      </c>
      <c r="F97" s="41">
        <f t="shared" ref="F97:J97" si="223">+F95*0.095%</f>
        <v>0</v>
      </c>
      <c r="G97" s="41">
        <f t="shared" si="223"/>
        <v>0</v>
      </c>
      <c r="H97" s="41">
        <f t="shared" si="223"/>
        <v>0</v>
      </c>
      <c r="I97" s="41">
        <f t="shared" si="223"/>
        <v>0</v>
      </c>
      <c r="J97" s="41">
        <f t="shared" si="223"/>
        <v>0</v>
      </c>
      <c r="K97" s="128">
        <f t="shared" si="170"/>
        <v>0</v>
      </c>
      <c r="L97" s="41">
        <f t="shared" ref="L97:Q97" si="224">+L95*0.095%</f>
        <v>0</v>
      </c>
      <c r="M97" s="41">
        <f t="shared" si="224"/>
        <v>0</v>
      </c>
      <c r="N97" s="41">
        <f t="shared" si="224"/>
        <v>0</v>
      </c>
      <c r="O97" s="41">
        <f t="shared" si="224"/>
        <v>0</v>
      </c>
      <c r="P97" s="41">
        <f t="shared" si="224"/>
        <v>0</v>
      </c>
      <c r="Q97" s="409">
        <f t="shared" si="224"/>
        <v>0</v>
      </c>
      <c r="R97" s="128">
        <f t="shared" si="178"/>
        <v>0</v>
      </c>
      <c r="S97" s="41">
        <f t="shared" ref="S97:Z97" si="225">+S95*0.095%</f>
        <v>0</v>
      </c>
      <c r="T97" s="41">
        <f t="shared" si="225"/>
        <v>0</v>
      </c>
      <c r="U97" s="41">
        <f t="shared" si="225"/>
        <v>0</v>
      </c>
      <c r="V97" s="41">
        <f t="shared" si="225"/>
        <v>0</v>
      </c>
      <c r="W97" s="41">
        <f t="shared" si="225"/>
        <v>0</v>
      </c>
      <c r="X97" s="41">
        <f t="shared" si="225"/>
        <v>0</v>
      </c>
      <c r="Y97" s="41">
        <f t="shared" si="225"/>
        <v>0</v>
      </c>
      <c r="Z97" s="41">
        <f t="shared" si="225"/>
        <v>0</v>
      </c>
      <c r="AA97" s="128">
        <f t="shared" si="194"/>
        <v>0</v>
      </c>
      <c r="AB97" s="128">
        <f t="shared" si="180"/>
        <v>0</v>
      </c>
      <c r="AC97" s="175">
        <v>0</v>
      </c>
    </row>
    <row r="98" spans="1:29" ht="28.5" x14ac:dyDescent="0.2">
      <c r="B98" s="76" t="s">
        <v>482</v>
      </c>
      <c r="C98" s="77" t="s">
        <v>158</v>
      </c>
      <c r="D98" s="330">
        <f>+D95*5%</f>
        <v>0</v>
      </c>
      <c r="E98" s="188">
        <f>SUM('ADICIONES  2021'!C98:I98)</f>
        <v>0</v>
      </c>
      <c r="F98" s="41">
        <f t="shared" ref="F98:J98" si="226">+F95*5%</f>
        <v>0</v>
      </c>
      <c r="G98" s="41">
        <f t="shared" si="226"/>
        <v>0</v>
      </c>
      <c r="H98" s="41">
        <f t="shared" si="226"/>
        <v>0</v>
      </c>
      <c r="I98" s="41">
        <f t="shared" si="226"/>
        <v>0</v>
      </c>
      <c r="J98" s="41">
        <f t="shared" si="226"/>
        <v>0</v>
      </c>
      <c r="K98" s="128">
        <f t="shared" si="170"/>
        <v>0</v>
      </c>
      <c r="L98" s="41">
        <f t="shared" ref="L98:Q98" si="227">+L95*5%</f>
        <v>0</v>
      </c>
      <c r="M98" s="41">
        <f t="shared" si="227"/>
        <v>0</v>
      </c>
      <c r="N98" s="41">
        <f t="shared" si="227"/>
        <v>0</v>
      </c>
      <c r="O98" s="41">
        <f t="shared" si="227"/>
        <v>0</v>
      </c>
      <c r="P98" s="41">
        <f t="shared" si="227"/>
        <v>0</v>
      </c>
      <c r="Q98" s="409">
        <f t="shared" si="227"/>
        <v>0</v>
      </c>
      <c r="R98" s="128">
        <f t="shared" si="178"/>
        <v>0</v>
      </c>
      <c r="S98" s="41">
        <f t="shared" ref="S98:Z98" si="228">+S95*5%</f>
        <v>0</v>
      </c>
      <c r="T98" s="41">
        <f t="shared" si="228"/>
        <v>0</v>
      </c>
      <c r="U98" s="41">
        <f t="shared" si="228"/>
        <v>0</v>
      </c>
      <c r="V98" s="41">
        <f t="shared" si="228"/>
        <v>0</v>
      </c>
      <c r="W98" s="41">
        <f t="shared" si="228"/>
        <v>0</v>
      </c>
      <c r="X98" s="41">
        <f t="shared" si="228"/>
        <v>0</v>
      </c>
      <c r="Y98" s="41">
        <f t="shared" si="228"/>
        <v>0</v>
      </c>
      <c r="Z98" s="41">
        <f t="shared" si="228"/>
        <v>0</v>
      </c>
      <c r="AA98" s="128">
        <f t="shared" si="194"/>
        <v>0</v>
      </c>
      <c r="AB98" s="128">
        <f t="shared" si="180"/>
        <v>0</v>
      </c>
      <c r="AC98" s="175">
        <v>0</v>
      </c>
    </row>
    <row r="99" spans="1:29" ht="28.5" x14ac:dyDescent="0.2">
      <c r="B99" s="76" t="s">
        <v>483</v>
      </c>
      <c r="C99" s="154" t="s">
        <v>159</v>
      </c>
      <c r="D99" s="330">
        <f>+D95*9.4905%</f>
        <v>0</v>
      </c>
      <c r="E99" s="188">
        <f>SUM('ADICIONES  2021'!C99:I99)</f>
        <v>0</v>
      </c>
      <c r="F99" s="41">
        <f t="shared" ref="F99:J99" si="229">+F95*9.4905%</f>
        <v>0</v>
      </c>
      <c r="G99" s="41">
        <f t="shared" si="229"/>
        <v>0</v>
      </c>
      <c r="H99" s="41">
        <f t="shared" si="229"/>
        <v>0</v>
      </c>
      <c r="I99" s="41">
        <f t="shared" si="229"/>
        <v>0</v>
      </c>
      <c r="J99" s="41">
        <f t="shared" si="229"/>
        <v>0</v>
      </c>
      <c r="K99" s="128">
        <f t="shared" si="170"/>
        <v>0</v>
      </c>
      <c r="L99" s="41">
        <f t="shared" ref="L99:Q99" si="230">+L95*9.4905%</f>
        <v>0</v>
      </c>
      <c r="M99" s="41">
        <f t="shared" si="230"/>
        <v>0</v>
      </c>
      <c r="N99" s="41">
        <f t="shared" si="230"/>
        <v>0</v>
      </c>
      <c r="O99" s="41">
        <f t="shared" si="230"/>
        <v>0</v>
      </c>
      <c r="P99" s="41">
        <f t="shared" si="230"/>
        <v>0</v>
      </c>
      <c r="Q99" s="409">
        <f t="shared" si="230"/>
        <v>0</v>
      </c>
      <c r="R99" s="128">
        <f t="shared" si="178"/>
        <v>0</v>
      </c>
      <c r="S99" s="41">
        <f t="shared" ref="S99:Z99" si="231">+S95*9.4905%</f>
        <v>0</v>
      </c>
      <c r="T99" s="41">
        <f t="shared" si="231"/>
        <v>0</v>
      </c>
      <c r="U99" s="41">
        <f t="shared" si="231"/>
        <v>0</v>
      </c>
      <c r="V99" s="41">
        <f t="shared" si="231"/>
        <v>0</v>
      </c>
      <c r="W99" s="41">
        <f t="shared" si="231"/>
        <v>0</v>
      </c>
      <c r="X99" s="41">
        <f t="shared" si="231"/>
        <v>0</v>
      </c>
      <c r="Y99" s="41">
        <f t="shared" si="231"/>
        <v>0</v>
      </c>
      <c r="Z99" s="41">
        <f t="shared" si="231"/>
        <v>0</v>
      </c>
      <c r="AA99" s="128">
        <f t="shared" si="194"/>
        <v>0</v>
      </c>
      <c r="AB99" s="128">
        <f t="shared" si="180"/>
        <v>0</v>
      </c>
      <c r="AC99" s="175">
        <v>0</v>
      </c>
    </row>
    <row r="100" spans="1:29" ht="28.5" x14ac:dyDescent="0.2">
      <c r="B100" s="76" t="s">
        <v>484</v>
      </c>
      <c r="C100" s="77" t="s">
        <v>160</v>
      </c>
      <c r="D100" s="330">
        <f>+D95*1.70829%</f>
        <v>0</v>
      </c>
      <c r="E100" s="188">
        <f>SUM('ADICIONES  2021'!C100:I100)</f>
        <v>0</v>
      </c>
      <c r="F100" s="41">
        <f t="shared" ref="F100:J100" si="232">+F95*1.70829%</f>
        <v>0</v>
      </c>
      <c r="G100" s="41">
        <f t="shared" si="232"/>
        <v>0</v>
      </c>
      <c r="H100" s="41">
        <f t="shared" si="232"/>
        <v>0</v>
      </c>
      <c r="I100" s="41">
        <f t="shared" si="232"/>
        <v>0</v>
      </c>
      <c r="J100" s="41">
        <f t="shared" si="232"/>
        <v>0</v>
      </c>
      <c r="K100" s="128">
        <f t="shared" si="170"/>
        <v>0</v>
      </c>
      <c r="L100" s="41">
        <f t="shared" ref="L100:Q100" si="233">+L95*1.70829%</f>
        <v>0</v>
      </c>
      <c r="M100" s="41">
        <f t="shared" si="233"/>
        <v>0</v>
      </c>
      <c r="N100" s="41">
        <f t="shared" si="233"/>
        <v>0</v>
      </c>
      <c r="O100" s="41">
        <f t="shared" si="233"/>
        <v>0</v>
      </c>
      <c r="P100" s="41">
        <f t="shared" si="233"/>
        <v>0</v>
      </c>
      <c r="Q100" s="409">
        <f t="shared" si="233"/>
        <v>0</v>
      </c>
      <c r="R100" s="128">
        <f t="shared" si="178"/>
        <v>0</v>
      </c>
      <c r="S100" s="41">
        <f t="shared" ref="S100:Z100" si="234">+S95*1.70829%</f>
        <v>0</v>
      </c>
      <c r="T100" s="41">
        <f t="shared" si="234"/>
        <v>0</v>
      </c>
      <c r="U100" s="41">
        <f t="shared" si="234"/>
        <v>0</v>
      </c>
      <c r="V100" s="41">
        <f t="shared" si="234"/>
        <v>0</v>
      </c>
      <c r="W100" s="41">
        <f t="shared" si="234"/>
        <v>0</v>
      </c>
      <c r="X100" s="41">
        <f t="shared" si="234"/>
        <v>0</v>
      </c>
      <c r="Y100" s="41">
        <f t="shared" si="234"/>
        <v>0</v>
      </c>
      <c r="Z100" s="41">
        <f t="shared" si="234"/>
        <v>0</v>
      </c>
      <c r="AA100" s="128">
        <f t="shared" si="194"/>
        <v>0</v>
      </c>
      <c r="AB100" s="128">
        <f t="shared" si="180"/>
        <v>0</v>
      </c>
      <c r="AC100" s="175">
        <v>0</v>
      </c>
    </row>
    <row r="101" spans="1:29" ht="42.75" x14ac:dyDescent="0.2">
      <c r="B101" s="76" t="s">
        <v>485</v>
      </c>
      <c r="C101" s="77" t="s">
        <v>161</v>
      </c>
      <c r="D101" s="330">
        <f>+D95*0.8370621%</f>
        <v>0</v>
      </c>
      <c r="E101" s="188">
        <f>SUM('ADICIONES  2021'!C101:I101)</f>
        <v>0</v>
      </c>
      <c r="F101" s="41">
        <f t="shared" ref="F101:J101" si="235">+F95*0.8370621%</f>
        <v>0</v>
      </c>
      <c r="G101" s="41">
        <f t="shared" si="235"/>
        <v>0</v>
      </c>
      <c r="H101" s="41">
        <f t="shared" si="235"/>
        <v>0</v>
      </c>
      <c r="I101" s="41">
        <f t="shared" si="235"/>
        <v>0</v>
      </c>
      <c r="J101" s="41">
        <f t="shared" si="235"/>
        <v>0</v>
      </c>
      <c r="K101" s="128">
        <f t="shared" si="170"/>
        <v>0</v>
      </c>
      <c r="L101" s="41">
        <f t="shared" ref="L101:Q101" si="236">+L95*0.8370621%</f>
        <v>0</v>
      </c>
      <c r="M101" s="41">
        <f t="shared" si="236"/>
        <v>0</v>
      </c>
      <c r="N101" s="41">
        <f t="shared" si="236"/>
        <v>0</v>
      </c>
      <c r="O101" s="41">
        <f t="shared" si="236"/>
        <v>0</v>
      </c>
      <c r="P101" s="41">
        <f t="shared" si="236"/>
        <v>0</v>
      </c>
      <c r="Q101" s="409">
        <f t="shared" si="236"/>
        <v>0</v>
      </c>
      <c r="R101" s="128">
        <f t="shared" si="178"/>
        <v>0</v>
      </c>
      <c r="S101" s="41">
        <f t="shared" ref="S101:Z101" si="237">+S95*0.8370621%</f>
        <v>0</v>
      </c>
      <c r="T101" s="41">
        <f t="shared" si="237"/>
        <v>0</v>
      </c>
      <c r="U101" s="41">
        <f t="shared" si="237"/>
        <v>0</v>
      </c>
      <c r="V101" s="41">
        <f t="shared" si="237"/>
        <v>0</v>
      </c>
      <c r="W101" s="41">
        <f t="shared" si="237"/>
        <v>0</v>
      </c>
      <c r="X101" s="41">
        <f t="shared" si="237"/>
        <v>0</v>
      </c>
      <c r="Y101" s="41">
        <f t="shared" si="237"/>
        <v>0</v>
      </c>
      <c r="Z101" s="41">
        <f t="shared" si="237"/>
        <v>0</v>
      </c>
      <c r="AA101" s="128">
        <f t="shared" si="194"/>
        <v>0</v>
      </c>
      <c r="AB101" s="128">
        <f t="shared" si="180"/>
        <v>0</v>
      </c>
      <c r="AC101" s="175">
        <v>0</v>
      </c>
    </row>
    <row r="102" spans="1:29" s="63" customFormat="1" ht="47.25" x14ac:dyDescent="0.2">
      <c r="A102" s="397">
        <v>1</v>
      </c>
      <c r="B102" s="81" t="s">
        <v>486</v>
      </c>
      <c r="C102" s="79" t="s">
        <v>487</v>
      </c>
      <c r="D102" s="333">
        <v>16000000000</v>
      </c>
      <c r="E102" s="187">
        <f>SUM('ADICIONES  2021'!C102:I102)</f>
        <v>0</v>
      </c>
      <c r="F102" s="78"/>
      <c r="G102" s="78"/>
      <c r="H102" s="78"/>
      <c r="I102" s="78"/>
      <c r="J102" s="78"/>
      <c r="K102" s="78">
        <f t="shared" si="170"/>
        <v>16000000000</v>
      </c>
      <c r="L102" s="78">
        <v>2256310592</v>
      </c>
      <c r="M102" s="78">
        <v>501577217</v>
      </c>
      <c r="N102" s="78">
        <v>1172862674</v>
      </c>
      <c r="O102" s="78">
        <v>1313844793</v>
      </c>
      <c r="P102" s="78">
        <v>1447433120</v>
      </c>
      <c r="Q102" s="408">
        <v>1215837824</v>
      </c>
      <c r="R102" s="78">
        <f t="shared" si="178"/>
        <v>7907866220</v>
      </c>
      <c r="S102" s="78">
        <v>1045183945</v>
      </c>
      <c r="T102" s="78"/>
      <c r="U102" s="78"/>
      <c r="V102" s="78"/>
      <c r="W102" s="78"/>
      <c r="X102" s="78"/>
      <c r="Y102" s="78"/>
      <c r="Z102" s="78"/>
      <c r="AA102" s="78">
        <f t="shared" si="194"/>
        <v>1045183945</v>
      </c>
      <c r="AB102" s="78">
        <f t="shared" si="180"/>
        <v>8953050165</v>
      </c>
      <c r="AC102" s="174">
        <f t="shared" si="181"/>
        <v>0.55956563531250003</v>
      </c>
    </row>
    <row r="103" spans="1:29" ht="42.75" x14ac:dyDescent="0.2">
      <c r="B103" s="76" t="s">
        <v>488</v>
      </c>
      <c r="C103" s="77" t="s">
        <v>162</v>
      </c>
      <c r="D103" s="330">
        <f>+D102*82.8691479%</f>
        <v>13259063664.000002</v>
      </c>
      <c r="E103" s="188">
        <f>SUM('ADICIONES  2021'!C103:I103)</f>
        <v>0</v>
      </c>
      <c r="F103" s="41">
        <f t="shared" ref="F103:J103" si="238">+F102*82.8691479%</f>
        <v>0</v>
      </c>
      <c r="G103" s="41">
        <f t="shared" si="238"/>
        <v>0</v>
      </c>
      <c r="H103" s="41">
        <f t="shared" si="238"/>
        <v>0</v>
      </c>
      <c r="I103" s="41">
        <f t="shared" si="238"/>
        <v>0</v>
      </c>
      <c r="J103" s="41">
        <f t="shared" si="238"/>
        <v>0</v>
      </c>
      <c r="K103" s="128">
        <f t="shared" si="170"/>
        <v>13259063664.000002</v>
      </c>
      <c r="L103" s="41">
        <f t="shared" ref="L103:Q103" si="239">+L102*82.8691479%</f>
        <v>1869785361.5678458</v>
      </c>
      <c r="M103" s="41">
        <f t="shared" si="239"/>
        <v>415652765.78843397</v>
      </c>
      <c r="N103" s="41">
        <f t="shared" si="239"/>
        <v>971941303.98095489</v>
      </c>
      <c r="O103" s="41">
        <f t="shared" si="239"/>
        <v>1088771984.687619</v>
      </c>
      <c r="P103" s="41">
        <f t="shared" si="239"/>
        <v>1199475492.9663846</v>
      </c>
      <c r="Q103" s="409">
        <f t="shared" si="239"/>
        <v>1007554444.5947018</v>
      </c>
      <c r="R103" s="128">
        <f t="shared" si="178"/>
        <v>6553181353.5859404</v>
      </c>
      <c r="S103" s="41">
        <f t="shared" ref="S103:Z103" si="240">+S102*82.8691479%</f>
        <v>866135029.20910478</v>
      </c>
      <c r="T103" s="41">
        <f t="shared" si="240"/>
        <v>0</v>
      </c>
      <c r="U103" s="41">
        <f t="shared" si="240"/>
        <v>0</v>
      </c>
      <c r="V103" s="41">
        <f t="shared" si="240"/>
        <v>0</v>
      </c>
      <c r="W103" s="41">
        <f t="shared" si="240"/>
        <v>0</v>
      </c>
      <c r="X103" s="41">
        <f t="shared" si="240"/>
        <v>0</v>
      </c>
      <c r="Y103" s="41">
        <f t="shared" si="240"/>
        <v>0</v>
      </c>
      <c r="Z103" s="41">
        <f t="shared" si="240"/>
        <v>0</v>
      </c>
      <c r="AA103" s="128">
        <f t="shared" si="194"/>
        <v>866135029.20910478</v>
      </c>
      <c r="AB103" s="128">
        <f t="shared" si="180"/>
        <v>7419316382.7950449</v>
      </c>
      <c r="AC103" s="175">
        <f t="shared" si="181"/>
        <v>0.55956563531250003</v>
      </c>
    </row>
    <row r="104" spans="1:29" ht="28.5" x14ac:dyDescent="0.2">
      <c r="B104" s="76" t="s">
        <v>489</v>
      </c>
      <c r="C104" s="77" t="s">
        <v>163</v>
      </c>
      <c r="D104" s="330">
        <f>+D102*0.095%</f>
        <v>15200000</v>
      </c>
      <c r="E104" s="188">
        <f>SUM('ADICIONES  2021'!C104:I104)</f>
        <v>0</v>
      </c>
      <c r="F104" s="41">
        <f t="shared" ref="F104:J104" si="241">+F102*0.095%</f>
        <v>0</v>
      </c>
      <c r="G104" s="41">
        <f t="shared" si="241"/>
        <v>0</v>
      </c>
      <c r="H104" s="41">
        <f t="shared" si="241"/>
        <v>0</v>
      </c>
      <c r="I104" s="41">
        <f t="shared" si="241"/>
        <v>0</v>
      </c>
      <c r="J104" s="41">
        <f t="shared" si="241"/>
        <v>0</v>
      </c>
      <c r="K104" s="128">
        <f t="shared" si="170"/>
        <v>15200000</v>
      </c>
      <c r="L104" s="41">
        <f t="shared" ref="L104:Q104" si="242">+L102*0.095%</f>
        <v>2143495.0624000002</v>
      </c>
      <c r="M104" s="41">
        <f t="shared" si="242"/>
        <v>476498.35615000001</v>
      </c>
      <c r="N104" s="41">
        <f t="shared" si="242"/>
        <v>1114219.5403</v>
      </c>
      <c r="O104" s="41">
        <f t="shared" si="242"/>
        <v>1248152.5533499999</v>
      </c>
      <c r="P104" s="41">
        <f t="shared" si="242"/>
        <v>1375061.4639999999</v>
      </c>
      <c r="Q104" s="409">
        <f t="shared" si="242"/>
        <v>1155045.9328000001</v>
      </c>
      <c r="R104" s="128">
        <f t="shared" si="178"/>
        <v>7512472.909</v>
      </c>
      <c r="S104" s="41">
        <f t="shared" ref="S104:Z104" si="243">+S102*0.095%</f>
        <v>992924.74774999998</v>
      </c>
      <c r="T104" s="41">
        <f t="shared" si="243"/>
        <v>0</v>
      </c>
      <c r="U104" s="41">
        <f t="shared" si="243"/>
        <v>0</v>
      </c>
      <c r="V104" s="41">
        <f t="shared" si="243"/>
        <v>0</v>
      </c>
      <c r="W104" s="41">
        <f t="shared" si="243"/>
        <v>0</v>
      </c>
      <c r="X104" s="41">
        <f t="shared" si="243"/>
        <v>0</v>
      </c>
      <c r="Y104" s="41">
        <f t="shared" si="243"/>
        <v>0</v>
      </c>
      <c r="Z104" s="41">
        <f t="shared" si="243"/>
        <v>0</v>
      </c>
      <c r="AA104" s="128">
        <f t="shared" si="194"/>
        <v>992924.74774999998</v>
      </c>
      <c r="AB104" s="128">
        <f t="shared" si="180"/>
        <v>8505397.6567499992</v>
      </c>
      <c r="AC104" s="175">
        <f t="shared" si="181"/>
        <v>0.55956563531249992</v>
      </c>
    </row>
    <row r="105" spans="1:29" ht="28.5" x14ac:dyDescent="0.2">
      <c r="B105" s="76" t="s">
        <v>490</v>
      </c>
      <c r="C105" s="77" t="s">
        <v>164</v>
      </c>
      <c r="D105" s="330">
        <f>+D102*5%</f>
        <v>800000000</v>
      </c>
      <c r="E105" s="188">
        <f>SUM('ADICIONES  2021'!C105:I105)</f>
        <v>0</v>
      </c>
      <c r="F105" s="41">
        <f t="shared" ref="F105:J105" si="244">+F102*5%</f>
        <v>0</v>
      </c>
      <c r="G105" s="41">
        <f t="shared" si="244"/>
        <v>0</v>
      </c>
      <c r="H105" s="41">
        <f t="shared" si="244"/>
        <v>0</v>
      </c>
      <c r="I105" s="41">
        <f t="shared" si="244"/>
        <v>0</v>
      </c>
      <c r="J105" s="41">
        <f t="shared" si="244"/>
        <v>0</v>
      </c>
      <c r="K105" s="128">
        <f t="shared" si="170"/>
        <v>800000000</v>
      </c>
      <c r="L105" s="41">
        <f t="shared" ref="L105:Q105" si="245">+L102*5%</f>
        <v>112815529.60000001</v>
      </c>
      <c r="M105" s="41">
        <f t="shared" si="245"/>
        <v>25078860.850000001</v>
      </c>
      <c r="N105" s="41">
        <f t="shared" si="245"/>
        <v>58643133.700000003</v>
      </c>
      <c r="O105" s="41">
        <f t="shared" si="245"/>
        <v>65692239.650000006</v>
      </c>
      <c r="P105" s="41">
        <f t="shared" si="245"/>
        <v>72371656</v>
      </c>
      <c r="Q105" s="409">
        <f t="shared" si="245"/>
        <v>60791891.200000003</v>
      </c>
      <c r="R105" s="128">
        <f t="shared" si="178"/>
        <v>395393311.00000006</v>
      </c>
      <c r="S105" s="41">
        <f t="shared" ref="S105:Z105" si="246">+S102*5%</f>
        <v>52259197.25</v>
      </c>
      <c r="T105" s="41">
        <f t="shared" si="246"/>
        <v>0</v>
      </c>
      <c r="U105" s="41">
        <f t="shared" si="246"/>
        <v>0</v>
      </c>
      <c r="V105" s="41">
        <f t="shared" si="246"/>
        <v>0</v>
      </c>
      <c r="W105" s="41">
        <f t="shared" si="246"/>
        <v>0</v>
      </c>
      <c r="X105" s="41">
        <f t="shared" si="246"/>
        <v>0</v>
      </c>
      <c r="Y105" s="41">
        <f t="shared" si="246"/>
        <v>0</v>
      </c>
      <c r="Z105" s="41">
        <f t="shared" si="246"/>
        <v>0</v>
      </c>
      <c r="AA105" s="128">
        <f t="shared" si="194"/>
        <v>52259197.25</v>
      </c>
      <c r="AB105" s="128">
        <f t="shared" si="180"/>
        <v>447652508.25000006</v>
      </c>
      <c r="AC105" s="175">
        <f t="shared" si="181"/>
        <v>0.55956563531250003</v>
      </c>
    </row>
    <row r="106" spans="1:29" ht="28.5" x14ac:dyDescent="0.2">
      <c r="B106" s="76" t="s">
        <v>491</v>
      </c>
      <c r="C106" s="154" t="s">
        <v>165</v>
      </c>
      <c r="D106" s="330">
        <f>+D102*9.4905%</f>
        <v>1518480000</v>
      </c>
      <c r="E106" s="188">
        <f>SUM('ADICIONES  2021'!C106:I106)</f>
        <v>0</v>
      </c>
      <c r="F106" s="41">
        <f t="shared" ref="F106:J106" si="247">+F102*9.4905%</f>
        <v>0</v>
      </c>
      <c r="G106" s="41">
        <f t="shared" si="247"/>
        <v>0</v>
      </c>
      <c r="H106" s="41">
        <f t="shared" si="247"/>
        <v>0</v>
      </c>
      <c r="I106" s="41">
        <f t="shared" si="247"/>
        <v>0</v>
      </c>
      <c r="J106" s="41">
        <f t="shared" si="247"/>
        <v>0</v>
      </c>
      <c r="K106" s="128">
        <f t="shared" si="170"/>
        <v>1518480000</v>
      </c>
      <c r="L106" s="41">
        <f t="shared" ref="L106:Q106" si="248">+L102*9.4905%</f>
        <v>214135156.73376</v>
      </c>
      <c r="M106" s="41">
        <f t="shared" si="248"/>
        <v>47602185.779385</v>
      </c>
      <c r="N106" s="41">
        <f t="shared" si="248"/>
        <v>111310532.07597001</v>
      </c>
      <c r="O106" s="41">
        <f t="shared" si="248"/>
        <v>124690440.07966501</v>
      </c>
      <c r="P106" s="41">
        <f t="shared" si="248"/>
        <v>137368640.2536</v>
      </c>
      <c r="Q106" s="409">
        <f t="shared" si="248"/>
        <v>115389088.68672</v>
      </c>
      <c r="R106" s="128">
        <f t="shared" si="178"/>
        <v>750496043.60909998</v>
      </c>
      <c r="S106" s="41">
        <f t="shared" ref="S106:Z106" si="249">+S102*9.4905%</f>
        <v>99193182.300225005</v>
      </c>
      <c r="T106" s="41">
        <f t="shared" si="249"/>
        <v>0</v>
      </c>
      <c r="U106" s="41">
        <f t="shared" si="249"/>
        <v>0</v>
      </c>
      <c r="V106" s="41">
        <f t="shared" si="249"/>
        <v>0</v>
      </c>
      <c r="W106" s="41">
        <f t="shared" si="249"/>
        <v>0</v>
      </c>
      <c r="X106" s="41">
        <f t="shared" si="249"/>
        <v>0</v>
      </c>
      <c r="Y106" s="41">
        <f t="shared" si="249"/>
        <v>0</v>
      </c>
      <c r="Z106" s="41">
        <f t="shared" si="249"/>
        <v>0</v>
      </c>
      <c r="AA106" s="128">
        <f t="shared" si="194"/>
        <v>99193182.300225005</v>
      </c>
      <c r="AB106" s="128">
        <f t="shared" si="180"/>
        <v>849689225.909325</v>
      </c>
      <c r="AC106" s="175">
        <f t="shared" si="181"/>
        <v>0.55956563531250003</v>
      </c>
    </row>
    <row r="107" spans="1:29" ht="28.5" x14ac:dyDescent="0.2">
      <c r="B107" s="76" t="s">
        <v>492</v>
      </c>
      <c r="C107" s="77" t="s">
        <v>166</v>
      </c>
      <c r="D107" s="330">
        <f>+D102*1.70829%</f>
        <v>273326400</v>
      </c>
      <c r="E107" s="188">
        <f>SUM('ADICIONES  2021'!C107:I107)</f>
        <v>0</v>
      </c>
      <c r="F107" s="41">
        <f t="shared" ref="F107:J107" si="250">+F102*1.70829%</f>
        <v>0</v>
      </c>
      <c r="G107" s="41">
        <f t="shared" si="250"/>
        <v>0</v>
      </c>
      <c r="H107" s="41">
        <f t="shared" si="250"/>
        <v>0</v>
      </c>
      <c r="I107" s="41">
        <f t="shared" si="250"/>
        <v>0</v>
      </c>
      <c r="J107" s="41">
        <f t="shared" si="250"/>
        <v>0</v>
      </c>
      <c r="K107" s="128">
        <f t="shared" si="170"/>
        <v>273326400</v>
      </c>
      <c r="L107" s="41">
        <f t="shared" ref="L107:Q107" si="251">+L102*1.70829%</f>
        <v>38544328.212076806</v>
      </c>
      <c r="M107" s="41">
        <f t="shared" si="251"/>
        <v>8568393.4402892999</v>
      </c>
      <c r="N107" s="41">
        <f t="shared" si="251"/>
        <v>20035895.773674604</v>
      </c>
      <c r="O107" s="41">
        <f t="shared" si="251"/>
        <v>22444279.214339703</v>
      </c>
      <c r="P107" s="41">
        <f t="shared" si="251"/>
        <v>24726355.245648004</v>
      </c>
      <c r="Q107" s="409">
        <f t="shared" si="251"/>
        <v>20770035.963609602</v>
      </c>
      <c r="R107" s="128">
        <f t="shared" si="178"/>
        <v>135089287.84963802</v>
      </c>
      <c r="S107" s="41">
        <f t="shared" ref="S107:Z107" si="252">+S102*1.70829%</f>
        <v>17854772.814040501</v>
      </c>
      <c r="T107" s="41">
        <f t="shared" si="252"/>
        <v>0</v>
      </c>
      <c r="U107" s="41">
        <f t="shared" si="252"/>
        <v>0</v>
      </c>
      <c r="V107" s="41">
        <f t="shared" si="252"/>
        <v>0</v>
      </c>
      <c r="W107" s="41">
        <f t="shared" si="252"/>
        <v>0</v>
      </c>
      <c r="X107" s="41">
        <f t="shared" si="252"/>
        <v>0</v>
      </c>
      <c r="Y107" s="41">
        <f t="shared" si="252"/>
        <v>0</v>
      </c>
      <c r="Z107" s="41">
        <f t="shared" si="252"/>
        <v>0</v>
      </c>
      <c r="AA107" s="128">
        <f t="shared" si="194"/>
        <v>17854772.814040501</v>
      </c>
      <c r="AB107" s="128">
        <f t="shared" si="180"/>
        <v>152944060.66367853</v>
      </c>
      <c r="AC107" s="175">
        <f t="shared" si="181"/>
        <v>0.55956563531250014</v>
      </c>
    </row>
    <row r="108" spans="1:29" ht="42.75" x14ac:dyDescent="0.2">
      <c r="B108" s="76" t="s">
        <v>493</v>
      </c>
      <c r="C108" s="77" t="s">
        <v>167</v>
      </c>
      <c r="D108" s="330">
        <f>+D102*0.8370621%</f>
        <v>133929936</v>
      </c>
      <c r="E108" s="188">
        <f>SUM('ADICIONES  2021'!C108:I108)</f>
        <v>0</v>
      </c>
      <c r="F108" s="41">
        <f t="shared" ref="F108:J108" si="253">+F102*0.8370621%</f>
        <v>0</v>
      </c>
      <c r="G108" s="41">
        <f t="shared" si="253"/>
        <v>0</v>
      </c>
      <c r="H108" s="41">
        <f t="shared" si="253"/>
        <v>0</v>
      </c>
      <c r="I108" s="41">
        <f t="shared" si="253"/>
        <v>0</v>
      </c>
      <c r="J108" s="41">
        <f t="shared" si="253"/>
        <v>0</v>
      </c>
      <c r="K108" s="128">
        <f t="shared" si="170"/>
        <v>133929936</v>
      </c>
      <c r="L108" s="41">
        <f t="shared" ref="L108:Q108" si="254">+L102*0.8370621%</f>
        <v>18886720.823917631</v>
      </c>
      <c r="M108" s="41">
        <f t="shared" si="254"/>
        <v>4198512.7857417567</v>
      </c>
      <c r="N108" s="41">
        <f t="shared" si="254"/>
        <v>9817588.9291005544</v>
      </c>
      <c r="O108" s="41">
        <f t="shared" si="254"/>
        <v>10997696.815026453</v>
      </c>
      <c r="P108" s="41">
        <f t="shared" si="254"/>
        <v>12115914.070367521</v>
      </c>
      <c r="Q108" s="409">
        <f t="shared" si="254"/>
        <v>10177317.622168705</v>
      </c>
      <c r="R108" s="128">
        <f t="shared" si="178"/>
        <v>66193751.046322621</v>
      </c>
      <c r="S108" s="41">
        <f t="shared" ref="S108:Z108" si="255">+S102*0.8370621%</f>
        <v>8748838.6788798459</v>
      </c>
      <c r="T108" s="41">
        <f t="shared" si="255"/>
        <v>0</v>
      </c>
      <c r="U108" s="41">
        <f t="shared" si="255"/>
        <v>0</v>
      </c>
      <c r="V108" s="41">
        <f t="shared" si="255"/>
        <v>0</v>
      </c>
      <c r="W108" s="41">
        <f t="shared" si="255"/>
        <v>0</v>
      </c>
      <c r="X108" s="41">
        <f t="shared" si="255"/>
        <v>0</v>
      </c>
      <c r="Y108" s="41">
        <f t="shared" si="255"/>
        <v>0</v>
      </c>
      <c r="Z108" s="41">
        <f t="shared" si="255"/>
        <v>0</v>
      </c>
      <c r="AA108" s="128">
        <f t="shared" si="194"/>
        <v>8748838.6788798459</v>
      </c>
      <c r="AB108" s="128">
        <f t="shared" si="180"/>
        <v>74942589.725202471</v>
      </c>
      <c r="AC108" s="175">
        <f t="shared" si="181"/>
        <v>0.55956563531250003</v>
      </c>
    </row>
    <row r="109" spans="1:29" s="63" customFormat="1" ht="15.75" x14ac:dyDescent="0.2">
      <c r="A109" s="397">
        <v>1</v>
      </c>
      <c r="B109" s="81" t="s">
        <v>494</v>
      </c>
      <c r="C109" s="79" t="s">
        <v>186</v>
      </c>
      <c r="D109" s="333">
        <v>28000000000</v>
      </c>
      <c r="E109" s="187">
        <f>SUM('ADICIONES  2021'!C109:I109)</f>
        <v>0</v>
      </c>
      <c r="F109" s="78"/>
      <c r="G109" s="78"/>
      <c r="H109" s="78"/>
      <c r="I109" s="78"/>
      <c r="J109" s="78"/>
      <c r="K109" s="78">
        <f t="shared" si="170"/>
        <v>28000000000</v>
      </c>
      <c r="L109" s="78">
        <v>2638160450</v>
      </c>
      <c r="M109" s="78">
        <v>2121495350</v>
      </c>
      <c r="N109" s="78">
        <v>2097425200</v>
      </c>
      <c r="O109" s="78">
        <v>2579490350</v>
      </c>
      <c r="P109" s="78">
        <v>2391493900</v>
      </c>
      <c r="Q109" s="408">
        <v>2246947600</v>
      </c>
      <c r="R109" s="78">
        <f t="shared" si="178"/>
        <v>14075012850</v>
      </c>
      <c r="S109" s="78">
        <v>1831519250</v>
      </c>
      <c r="T109" s="78"/>
      <c r="U109" s="78"/>
      <c r="V109" s="78"/>
      <c r="W109" s="78"/>
      <c r="X109" s="78"/>
      <c r="Y109" s="78"/>
      <c r="Z109" s="78"/>
      <c r="AA109" s="78">
        <f t="shared" si="194"/>
        <v>1831519250</v>
      </c>
      <c r="AB109" s="78">
        <f t="shared" si="180"/>
        <v>15906532100</v>
      </c>
      <c r="AC109" s="174">
        <f t="shared" si="181"/>
        <v>0.56809043214285715</v>
      </c>
    </row>
    <row r="110" spans="1:29" ht="28.5" x14ac:dyDescent="0.2">
      <c r="B110" s="76" t="s">
        <v>495</v>
      </c>
      <c r="C110" s="77" t="s">
        <v>187</v>
      </c>
      <c r="D110" s="330">
        <f>+D109*87.230682%</f>
        <v>24424590960</v>
      </c>
      <c r="E110" s="188">
        <f>SUM('ADICIONES  2021'!C110:I110)</f>
        <v>0</v>
      </c>
      <c r="F110" s="41">
        <f t="shared" ref="F110:J110" si="256">+F109*87.230682%</f>
        <v>0</v>
      </c>
      <c r="G110" s="41">
        <f t="shared" si="256"/>
        <v>0</v>
      </c>
      <c r="H110" s="41">
        <f t="shared" si="256"/>
        <v>0</v>
      </c>
      <c r="I110" s="41">
        <f t="shared" si="256"/>
        <v>0</v>
      </c>
      <c r="J110" s="41">
        <f t="shared" si="256"/>
        <v>0</v>
      </c>
      <c r="K110" s="128">
        <f t="shared" si="170"/>
        <v>24424590960</v>
      </c>
      <c r="L110" s="41">
        <f t="shared" ref="L110:Q110" si="257">+L109*87.230682%</f>
        <v>2301285352.789269</v>
      </c>
      <c r="M110" s="41">
        <f t="shared" si="257"/>
        <v>1850594862.4032872</v>
      </c>
      <c r="N110" s="41">
        <f t="shared" si="257"/>
        <v>1829598306.3998642</v>
      </c>
      <c r="O110" s="41">
        <f t="shared" si="257"/>
        <v>2250107024.4291873</v>
      </c>
      <c r="P110" s="41">
        <f t="shared" si="257"/>
        <v>2086116438.9583981</v>
      </c>
      <c r="Q110" s="409">
        <f t="shared" si="257"/>
        <v>1960027715.662632</v>
      </c>
      <c r="R110" s="128">
        <f t="shared" si="178"/>
        <v>12277729700.642639</v>
      </c>
      <c r="S110" s="41">
        <f t="shared" ref="S110:Z110" si="258">+S109*87.230682%</f>
        <v>1597646732.736285</v>
      </c>
      <c r="T110" s="41">
        <f t="shared" si="258"/>
        <v>0</v>
      </c>
      <c r="U110" s="41">
        <f t="shared" si="258"/>
        <v>0</v>
      </c>
      <c r="V110" s="41">
        <f t="shared" si="258"/>
        <v>0</v>
      </c>
      <c r="W110" s="41">
        <f t="shared" si="258"/>
        <v>0</v>
      </c>
      <c r="X110" s="41">
        <f t="shared" si="258"/>
        <v>0</v>
      </c>
      <c r="Y110" s="41">
        <f t="shared" si="258"/>
        <v>0</v>
      </c>
      <c r="Z110" s="41">
        <f t="shared" si="258"/>
        <v>0</v>
      </c>
      <c r="AA110" s="128">
        <f t="shared" si="194"/>
        <v>1597646732.736285</v>
      </c>
      <c r="AB110" s="128">
        <f t="shared" si="180"/>
        <v>13875376433.378923</v>
      </c>
      <c r="AC110" s="175">
        <f t="shared" si="181"/>
        <v>0.56809043214285715</v>
      </c>
    </row>
    <row r="111" spans="1:29" ht="14.25" x14ac:dyDescent="0.2">
      <c r="B111" s="76" t="s">
        <v>496</v>
      </c>
      <c r="C111" s="77" t="s">
        <v>188</v>
      </c>
      <c r="D111" s="330">
        <f>+D109*0.1%</f>
        <v>28000000</v>
      </c>
      <c r="E111" s="188">
        <f>SUM('ADICIONES  2021'!C111:I111)</f>
        <v>0</v>
      </c>
      <c r="F111" s="41">
        <f t="shared" ref="F111:J111" si="259">+F109*0.1%</f>
        <v>0</v>
      </c>
      <c r="G111" s="41">
        <f t="shared" si="259"/>
        <v>0</v>
      </c>
      <c r="H111" s="41">
        <f t="shared" si="259"/>
        <v>0</v>
      </c>
      <c r="I111" s="41">
        <f t="shared" si="259"/>
        <v>0</v>
      </c>
      <c r="J111" s="41">
        <f t="shared" si="259"/>
        <v>0</v>
      </c>
      <c r="K111" s="128">
        <f t="shared" si="170"/>
        <v>28000000</v>
      </c>
      <c r="L111" s="41">
        <f t="shared" ref="L111:Q111" si="260">+L109*0.1%</f>
        <v>2638160.4500000002</v>
      </c>
      <c r="M111" s="41">
        <f t="shared" si="260"/>
        <v>2121495.35</v>
      </c>
      <c r="N111" s="41">
        <f t="shared" si="260"/>
        <v>2097425.2000000002</v>
      </c>
      <c r="O111" s="41">
        <f t="shared" si="260"/>
        <v>2579490.35</v>
      </c>
      <c r="P111" s="41">
        <f t="shared" si="260"/>
        <v>2391493.9</v>
      </c>
      <c r="Q111" s="409">
        <f t="shared" si="260"/>
        <v>2246947.6</v>
      </c>
      <c r="R111" s="128">
        <f t="shared" si="178"/>
        <v>14075012.850000001</v>
      </c>
      <c r="S111" s="41">
        <f t="shared" ref="S111:Z111" si="261">+S109*0.1%</f>
        <v>1831519.25</v>
      </c>
      <c r="T111" s="41">
        <f t="shared" si="261"/>
        <v>0</v>
      </c>
      <c r="U111" s="41">
        <f t="shared" si="261"/>
        <v>0</v>
      </c>
      <c r="V111" s="41">
        <f t="shared" si="261"/>
        <v>0</v>
      </c>
      <c r="W111" s="41">
        <f t="shared" si="261"/>
        <v>0</v>
      </c>
      <c r="X111" s="41">
        <f t="shared" si="261"/>
        <v>0</v>
      </c>
      <c r="Y111" s="41">
        <f t="shared" si="261"/>
        <v>0</v>
      </c>
      <c r="Z111" s="41">
        <f t="shared" si="261"/>
        <v>0</v>
      </c>
      <c r="AA111" s="128">
        <f t="shared" si="194"/>
        <v>1831519.25</v>
      </c>
      <c r="AB111" s="128">
        <f t="shared" si="180"/>
        <v>15906532.100000001</v>
      </c>
      <c r="AC111" s="175">
        <f t="shared" si="181"/>
        <v>0.56809043214285715</v>
      </c>
    </row>
    <row r="112" spans="1:29" ht="14.25" x14ac:dyDescent="0.2">
      <c r="B112" s="76" t="s">
        <v>497</v>
      </c>
      <c r="C112" s="77" t="s">
        <v>189</v>
      </c>
      <c r="D112" s="330">
        <f>+D109*9.99%</f>
        <v>2797200000</v>
      </c>
      <c r="E112" s="188">
        <f>SUM('ADICIONES  2021'!C112:I112)</f>
        <v>0</v>
      </c>
      <c r="F112" s="41">
        <f t="shared" ref="F112:J112" si="262">+F109*9.99%</f>
        <v>0</v>
      </c>
      <c r="G112" s="41">
        <f t="shared" si="262"/>
        <v>0</v>
      </c>
      <c r="H112" s="41">
        <f t="shared" si="262"/>
        <v>0</v>
      </c>
      <c r="I112" s="41">
        <f t="shared" si="262"/>
        <v>0</v>
      </c>
      <c r="J112" s="41">
        <f t="shared" si="262"/>
        <v>0</v>
      </c>
      <c r="K112" s="128">
        <f t="shared" si="170"/>
        <v>2797200000</v>
      </c>
      <c r="L112" s="41">
        <f t="shared" ref="L112:Q112" si="263">+L109*9.99%</f>
        <v>263552228.95500001</v>
      </c>
      <c r="M112" s="41">
        <f t="shared" si="263"/>
        <v>211937385.465</v>
      </c>
      <c r="N112" s="41">
        <f t="shared" si="263"/>
        <v>209532777.48000002</v>
      </c>
      <c r="O112" s="41">
        <f t="shared" si="263"/>
        <v>257691085.965</v>
      </c>
      <c r="P112" s="41">
        <f t="shared" si="263"/>
        <v>238910240.61000001</v>
      </c>
      <c r="Q112" s="409">
        <f t="shared" si="263"/>
        <v>224470065.24000001</v>
      </c>
      <c r="R112" s="128">
        <f t="shared" si="178"/>
        <v>1406093783.7150002</v>
      </c>
      <c r="S112" s="41">
        <f t="shared" ref="S112:Z112" si="264">+S109*9.99%</f>
        <v>182968773.07500002</v>
      </c>
      <c r="T112" s="41">
        <f t="shared" si="264"/>
        <v>0</v>
      </c>
      <c r="U112" s="41">
        <f t="shared" si="264"/>
        <v>0</v>
      </c>
      <c r="V112" s="41">
        <f t="shared" si="264"/>
        <v>0</v>
      </c>
      <c r="W112" s="41">
        <f t="shared" si="264"/>
        <v>0</v>
      </c>
      <c r="X112" s="41">
        <f t="shared" si="264"/>
        <v>0</v>
      </c>
      <c r="Y112" s="41">
        <f t="shared" si="264"/>
        <v>0</v>
      </c>
      <c r="Z112" s="41">
        <f t="shared" si="264"/>
        <v>0</v>
      </c>
      <c r="AA112" s="128">
        <f t="shared" si="194"/>
        <v>182968773.07500002</v>
      </c>
      <c r="AB112" s="128">
        <f t="shared" si="180"/>
        <v>1589062556.7900002</v>
      </c>
      <c r="AC112" s="175">
        <f t="shared" si="181"/>
        <v>0.56809043214285726</v>
      </c>
    </row>
    <row r="113" spans="1:29" ht="14.25" x14ac:dyDescent="0.2">
      <c r="B113" s="76" t="s">
        <v>498</v>
      </c>
      <c r="C113" s="154" t="s">
        <v>190</v>
      </c>
      <c r="D113" s="330">
        <f>+D109*1.7982%</f>
        <v>503496000.00000006</v>
      </c>
      <c r="E113" s="188">
        <f>SUM('ADICIONES  2021'!C113:I113)</f>
        <v>0</v>
      </c>
      <c r="F113" s="41">
        <f t="shared" ref="F113:J113" si="265">+F109*1.7982%</f>
        <v>0</v>
      </c>
      <c r="G113" s="41">
        <f t="shared" si="265"/>
        <v>0</v>
      </c>
      <c r="H113" s="41">
        <f t="shared" si="265"/>
        <v>0</v>
      </c>
      <c r="I113" s="41">
        <f t="shared" si="265"/>
        <v>0</v>
      </c>
      <c r="J113" s="41">
        <f t="shared" si="265"/>
        <v>0</v>
      </c>
      <c r="K113" s="128">
        <f t="shared" si="170"/>
        <v>503496000.00000006</v>
      </c>
      <c r="L113" s="41">
        <f t="shared" ref="L113:Q113" si="266">+L109*1.7982%</f>
        <v>47439401.211900003</v>
      </c>
      <c r="M113" s="41">
        <f t="shared" si="266"/>
        <v>38148729.383700006</v>
      </c>
      <c r="N113" s="41">
        <f t="shared" si="266"/>
        <v>37715899.946400002</v>
      </c>
      <c r="O113" s="41">
        <f t="shared" si="266"/>
        <v>46384395.473700002</v>
      </c>
      <c r="P113" s="41">
        <f t="shared" si="266"/>
        <v>43003843.309800006</v>
      </c>
      <c r="Q113" s="409">
        <f t="shared" si="266"/>
        <v>40404611.743200004</v>
      </c>
      <c r="R113" s="128">
        <f t="shared" si="178"/>
        <v>253096881.06870002</v>
      </c>
      <c r="S113" s="41">
        <f t="shared" ref="S113:Z113" si="267">+S109*1.7982%</f>
        <v>32934379.153500002</v>
      </c>
      <c r="T113" s="41">
        <f t="shared" si="267"/>
        <v>0</v>
      </c>
      <c r="U113" s="41">
        <f t="shared" si="267"/>
        <v>0</v>
      </c>
      <c r="V113" s="41">
        <f t="shared" si="267"/>
        <v>0</v>
      </c>
      <c r="W113" s="41">
        <f t="shared" si="267"/>
        <v>0</v>
      </c>
      <c r="X113" s="41">
        <f t="shared" si="267"/>
        <v>0</v>
      </c>
      <c r="Y113" s="41">
        <f t="shared" si="267"/>
        <v>0</v>
      </c>
      <c r="Z113" s="41">
        <f t="shared" si="267"/>
        <v>0</v>
      </c>
      <c r="AA113" s="128">
        <f t="shared" si="194"/>
        <v>32934379.153500002</v>
      </c>
      <c r="AB113" s="128">
        <f t="shared" si="180"/>
        <v>286031260.22220004</v>
      </c>
      <c r="AC113" s="175">
        <f t="shared" si="181"/>
        <v>0.56809043214285715</v>
      </c>
    </row>
    <row r="114" spans="1:29" ht="28.5" x14ac:dyDescent="0.2">
      <c r="B114" s="76" t="s">
        <v>499</v>
      </c>
      <c r="C114" s="77" t="s">
        <v>191</v>
      </c>
      <c r="D114" s="330">
        <f>+D109*0.881118%</f>
        <v>246713040</v>
      </c>
      <c r="E114" s="188">
        <f>SUM('ADICIONES  2021'!C114:I114)</f>
        <v>0</v>
      </c>
      <c r="F114" s="41">
        <f t="shared" ref="F114:J114" si="268">+F109*0.881118%</f>
        <v>0</v>
      </c>
      <c r="G114" s="41">
        <f t="shared" si="268"/>
        <v>0</v>
      </c>
      <c r="H114" s="41">
        <f t="shared" si="268"/>
        <v>0</v>
      </c>
      <c r="I114" s="41">
        <f t="shared" si="268"/>
        <v>0</v>
      </c>
      <c r="J114" s="41">
        <f t="shared" si="268"/>
        <v>0</v>
      </c>
      <c r="K114" s="128">
        <f t="shared" si="170"/>
        <v>246713040</v>
      </c>
      <c r="L114" s="41">
        <f t="shared" ref="L114:Q114" si="269">+L109*0.881118%</f>
        <v>23245306.593830999</v>
      </c>
      <c r="M114" s="41">
        <f t="shared" si="269"/>
        <v>18692877.398012999</v>
      </c>
      <c r="N114" s="41">
        <f t="shared" si="269"/>
        <v>18480790.973735999</v>
      </c>
      <c r="O114" s="41">
        <f t="shared" si="269"/>
        <v>22728353.782113001</v>
      </c>
      <c r="P114" s="41">
        <f t="shared" si="269"/>
        <v>21071883.221802</v>
      </c>
      <c r="Q114" s="409">
        <f t="shared" si="269"/>
        <v>19798259.754168</v>
      </c>
      <c r="R114" s="128">
        <f t="shared" si="178"/>
        <v>124017471.723663</v>
      </c>
      <c r="S114" s="41">
        <f t="shared" ref="S114:Z114" si="270">+S109*0.881118%</f>
        <v>16137845.785215</v>
      </c>
      <c r="T114" s="41">
        <f t="shared" si="270"/>
        <v>0</v>
      </c>
      <c r="U114" s="41">
        <f t="shared" si="270"/>
        <v>0</v>
      </c>
      <c r="V114" s="41">
        <f t="shared" si="270"/>
        <v>0</v>
      </c>
      <c r="W114" s="41">
        <f t="shared" si="270"/>
        <v>0</v>
      </c>
      <c r="X114" s="41">
        <f t="shared" si="270"/>
        <v>0</v>
      </c>
      <c r="Y114" s="41">
        <f t="shared" si="270"/>
        <v>0</v>
      </c>
      <c r="Z114" s="41">
        <f t="shared" si="270"/>
        <v>0</v>
      </c>
      <c r="AA114" s="128">
        <f t="shared" si="194"/>
        <v>16137845.785215</v>
      </c>
      <c r="AB114" s="128">
        <f t="shared" si="180"/>
        <v>140155317.50887799</v>
      </c>
      <c r="AC114" s="175">
        <f t="shared" si="181"/>
        <v>0.56809043214285715</v>
      </c>
    </row>
    <row r="115" spans="1:29" s="63" customFormat="1" ht="15.75" x14ac:dyDescent="0.2">
      <c r="A115" s="397">
        <v>1</v>
      </c>
      <c r="B115" s="81" t="s">
        <v>500</v>
      </c>
      <c r="C115" s="79" t="s">
        <v>501</v>
      </c>
      <c r="D115" s="329">
        <f>+D116+D118+D123+D126+D132+D137</f>
        <v>148200000000</v>
      </c>
      <c r="E115" s="187">
        <f>SUM('ADICIONES  2021'!C115:I115)</f>
        <v>0</v>
      </c>
      <c r="F115" s="223">
        <f t="shared" ref="F115:J115" si="271">+F116+F118+F123+F126+F132+F137</f>
        <v>0</v>
      </c>
      <c r="G115" s="223">
        <f t="shared" si="271"/>
        <v>0</v>
      </c>
      <c r="H115" s="223">
        <f t="shared" si="271"/>
        <v>0</v>
      </c>
      <c r="I115" s="223">
        <f t="shared" si="271"/>
        <v>0</v>
      </c>
      <c r="J115" s="223">
        <f t="shared" si="271"/>
        <v>0</v>
      </c>
      <c r="K115" s="78">
        <f t="shared" si="170"/>
        <v>148200000000</v>
      </c>
      <c r="L115" s="223">
        <f t="shared" ref="L115:Q115" si="272">+L116+L118+L123+L126+L132+L137</f>
        <v>17364208165</v>
      </c>
      <c r="M115" s="223">
        <f t="shared" si="272"/>
        <v>14625231701</v>
      </c>
      <c r="N115" s="223">
        <f t="shared" si="272"/>
        <v>6486363083</v>
      </c>
      <c r="O115" s="223">
        <f t="shared" si="272"/>
        <v>10091348384</v>
      </c>
      <c r="P115" s="223">
        <f t="shared" si="272"/>
        <v>9933502915</v>
      </c>
      <c r="Q115" s="407">
        <f t="shared" si="272"/>
        <v>9740342874</v>
      </c>
      <c r="R115" s="78">
        <f t="shared" si="178"/>
        <v>68240997122</v>
      </c>
      <c r="S115" s="223">
        <f t="shared" ref="S115:Z115" si="273">+S116+S118+S123+S126+S132+S137</f>
        <v>10904720407</v>
      </c>
      <c r="T115" s="223">
        <f t="shared" si="273"/>
        <v>0</v>
      </c>
      <c r="U115" s="223">
        <f t="shared" si="273"/>
        <v>0</v>
      </c>
      <c r="V115" s="223">
        <f t="shared" si="273"/>
        <v>0</v>
      </c>
      <c r="W115" s="223">
        <f t="shared" si="273"/>
        <v>0</v>
      </c>
      <c r="X115" s="223">
        <f t="shared" si="273"/>
        <v>0</v>
      </c>
      <c r="Y115" s="223">
        <f t="shared" si="273"/>
        <v>-526413195</v>
      </c>
      <c r="Z115" s="223">
        <f t="shared" si="273"/>
        <v>0</v>
      </c>
      <c r="AA115" s="78">
        <f t="shared" si="194"/>
        <v>10378307212</v>
      </c>
      <c r="AB115" s="78">
        <f t="shared" si="180"/>
        <v>78619304334</v>
      </c>
      <c r="AC115" s="174">
        <f t="shared" si="181"/>
        <v>0.53049463113360329</v>
      </c>
    </row>
    <row r="116" spans="1:29" s="63" customFormat="1" ht="15.75" x14ac:dyDescent="0.2">
      <c r="A116" s="397">
        <v>1</v>
      </c>
      <c r="B116" s="81" t="s">
        <v>502</v>
      </c>
      <c r="C116" s="194" t="s">
        <v>503</v>
      </c>
      <c r="D116" s="333">
        <v>11800000000</v>
      </c>
      <c r="E116" s="187">
        <f>SUM('ADICIONES  2021'!C116:I116)</f>
        <v>0</v>
      </c>
      <c r="F116" s="78"/>
      <c r="G116" s="78"/>
      <c r="H116" s="78"/>
      <c r="I116" s="78"/>
      <c r="J116" s="78"/>
      <c r="K116" s="78">
        <f t="shared" si="170"/>
        <v>11800000000</v>
      </c>
      <c r="L116" s="78">
        <v>1794910914</v>
      </c>
      <c r="M116" s="78">
        <v>1654969384</v>
      </c>
      <c r="N116" s="78"/>
      <c r="O116" s="78">
        <v>864759763</v>
      </c>
      <c r="P116" s="78"/>
      <c r="Q116" s="408">
        <v>568293868</v>
      </c>
      <c r="R116" s="78">
        <f t="shared" si="178"/>
        <v>4882933929</v>
      </c>
      <c r="S116" s="78">
        <v>976747388</v>
      </c>
      <c r="T116" s="78"/>
      <c r="U116" s="78"/>
      <c r="V116" s="78"/>
      <c r="W116" s="78"/>
      <c r="X116" s="78"/>
      <c r="Y116" s="78">
        <f>-364560236-161852959</f>
        <v>-526413195</v>
      </c>
      <c r="Z116" s="78"/>
      <c r="AA116" s="78">
        <f t="shared" si="194"/>
        <v>450334193</v>
      </c>
      <c r="AB116" s="78">
        <f t="shared" si="180"/>
        <v>5333268122</v>
      </c>
      <c r="AC116" s="174">
        <f t="shared" si="181"/>
        <v>0.45197187474576273</v>
      </c>
    </row>
    <row r="117" spans="1:29" ht="14.25" x14ac:dyDescent="0.2">
      <c r="B117" s="76" t="s">
        <v>504</v>
      </c>
      <c r="C117" s="77" t="s">
        <v>192</v>
      </c>
      <c r="D117" s="330">
        <f>+D116</f>
        <v>11800000000</v>
      </c>
      <c r="E117" s="188">
        <f>SUM('ADICIONES  2021'!C117:I117)</f>
        <v>0</v>
      </c>
      <c r="F117" s="41">
        <f t="shared" ref="F117:J117" si="274">+F116</f>
        <v>0</v>
      </c>
      <c r="G117" s="41">
        <f t="shared" si="274"/>
        <v>0</v>
      </c>
      <c r="H117" s="41">
        <f t="shared" si="274"/>
        <v>0</v>
      </c>
      <c r="I117" s="41">
        <f t="shared" si="274"/>
        <v>0</v>
      </c>
      <c r="J117" s="41">
        <f t="shared" si="274"/>
        <v>0</v>
      </c>
      <c r="K117" s="128">
        <f t="shared" si="170"/>
        <v>11800000000</v>
      </c>
      <c r="L117" s="41">
        <f t="shared" ref="L117:Q117" si="275">+L116</f>
        <v>1794910914</v>
      </c>
      <c r="M117" s="41">
        <f t="shared" si="275"/>
        <v>1654969384</v>
      </c>
      <c r="N117" s="41">
        <f t="shared" si="275"/>
        <v>0</v>
      </c>
      <c r="O117" s="41">
        <f t="shared" si="275"/>
        <v>864759763</v>
      </c>
      <c r="P117" s="41">
        <f t="shared" si="275"/>
        <v>0</v>
      </c>
      <c r="Q117" s="409">
        <f t="shared" si="275"/>
        <v>568293868</v>
      </c>
      <c r="R117" s="128">
        <f t="shared" si="178"/>
        <v>4882933929</v>
      </c>
      <c r="S117" s="41">
        <f t="shared" ref="S117:Z117" si="276">+S116</f>
        <v>976747388</v>
      </c>
      <c r="T117" s="41">
        <f t="shared" si="276"/>
        <v>0</v>
      </c>
      <c r="U117" s="41">
        <f t="shared" si="276"/>
        <v>0</v>
      </c>
      <c r="V117" s="41">
        <f t="shared" si="276"/>
        <v>0</v>
      </c>
      <c r="W117" s="41">
        <f t="shared" si="276"/>
        <v>0</v>
      </c>
      <c r="X117" s="41">
        <f t="shared" si="276"/>
        <v>0</v>
      </c>
      <c r="Y117" s="41">
        <f t="shared" si="276"/>
        <v>-526413195</v>
      </c>
      <c r="Z117" s="41">
        <f t="shared" si="276"/>
        <v>0</v>
      </c>
      <c r="AA117" s="128">
        <f t="shared" si="194"/>
        <v>450334193</v>
      </c>
      <c r="AB117" s="128">
        <f t="shared" si="180"/>
        <v>5333268122</v>
      </c>
      <c r="AC117" s="175">
        <f t="shared" si="181"/>
        <v>0.45197187474576273</v>
      </c>
    </row>
    <row r="118" spans="1:29" s="63" customFormat="1" ht="15.75" x14ac:dyDescent="0.2">
      <c r="A118" s="397">
        <v>1</v>
      </c>
      <c r="B118" s="81" t="s">
        <v>505</v>
      </c>
      <c r="C118" s="79" t="s">
        <v>506</v>
      </c>
      <c r="D118" s="332">
        <v>28600000000</v>
      </c>
      <c r="E118" s="187">
        <f>SUM('ADICIONES  2021'!C118:I118)</f>
        <v>0</v>
      </c>
      <c r="F118" s="146"/>
      <c r="G118" s="146"/>
      <c r="H118" s="146"/>
      <c r="I118" s="146"/>
      <c r="J118" s="146"/>
      <c r="K118" s="78">
        <f t="shared" si="170"/>
        <v>28600000000</v>
      </c>
      <c r="L118" s="146">
        <v>2165767411</v>
      </c>
      <c r="M118" s="146">
        <v>3337329687</v>
      </c>
      <c r="N118" s="146">
        <v>1843980124</v>
      </c>
      <c r="O118" s="146">
        <v>2180201617</v>
      </c>
      <c r="P118" s="146">
        <v>2017134704</v>
      </c>
      <c r="Q118" s="411">
        <v>2059008676</v>
      </c>
      <c r="R118" s="78">
        <f t="shared" si="178"/>
        <v>13603422219</v>
      </c>
      <c r="S118" s="146">
        <v>2184901400</v>
      </c>
      <c r="T118" s="146"/>
      <c r="U118" s="146"/>
      <c r="V118" s="146"/>
      <c r="W118" s="146"/>
      <c r="X118" s="146"/>
      <c r="Y118" s="146"/>
      <c r="Z118" s="146"/>
      <c r="AA118" s="78">
        <f t="shared" si="194"/>
        <v>2184901400</v>
      </c>
      <c r="AB118" s="78">
        <f t="shared" si="180"/>
        <v>15788323619</v>
      </c>
      <c r="AC118" s="174">
        <f t="shared" si="181"/>
        <v>0.55203928737762242</v>
      </c>
    </row>
    <row r="119" spans="1:29" ht="28.5" x14ac:dyDescent="0.2">
      <c r="B119" s="76" t="s">
        <v>507</v>
      </c>
      <c r="C119" s="77" t="s">
        <v>200</v>
      </c>
      <c r="D119" s="330">
        <f>+D118*20%</f>
        <v>5720000000</v>
      </c>
      <c r="E119" s="188">
        <f>SUM('ADICIONES  2021'!C119:I119)</f>
        <v>0</v>
      </c>
      <c r="F119" s="41">
        <f t="shared" ref="F119:J119" si="277">+F118*20%</f>
        <v>0</v>
      </c>
      <c r="G119" s="41">
        <f t="shared" si="277"/>
        <v>0</v>
      </c>
      <c r="H119" s="41">
        <f t="shared" si="277"/>
        <v>0</v>
      </c>
      <c r="I119" s="41">
        <f t="shared" si="277"/>
        <v>0</v>
      </c>
      <c r="J119" s="41">
        <f t="shared" si="277"/>
        <v>0</v>
      </c>
      <c r="K119" s="128">
        <f t="shared" si="170"/>
        <v>5720000000</v>
      </c>
      <c r="L119" s="41">
        <f t="shared" ref="L119:Q119" si="278">+L118*20%</f>
        <v>433153482.20000005</v>
      </c>
      <c r="M119" s="41">
        <f t="shared" si="278"/>
        <v>667465937.4000001</v>
      </c>
      <c r="N119" s="41">
        <f t="shared" si="278"/>
        <v>368796024.80000001</v>
      </c>
      <c r="O119" s="41">
        <f t="shared" si="278"/>
        <v>436040323.40000004</v>
      </c>
      <c r="P119" s="41">
        <f t="shared" si="278"/>
        <v>403426940.80000001</v>
      </c>
      <c r="Q119" s="409">
        <f t="shared" si="278"/>
        <v>411801735.20000005</v>
      </c>
      <c r="R119" s="128">
        <f t="shared" si="178"/>
        <v>2720684443.8000002</v>
      </c>
      <c r="S119" s="41">
        <f t="shared" ref="S119:Z119" si="279">+S118*20%</f>
        <v>436980280</v>
      </c>
      <c r="T119" s="41">
        <f t="shared" si="279"/>
        <v>0</v>
      </c>
      <c r="U119" s="41">
        <f t="shared" si="279"/>
        <v>0</v>
      </c>
      <c r="V119" s="41">
        <f t="shared" si="279"/>
        <v>0</v>
      </c>
      <c r="W119" s="41">
        <f t="shared" si="279"/>
        <v>0</v>
      </c>
      <c r="X119" s="41">
        <f t="shared" si="279"/>
        <v>0</v>
      </c>
      <c r="Y119" s="41">
        <f t="shared" si="279"/>
        <v>0</v>
      </c>
      <c r="Z119" s="41">
        <f t="shared" si="279"/>
        <v>0</v>
      </c>
      <c r="AA119" s="128">
        <f t="shared" si="194"/>
        <v>436980280</v>
      </c>
      <c r="AB119" s="128">
        <f t="shared" si="180"/>
        <v>3157664723.8000002</v>
      </c>
      <c r="AC119" s="175">
        <f t="shared" si="181"/>
        <v>0.55203928737762242</v>
      </c>
    </row>
    <row r="120" spans="1:29" ht="28.5" x14ac:dyDescent="0.2">
      <c r="B120" s="76" t="s">
        <v>508</v>
      </c>
      <c r="C120" s="154" t="s">
        <v>201</v>
      </c>
      <c r="D120" s="330">
        <f>+D118*40%</f>
        <v>11440000000</v>
      </c>
      <c r="E120" s="188">
        <f>SUM('ADICIONES  2021'!C120:I120)</f>
        <v>0</v>
      </c>
      <c r="F120" s="41">
        <f t="shared" ref="F120:J120" si="280">+F118*40%</f>
        <v>0</v>
      </c>
      <c r="G120" s="41">
        <f t="shared" si="280"/>
        <v>0</v>
      </c>
      <c r="H120" s="41">
        <f t="shared" si="280"/>
        <v>0</v>
      </c>
      <c r="I120" s="41">
        <f t="shared" si="280"/>
        <v>0</v>
      </c>
      <c r="J120" s="41">
        <f t="shared" si="280"/>
        <v>0</v>
      </c>
      <c r="K120" s="128">
        <f t="shared" si="170"/>
        <v>11440000000</v>
      </c>
      <c r="L120" s="41">
        <f t="shared" ref="L120:Q120" si="281">+L118*40%</f>
        <v>866306964.4000001</v>
      </c>
      <c r="M120" s="41">
        <f t="shared" si="281"/>
        <v>1334931874.8000002</v>
      </c>
      <c r="N120" s="41">
        <f t="shared" si="281"/>
        <v>737592049.60000002</v>
      </c>
      <c r="O120" s="41">
        <f t="shared" si="281"/>
        <v>872080646.80000007</v>
      </c>
      <c r="P120" s="41">
        <f t="shared" si="281"/>
        <v>806853881.60000002</v>
      </c>
      <c r="Q120" s="409">
        <f t="shared" si="281"/>
        <v>823603470.4000001</v>
      </c>
      <c r="R120" s="128">
        <f t="shared" si="178"/>
        <v>5441368887.6000004</v>
      </c>
      <c r="S120" s="41">
        <f t="shared" ref="S120:Z120" si="282">+S118*40%</f>
        <v>873960560</v>
      </c>
      <c r="T120" s="41">
        <f t="shared" si="282"/>
        <v>0</v>
      </c>
      <c r="U120" s="41">
        <f t="shared" si="282"/>
        <v>0</v>
      </c>
      <c r="V120" s="41">
        <f t="shared" si="282"/>
        <v>0</v>
      </c>
      <c r="W120" s="41">
        <f t="shared" si="282"/>
        <v>0</v>
      </c>
      <c r="X120" s="41">
        <f t="shared" si="282"/>
        <v>0</v>
      </c>
      <c r="Y120" s="41">
        <f t="shared" si="282"/>
        <v>0</v>
      </c>
      <c r="Z120" s="41">
        <f t="shared" si="282"/>
        <v>0</v>
      </c>
      <c r="AA120" s="128">
        <f t="shared" si="194"/>
        <v>873960560</v>
      </c>
      <c r="AB120" s="128">
        <f t="shared" si="180"/>
        <v>6315329447.6000004</v>
      </c>
      <c r="AC120" s="175">
        <f t="shared" si="181"/>
        <v>0.55203928737762242</v>
      </c>
    </row>
    <row r="121" spans="1:29" ht="28.5" x14ac:dyDescent="0.2">
      <c r="B121" s="76" t="s">
        <v>509</v>
      </c>
      <c r="C121" s="77" t="s">
        <v>202</v>
      </c>
      <c r="D121" s="330">
        <f>+D118*20%</f>
        <v>5720000000</v>
      </c>
      <c r="E121" s="188">
        <f>SUM('ADICIONES  2021'!C121:I121)</f>
        <v>0</v>
      </c>
      <c r="F121" s="41">
        <f t="shared" ref="F121:J121" si="283">+F118*20%</f>
        <v>0</v>
      </c>
      <c r="G121" s="41">
        <f t="shared" si="283"/>
        <v>0</v>
      </c>
      <c r="H121" s="41">
        <f t="shared" si="283"/>
        <v>0</v>
      </c>
      <c r="I121" s="41">
        <f t="shared" si="283"/>
        <v>0</v>
      </c>
      <c r="J121" s="41">
        <f t="shared" si="283"/>
        <v>0</v>
      </c>
      <c r="K121" s="128">
        <f t="shared" si="170"/>
        <v>5720000000</v>
      </c>
      <c r="L121" s="41">
        <f t="shared" ref="L121:Q121" si="284">+L118*20%</f>
        <v>433153482.20000005</v>
      </c>
      <c r="M121" s="41">
        <f t="shared" si="284"/>
        <v>667465937.4000001</v>
      </c>
      <c r="N121" s="41">
        <f t="shared" si="284"/>
        <v>368796024.80000001</v>
      </c>
      <c r="O121" s="41">
        <f t="shared" si="284"/>
        <v>436040323.40000004</v>
      </c>
      <c r="P121" s="41">
        <f t="shared" si="284"/>
        <v>403426940.80000001</v>
      </c>
      <c r="Q121" s="409">
        <f t="shared" si="284"/>
        <v>411801735.20000005</v>
      </c>
      <c r="R121" s="128">
        <f t="shared" si="178"/>
        <v>2720684443.8000002</v>
      </c>
      <c r="S121" s="41">
        <f t="shared" ref="S121:Z121" si="285">+S118*20%</f>
        <v>436980280</v>
      </c>
      <c r="T121" s="41">
        <f t="shared" si="285"/>
        <v>0</v>
      </c>
      <c r="U121" s="41">
        <f t="shared" si="285"/>
        <v>0</v>
      </c>
      <c r="V121" s="41">
        <f t="shared" si="285"/>
        <v>0</v>
      </c>
      <c r="W121" s="41">
        <f t="shared" si="285"/>
        <v>0</v>
      </c>
      <c r="X121" s="41">
        <f t="shared" si="285"/>
        <v>0</v>
      </c>
      <c r="Y121" s="41">
        <f t="shared" si="285"/>
        <v>0</v>
      </c>
      <c r="Z121" s="41">
        <f t="shared" si="285"/>
        <v>0</v>
      </c>
      <c r="AA121" s="128">
        <f t="shared" si="194"/>
        <v>436980280</v>
      </c>
      <c r="AB121" s="128">
        <f t="shared" si="180"/>
        <v>3157664723.8000002</v>
      </c>
      <c r="AC121" s="175">
        <f t="shared" si="181"/>
        <v>0.55203928737762242</v>
      </c>
    </row>
    <row r="122" spans="1:29" ht="14.25" x14ac:dyDescent="0.2">
      <c r="B122" s="76" t="s">
        <v>510</v>
      </c>
      <c r="C122" s="77" t="s">
        <v>203</v>
      </c>
      <c r="D122" s="330">
        <f>+D118*20%</f>
        <v>5720000000</v>
      </c>
      <c r="E122" s="188">
        <f>SUM('ADICIONES  2021'!C122:I122)</f>
        <v>0</v>
      </c>
      <c r="F122" s="41">
        <f t="shared" ref="F122:J122" si="286">+F118*20%</f>
        <v>0</v>
      </c>
      <c r="G122" s="41">
        <f t="shared" si="286"/>
        <v>0</v>
      </c>
      <c r="H122" s="41">
        <f t="shared" si="286"/>
        <v>0</v>
      </c>
      <c r="I122" s="41">
        <f t="shared" si="286"/>
        <v>0</v>
      </c>
      <c r="J122" s="41">
        <f t="shared" si="286"/>
        <v>0</v>
      </c>
      <c r="K122" s="128">
        <f t="shared" si="170"/>
        <v>5720000000</v>
      </c>
      <c r="L122" s="41">
        <f t="shared" ref="L122:Q122" si="287">+L118*20%</f>
        <v>433153482.20000005</v>
      </c>
      <c r="M122" s="41">
        <f t="shared" si="287"/>
        <v>667465937.4000001</v>
      </c>
      <c r="N122" s="41">
        <f t="shared" si="287"/>
        <v>368796024.80000001</v>
      </c>
      <c r="O122" s="41">
        <f t="shared" si="287"/>
        <v>436040323.40000004</v>
      </c>
      <c r="P122" s="41">
        <f t="shared" si="287"/>
        <v>403426940.80000001</v>
      </c>
      <c r="Q122" s="409">
        <f t="shared" si="287"/>
        <v>411801735.20000005</v>
      </c>
      <c r="R122" s="128">
        <f t="shared" si="178"/>
        <v>2720684443.8000002</v>
      </c>
      <c r="S122" s="41">
        <f t="shared" ref="S122:Z122" si="288">+S118*20%</f>
        <v>436980280</v>
      </c>
      <c r="T122" s="41">
        <f t="shared" si="288"/>
        <v>0</v>
      </c>
      <c r="U122" s="41">
        <f t="shared" si="288"/>
        <v>0</v>
      </c>
      <c r="V122" s="41">
        <f t="shared" si="288"/>
        <v>0</v>
      </c>
      <c r="W122" s="41">
        <f t="shared" si="288"/>
        <v>0</v>
      </c>
      <c r="X122" s="41">
        <f t="shared" si="288"/>
        <v>0</v>
      </c>
      <c r="Y122" s="41">
        <f t="shared" si="288"/>
        <v>0</v>
      </c>
      <c r="Z122" s="41">
        <f t="shared" si="288"/>
        <v>0</v>
      </c>
      <c r="AA122" s="128">
        <f t="shared" si="194"/>
        <v>436980280</v>
      </c>
      <c r="AB122" s="128">
        <f t="shared" si="180"/>
        <v>3157664723.8000002</v>
      </c>
      <c r="AC122" s="175">
        <f t="shared" si="181"/>
        <v>0.55203928737762242</v>
      </c>
    </row>
    <row r="123" spans="1:29" s="63" customFormat="1" ht="15.75" x14ac:dyDescent="0.2">
      <c r="A123" s="397">
        <v>1</v>
      </c>
      <c r="B123" s="81" t="s">
        <v>511</v>
      </c>
      <c r="C123" s="79" t="s">
        <v>193</v>
      </c>
      <c r="D123" s="333">
        <v>12000000000</v>
      </c>
      <c r="E123" s="187">
        <f>SUM('ADICIONES  2021'!C123:I123)</f>
        <v>0</v>
      </c>
      <c r="F123" s="78"/>
      <c r="G123" s="78"/>
      <c r="H123" s="78"/>
      <c r="I123" s="78"/>
      <c r="J123" s="78"/>
      <c r="K123" s="78">
        <f t="shared" si="170"/>
        <v>12000000000</v>
      </c>
      <c r="L123" s="78">
        <v>2551090811</v>
      </c>
      <c r="M123" s="78">
        <v>1391003251</v>
      </c>
      <c r="N123" s="78">
        <v>598349858</v>
      </c>
      <c r="O123" s="78">
        <v>1092711168</v>
      </c>
      <c r="P123" s="78">
        <v>1213732759</v>
      </c>
      <c r="Q123" s="408">
        <v>915843367</v>
      </c>
      <c r="R123" s="78">
        <f t="shared" si="178"/>
        <v>7762731214</v>
      </c>
      <c r="S123" s="78">
        <v>1140168962</v>
      </c>
      <c r="T123" s="78"/>
      <c r="U123" s="78"/>
      <c r="V123" s="78"/>
      <c r="W123" s="78"/>
      <c r="X123" s="78"/>
      <c r="Y123" s="78"/>
      <c r="Z123" s="78"/>
      <c r="AA123" s="78">
        <f t="shared" si="194"/>
        <v>1140168962</v>
      </c>
      <c r="AB123" s="78">
        <f t="shared" si="180"/>
        <v>8902900176</v>
      </c>
      <c r="AC123" s="174">
        <f t="shared" si="181"/>
        <v>0.74190834800000005</v>
      </c>
    </row>
    <row r="124" spans="1:29" ht="14.25" x14ac:dyDescent="0.2">
      <c r="B124" s="76" t="s">
        <v>512</v>
      </c>
      <c r="C124" s="77" t="s">
        <v>194</v>
      </c>
      <c r="D124" s="330">
        <f>+D123*80%</f>
        <v>9600000000</v>
      </c>
      <c r="E124" s="188">
        <f>SUM('ADICIONES  2021'!C124:I124)</f>
        <v>0</v>
      </c>
      <c r="F124" s="41">
        <f t="shared" ref="F124:J124" si="289">+F123*80%</f>
        <v>0</v>
      </c>
      <c r="G124" s="41">
        <f t="shared" si="289"/>
        <v>0</v>
      </c>
      <c r="H124" s="41">
        <f t="shared" si="289"/>
        <v>0</v>
      </c>
      <c r="I124" s="41">
        <f t="shared" si="289"/>
        <v>0</v>
      </c>
      <c r="J124" s="41">
        <f t="shared" si="289"/>
        <v>0</v>
      </c>
      <c r="K124" s="128">
        <f t="shared" si="170"/>
        <v>9600000000</v>
      </c>
      <c r="L124" s="41">
        <f t="shared" ref="L124:Q124" si="290">+L123*80%</f>
        <v>2040872648.8000002</v>
      </c>
      <c r="M124" s="41">
        <f t="shared" si="290"/>
        <v>1112802600.8</v>
      </c>
      <c r="N124" s="41">
        <f t="shared" si="290"/>
        <v>478679886.40000004</v>
      </c>
      <c r="O124" s="41">
        <f t="shared" si="290"/>
        <v>874168934.4000001</v>
      </c>
      <c r="P124" s="41">
        <f t="shared" si="290"/>
        <v>970986207.20000005</v>
      </c>
      <c r="Q124" s="409">
        <f t="shared" si="290"/>
        <v>732674693.60000002</v>
      </c>
      <c r="R124" s="128">
        <f t="shared" si="178"/>
        <v>6210184971.2000008</v>
      </c>
      <c r="S124" s="41">
        <f t="shared" ref="S124:Z124" si="291">+S123*80%</f>
        <v>912135169.60000002</v>
      </c>
      <c r="T124" s="41">
        <f t="shared" si="291"/>
        <v>0</v>
      </c>
      <c r="U124" s="41">
        <f t="shared" si="291"/>
        <v>0</v>
      </c>
      <c r="V124" s="41">
        <f t="shared" si="291"/>
        <v>0</v>
      </c>
      <c r="W124" s="41">
        <f t="shared" si="291"/>
        <v>0</v>
      </c>
      <c r="X124" s="41">
        <f t="shared" si="291"/>
        <v>0</v>
      </c>
      <c r="Y124" s="41">
        <f t="shared" si="291"/>
        <v>0</v>
      </c>
      <c r="Z124" s="41">
        <f t="shared" si="291"/>
        <v>0</v>
      </c>
      <c r="AA124" s="128">
        <f t="shared" si="194"/>
        <v>912135169.60000002</v>
      </c>
      <c r="AB124" s="128">
        <f t="shared" si="180"/>
        <v>7122320140.8000011</v>
      </c>
      <c r="AC124" s="175">
        <f t="shared" si="181"/>
        <v>0.74190834800000016</v>
      </c>
    </row>
    <row r="125" spans="1:29" ht="14.25" x14ac:dyDescent="0.2">
      <c r="B125" s="76" t="s">
        <v>513</v>
      </c>
      <c r="C125" s="77" t="s">
        <v>195</v>
      </c>
      <c r="D125" s="330">
        <f>+D123*20%</f>
        <v>2400000000</v>
      </c>
      <c r="E125" s="188">
        <f>SUM('ADICIONES  2021'!C125:I125)</f>
        <v>0</v>
      </c>
      <c r="F125" s="41">
        <f t="shared" ref="F125:J125" si="292">+F123*20%</f>
        <v>0</v>
      </c>
      <c r="G125" s="41">
        <f t="shared" si="292"/>
        <v>0</v>
      </c>
      <c r="H125" s="41">
        <f t="shared" si="292"/>
        <v>0</v>
      </c>
      <c r="I125" s="41">
        <f t="shared" si="292"/>
        <v>0</v>
      </c>
      <c r="J125" s="41">
        <f t="shared" si="292"/>
        <v>0</v>
      </c>
      <c r="K125" s="128">
        <f t="shared" si="170"/>
        <v>2400000000</v>
      </c>
      <c r="L125" s="41">
        <f t="shared" ref="L125:Q125" si="293">+L123*20%</f>
        <v>510218162.20000005</v>
      </c>
      <c r="M125" s="41">
        <f t="shared" si="293"/>
        <v>278200650.19999999</v>
      </c>
      <c r="N125" s="41">
        <f t="shared" si="293"/>
        <v>119669971.60000001</v>
      </c>
      <c r="O125" s="41">
        <f t="shared" si="293"/>
        <v>218542233.60000002</v>
      </c>
      <c r="P125" s="41">
        <f t="shared" si="293"/>
        <v>242746551.80000001</v>
      </c>
      <c r="Q125" s="409">
        <f t="shared" si="293"/>
        <v>183168673.40000001</v>
      </c>
      <c r="R125" s="128">
        <f t="shared" si="178"/>
        <v>1552546242.8000002</v>
      </c>
      <c r="S125" s="41">
        <f t="shared" ref="S125:Z125" si="294">+S123*20%</f>
        <v>228033792.40000001</v>
      </c>
      <c r="T125" s="41">
        <f t="shared" si="294"/>
        <v>0</v>
      </c>
      <c r="U125" s="41">
        <f t="shared" si="294"/>
        <v>0</v>
      </c>
      <c r="V125" s="41">
        <f t="shared" si="294"/>
        <v>0</v>
      </c>
      <c r="W125" s="41">
        <f t="shared" si="294"/>
        <v>0</v>
      </c>
      <c r="X125" s="41">
        <f t="shared" si="294"/>
        <v>0</v>
      </c>
      <c r="Y125" s="41">
        <f t="shared" si="294"/>
        <v>0</v>
      </c>
      <c r="Z125" s="41">
        <f t="shared" si="294"/>
        <v>0</v>
      </c>
      <c r="AA125" s="128">
        <f t="shared" si="194"/>
        <v>228033792.40000001</v>
      </c>
      <c r="AB125" s="128">
        <f t="shared" si="180"/>
        <v>1780580035.2000003</v>
      </c>
      <c r="AC125" s="175">
        <f t="shared" si="181"/>
        <v>0.74190834800000016</v>
      </c>
    </row>
    <row r="126" spans="1:29" s="63" customFormat="1" ht="31.5" x14ac:dyDescent="0.2">
      <c r="A126" s="397">
        <v>1</v>
      </c>
      <c r="B126" s="81" t="s">
        <v>514</v>
      </c>
      <c r="C126" s="79" t="s">
        <v>515</v>
      </c>
      <c r="D126" s="333">
        <v>46800000000</v>
      </c>
      <c r="E126" s="187">
        <f>SUM('ADICIONES  2021'!C126:I126)</f>
        <v>0</v>
      </c>
      <c r="F126" s="78"/>
      <c r="G126" s="78"/>
      <c r="H126" s="78"/>
      <c r="I126" s="78"/>
      <c r="J126" s="78"/>
      <c r="K126" s="78">
        <f t="shared" si="170"/>
        <v>46800000000</v>
      </c>
      <c r="L126" s="78">
        <v>5388654630</v>
      </c>
      <c r="M126" s="78">
        <v>3666660934</v>
      </c>
      <c r="N126" s="78">
        <v>2317061873</v>
      </c>
      <c r="O126" s="78">
        <v>2958891086</v>
      </c>
      <c r="P126" s="78">
        <v>3703350259</v>
      </c>
      <c r="Q126" s="408">
        <v>3314430887</v>
      </c>
      <c r="R126" s="78">
        <f t="shared" si="178"/>
        <v>21349049669</v>
      </c>
      <c r="S126" s="78">
        <v>3372403137</v>
      </c>
      <c r="T126" s="78"/>
      <c r="U126" s="78"/>
      <c r="V126" s="78"/>
      <c r="W126" s="78"/>
      <c r="X126" s="78"/>
      <c r="Y126" s="78"/>
      <c r="Z126" s="78"/>
      <c r="AA126" s="78">
        <f t="shared" si="194"/>
        <v>3372403137</v>
      </c>
      <c r="AB126" s="78">
        <f t="shared" si="180"/>
        <v>24721452806</v>
      </c>
      <c r="AC126" s="174">
        <f t="shared" si="181"/>
        <v>0.52823617106837606</v>
      </c>
    </row>
    <row r="127" spans="1:29" ht="14.25" x14ac:dyDescent="0.2">
      <c r="B127" s="76" t="s">
        <v>516</v>
      </c>
      <c r="C127" s="77" t="s">
        <v>206</v>
      </c>
      <c r="D127" s="330">
        <f>+D126*75%</f>
        <v>35100000000</v>
      </c>
      <c r="E127" s="188">
        <f>SUM('ADICIONES  2021'!C127:I127)</f>
        <v>0</v>
      </c>
      <c r="F127" s="41">
        <f t="shared" ref="F127:J127" si="295">+F126*75%</f>
        <v>0</v>
      </c>
      <c r="G127" s="41">
        <f t="shared" si="295"/>
        <v>0</v>
      </c>
      <c r="H127" s="41">
        <f t="shared" si="295"/>
        <v>0</v>
      </c>
      <c r="I127" s="41">
        <f t="shared" si="295"/>
        <v>0</v>
      </c>
      <c r="J127" s="41">
        <f t="shared" si="295"/>
        <v>0</v>
      </c>
      <c r="K127" s="128">
        <f t="shared" si="170"/>
        <v>35100000000</v>
      </c>
      <c r="L127" s="41">
        <f t="shared" ref="L127:Q127" si="296">+L126*75%</f>
        <v>4041490972.5</v>
      </c>
      <c r="M127" s="41">
        <f t="shared" si="296"/>
        <v>2749995700.5</v>
      </c>
      <c r="N127" s="41">
        <f t="shared" si="296"/>
        <v>1737796404.75</v>
      </c>
      <c r="O127" s="41">
        <f t="shared" si="296"/>
        <v>2219168314.5</v>
      </c>
      <c r="P127" s="41">
        <f t="shared" si="296"/>
        <v>2777512694.25</v>
      </c>
      <c r="Q127" s="409">
        <f t="shared" si="296"/>
        <v>2485823165.25</v>
      </c>
      <c r="R127" s="128">
        <f t="shared" si="178"/>
        <v>16011787251.75</v>
      </c>
      <c r="S127" s="41">
        <f t="shared" ref="S127:Z127" si="297">+S126*75%</f>
        <v>2529302352.75</v>
      </c>
      <c r="T127" s="41">
        <f t="shared" si="297"/>
        <v>0</v>
      </c>
      <c r="U127" s="41">
        <f t="shared" si="297"/>
        <v>0</v>
      </c>
      <c r="V127" s="41">
        <f t="shared" si="297"/>
        <v>0</v>
      </c>
      <c r="W127" s="41">
        <f t="shared" si="297"/>
        <v>0</v>
      </c>
      <c r="X127" s="41">
        <f t="shared" si="297"/>
        <v>0</v>
      </c>
      <c r="Y127" s="41">
        <f t="shared" si="297"/>
        <v>0</v>
      </c>
      <c r="Z127" s="41">
        <f t="shared" si="297"/>
        <v>0</v>
      </c>
      <c r="AA127" s="128">
        <f t="shared" si="194"/>
        <v>2529302352.75</v>
      </c>
      <c r="AB127" s="128">
        <f t="shared" si="180"/>
        <v>18541089604.5</v>
      </c>
      <c r="AC127" s="175">
        <f t="shared" si="181"/>
        <v>0.52823617106837606</v>
      </c>
    </row>
    <row r="128" spans="1:29" ht="14.25" x14ac:dyDescent="0.2">
      <c r="B128" s="76" t="s">
        <v>517</v>
      </c>
      <c r="C128" s="77" t="s">
        <v>207</v>
      </c>
      <c r="D128" s="330">
        <f>+D126*12%</f>
        <v>5616000000</v>
      </c>
      <c r="E128" s="188">
        <f>SUM('ADICIONES  2021'!C128:I128)</f>
        <v>0</v>
      </c>
      <c r="F128" s="41">
        <f t="shared" ref="F128:J128" si="298">+F126*12%</f>
        <v>0</v>
      </c>
      <c r="G128" s="41">
        <f t="shared" si="298"/>
        <v>0</v>
      </c>
      <c r="H128" s="41">
        <f t="shared" si="298"/>
        <v>0</v>
      </c>
      <c r="I128" s="41">
        <f t="shared" si="298"/>
        <v>0</v>
      </c>
      <c r="J128" s="41">
        <f t="shared" si="298"/>
        <v>0</v>
      </c>
      <c r="K128" s="128">
        <f t="shared" si="170"/>
        <v>5616000000</v>
      </c>
      <c r="L128" s="41">
        <f t="shared" ref="L128:Q128" si="299">+L126*12%</f>
        <v>646638555.60000002</v>
      </c>
      <c r="M128" s="41">
        <f t="shared" si="299"/>
        <v>439999312.07999998</v>
      </c>
      <c r="N128" s="41">
        <f t="shared" si="299"/>
        <v>278047424.75999999</v>
      </c>
      <c r="O128" s="41">
        <f t="shared" si="299"/>
        <v>355066930.31999999</v>
      </c>
      <c r="P128" s="41">
        <f t="shared" si="299"/>
        <v>444402031.07999998</v>
      </c>
      <c r="Q128" s="409">
        <f t="shared" si="299"/>
        <v>397731706.44</v>
      </c>
      <c r="R128" s="128">
        <f t="shared" si="178"/>
        <v>2561885960.2800002</v>
      </c>
      <c r="S128" s="41">
        <f t="shared" ref="S128:Z128" si="300">+S126*12%</f>
        <v>404688376.44</v>
      </c>
      <c r="T128" s="41">
        <f t="shared" si="300"/>
        <v>0</v>
      </c>
      <c r="U128" s="41">
        <f t="shared" si="300"/>
        <v>0</v>
      </c>
      <c r="V128" s="41">
        <f t="shared" si="300"/>
        <v>0</v>
      </c>
      <c r="W128" s="41">
        <f t="shared" si="300"/>
        <v>0</v>
      </c>
      <c r="X128" s="41">
        <f t="shared" si="300"/>
        <v>0</v>
      </c>
      <c r="Y128" s="41">
        <f t="shared" si="300"/>
        <v>0</v>
      </c>
      <c r="Z128" s="41">
        <f t="shared" si="300"/>
        <v>0</v>
      </c>
      <c r="AA128" s="128">
        <f t="shared" si="194"/>
        <v>404688376.44</v>
      </c>
      <c r="AB128" s="128">
        <f t="shared" si="180"/>
        <v>2966574336.7200003</v>
      </c>
      <c r="AC128" s="175">
        <f t="shared" si="181"/>
        <v>0.52823617106837617</v>
      </c>
    </row>
    <row r="129" spans="1:29" ht="14.25" x14ac:dyDescent="0.2">
      <c r="B129" s="76" t="s">
        <v>518</v>
      </c>
      <c r="C129" s="77" t="s">
        <v>208</v>
      </c>
      <c r="D129" s="330">
        <f>+D126*8%</f>
        <v>3744000000</v>
      </c>
      <c r="E129" s="188">
        <f>SUM('ADICIONES  2021'!C129:I129)</f>
        <v>0</v>
      </c>
      <c r="F129" s="41">
        <f t="shared" ref="F129:J129" si="301">+F126*8%</f>
        <v>0</v>
      </c>
      <c r="G129" s="41">
        <f t="shared" si="301"/>
        <v>0</v>
      </c>
      <c r="H129" s="41">
        <f t="shared" si="301"/>
        <v>0</v>
      </c>
      <c r="I129" s="41">
        <f t="shared" si="301"/>
        <v>0</v>
      </c>
      <c r="J129" s="41">
        <f t="shared" si="301"/>
        <v>0</v>
      </c>
      <c r="K129" s="128">
        <f t="shared" si="170"/>
        <v>3744000000</v>
      </c>
      <c r="L129" s="41">
        <f t="shared" ref="L129:Q129" si="302">+L126*8%</f>
        <v>431092370.40000004</v>
      </c>
      <c r="M129" s="41">
        <f t="shared" si="302"/>
        <v>293332874.72000003</v>
      </c>
      <c r="N129" s="41">
        <f t="shared" si="302"/>
        <v>185364949.84</v>
      </c>
      <c r="O129" s="41">
        <f t="shared" si="302"/>
        <v>236711286.88</v>
      </c>
      <c r="P129" s="41">
        <f t="shared" si="302"/>
        <v>296268020.72000003</v>
      </c>
      <c r="Q129" s="409">
        <f t="shared" si="302"/>
        <v>265154470.96000001</v>
      </c>
      <c r="R129" s="128">
        <f t="shared" si="178"/>
        <v>1707923973.5200002</v>
      </c>
      <c r="S129" s="41">
        <f t="shared" ref="S129:Z129" si="303">+S126*8%</f>
        <v>269792250.95999998</v>
      </c>
      <c r="T129" s="41">
        <f t="shared" si="303"/>
        <v>0</v>
      </c>
      <c r="U129" s="41">
        <f t="shared" si="303"/>
        <v>0</v>
      </c>
      <c r="V129" s="41">
        <f t="shared" si="303"/>
        <v>0</v>
      </c>
      <c r="W129" s="41">
        <f t="shared" si="303"/>
        <v>0</v>
      </c>
      <c r="X129" s="41">
        <f t="shared" si="303"/>
        <v>0</v>
      </c>
      <c r="Y129" s="41">
        <f t="shared" si="303"/>
        <v>0</v>
      </c>
      <c r="Z129" s="41">
        <f t="shared" si="303"/>
        <v>0</v>
      </c>
      <c r="AA129" s="128">
        <f t="shared" si="194"/>
        <v>269792250.95999998</v>
      </c>
      <c r="AB129" s="128">
        <f t="shared" si="180"/>
        <v>1977716224.4800003</v>
      </c>
      <c r="AC129" s="175">
        <f t="shared" si="181"/>
        <v>0.52823617106837617</v>
      </c>
    </row>
    <row r="130" spans="1:29" ht="14.25" x14ac:dyDescent="0.2">
      <c r="B130" s="76" t="s">
        <v>519</v>
      </c>
      <c r="C130" s="77" t="s">
        <v>209</v>
      </c>
      <c r="D130" s="330">
        <f>+D126*3%</f>
        <v>1404000000</v>
      </c>
      <c r="E130" s="188">
        <f>SUM('ADICIONES  2021'!C130:I130)</f>
        <v>0</v>
      </c>
      <c r="F130" s="41">
        <f t="shared" ref="F130:J130" si="304">+F126*3%</f>
        <v>0</v>
      </c>
      <c r="G130" s="41">
        <f t="shared" si="304"/>
        <v>0</v>
      </c>
      <c r="H130" s="41">
        <f t="shared" si="304"/>
        <v>0</v>
      </c>
      <c r="I130" s="41">
        <f t="shared" si="304"/>
        <v>0</v>
      </c>
      <c r="J130" s="41">
        <f t="shared" si="304"/>
        <v>0</v>
      </c>
      <c r="K130" s="128">
        <f t="shared" si="170"/>
        <v>1404000000</v>
      </c>
      <c r="L130" s="41">
        <f t="shared" ref="L130:Q130" si="305">+L126*3%</f>
        <v>161659638.90000001</v>
      </c>
      <c r="M130" s="41">
        <f t="shared" si="305"/>
        <v>109999828.02</v>
      </c>
      <c r="N130" s="41">
        <f t="shared" si="305"/>
        <v>69511856.189999998</v>
      </c>
      <c r="O130" s="41">
        <f t="shared" si="305"/>
        <v>88766732.579999998</v>
      </c>
      <c r="P130" s="41">
        <f t="shared" si="305"/>
        <v>111100507.77</v>
      </c>
      <c r="Q130" s="409">
        <f t="shared" si="305"/>
        <v>99432926.609999999</v>
      </c>
      <c r="R130" s="128">
        <f t="shared" si="178"/>
        <v>640471490.07000005</v>
      </c>
      <c r="S130" s="41">
        <f t="shared" ref="S130:Z130" si="306">+S126*3%</f>
        <v>101172094.11</v>
      </c>
      <c r="T130" s="41">
        <f t="shared" si="306"/>
        <v>0</v>
      </c>
      <c r="U130" s="41">
        <f t="shared" si="306"/>
        <v>0</v>
      </c>
      <c r="V130" s="41">
        <f t="shared" si="306"/>
        <v>0</v>
      </c>
      <c r="W130" s="41">
        <f t="shared" si="306"/>
        <v>0</v>
      </c>
      <c r="X130" s="41">
        <f t="shared" si="306"/>
        <v>0</v>
      </c>
      <c r="Y130" s="41">
        <f t="shared" si="306"/>
        <v>0</v>
      </c>
      <c r="Z130" s="41">
        <f t="shared" si="306"/>
        <v>0</v>
      </c>
      <c r="AA130" s="128">
        <f t="shared" si="194"/>
        <v>101172094.11</v>
      </c>
      <c r="AB130" s="128">
        <f t="shared" si="180"/>
        <v>741643584.18000007</v>
      </c>
      <c r="AC130" s="175">
        <f t="shared" si="181"/>
        <v>0.52823617106837617</v>
      </c>
    </row>
    <row r="131" spans="1:29" ht="14.25" x14ac:dyDescent="0.2">
      <c r="B131" s="76" t="s">
        <v>520</v>
      </c>
      <c r="C131" s="77" t="s">
        <v>210</v>
      </c>
      <c r="D131" s="330">
        <f>+D126*2%</f>
        <v>936000000</v>
      </c>
      <c r="E131" s="188">
        <f>SUM('ADICIONES  2021'!C131:I131)</f>
        <v>0</v>
      </c>
      <c r="F131" s="41">
        <f t="shared" ref="F131:J131" si="307">+F126*2%</f>
        <v>0</v>
      </c>
      <c r="G131" s="41">
        <f t="shared" si="307"/>
        <v>0</v>
      </c>
      <c r="H131" s="41">
        <f t="shared" si="307"/>
        <v>0</v>
      </c>
      <c r="I131" s="41">
        <f t="shared" si="307"/>
        <v>0</v>
      </c>
      <c r="J131" s="41">
        <f t="shared" si="307"/>
        <v>0</v>
      </c>
      <c r="K131" s="128">
        <f t="shared" si="170"/>
        <v>936000000</v>
      </c>
      <c r="L131" s="41">
        <f t="shared" ref="L131:Q131" si="308">+L126*2%</f>
        <v>107773092.60000001</v>
      </c>
      <c r="M131" s="41">
        <f t="shared" si="308"/>
        <v>73333218.680000007</v>
      </c>
      <c r="N131" s="41">
        <f t="shared" si="308"/>
        <v>46341237.460000001</v>
      </c>
      <c r="O131" s="41">
        <f t="shared" si="308"/>
        <v>59177821.719999999</v>
      </c>
      <c r="P131" s="41">
        <f t="shared" si="308"/>
        <v>74067005.180000007</v>
      </c>
      <c r="Q131" s="409">
        <f t="shared" si="308"/>
        <v>66288617.740000002</v>
      </c>
      <c r="R131" s="128">
        <f t="shared" si="178"/>
        <v>426980993.38000005</v>
      </c>
      <c r="S131" s="41">
        <f t="shared" ref="S131:Z131" si="309">+S126*2%</f>
        <v>67448062.739999995</v>
      </c>
      <c r="T131" s="41">
        <f t="shared" si="309"/>
        <v>0</v>
      </c>
      <c r="U131" s="41">
        <f t="shared" si="309"/>
        <v>0</v>
      </c>
      <c r="V131" s="41">
        <f t="shared" si="309"/>
        <v>0</v>
      </c>
      <c r="W131" s="41">
        <f t="shared" si="309"/>
        <v>0</v>
      </c>
      <c r="X131" s="41">
        <f t="shared" si="309"/>
        <v>0</v>
      </c>
      <c r="Y131" s="41">
        <f t="shared" si="309"/>
        <v>0</v>
      </c>
      <c r="Z131" s="41">
        <f t="shared" si="309"/>
        <v>0</v>
      </c>
      <c r="AA131" s="128">
        <f t="shared" si="194"/>
        <v>67448062.739999995</v>
      </c>
      <c r="AB131" s="128">
        <f t="shared" si="180"/>
        <v>494429056.12000006</v>
      </c>
      <c r="AC131" s="175">
        <f t="shared" si="181"/>
        <v>0.52823617106837617</v>
      </c>
    </row>
    <row r="132" spans="1:29" s="63" customFormat="1" ht="15.75" x14ac:dyDescent="0.2">
      <c r="A132" s="397">
        <v>1</v>
      </c>
      <c r="B132" s="81" t="s">
        <v>521</v>
      </c>
      <c r="C132" s="79" t="s">
        <v>522</v>
      </c>
      <c r="D132" s="333">
        <v>40200000000</v>
      </c>
      <c r="E132" s="187">
        <f>SUM('ADICIONES  2021'!C132:I132)</f>
        <v>0</v>
      </c>
      <c r="F132" s="78"/>
      <c r="G132" s="78"/>
      <c r="H132" s="78"/>
      <c r="I132" s="78"/>
      <c r="J132" s="78"/>
      <c r="K132" s="78">
        <f t="shared" si="170"/>
        <v>40200000000</v>
      </c>
      <c r="L132" s="78">
        <v>4391639595</v>
      </c>
      <c r="M132" s="78">
        <v>3258912562</v>
      </c>
      <c r="N132" s="78">
        <v>1546008791</v>
      </c>
      <c r="O132" s="78">
        <v>2239648077</v>
      </c>
      <c r="P132" s="78">
        <v>2445285758</v>
      </c>
      <c r="Q132" s="408">
        <v>2404150945</v>
      </c>
      <c r="R132" s="78">
        <f t="shared" si="178"/>
        <v>16285645728</v>
      </c>
      <c r="S132" s="78">
        <v>2552793809</v>
      </c>
      <c r="T132" s="78"/>
      <c r="U132" s="78"/>
      <c r="V132" s="78"/>
      <c r="W132" s="78"/>
      <c r="X132" s="78"/>
      <c r="Y132" s="78"/>
      <c r="Z132" s="78"/>
      <c r="AA132" s="78">
        <f t="shared" si="194"/>
        <v>2552793809</v>
      </c>
      <c r="AB132" s="78">
        <f t="shared" si="180"/>
        <v>18838439537</v>
      </c>
      <c r="AC132" s="174">
        <f t="shared" si="181"/>
        <v>0.46861789893034828</v>
      </c>
    </row>
    <row r="133" spans="1:29" ht="14.25" x14ac:dyDescent="0.2">
      <c r="B133" s="76" t="s">
        <v>523</v>
      </c>
      <c r="C133" s="77" t="s">
        <v>204</v>
      </c>
      <c r="D133" s="330">
        <f>+D132*60%</f>
        <v>24120000000</v>
      </c>
      <c r="E133" s="188">
        <f>SUM('ADICIONES  2021'!C133:I133)</f>
        <v>0</v>
      </c>
      <c r="F133" s="41">
        <f t="shared" ref="F133:J133" si="310">+F132*60%</f>
        <v>0</v>
      </c>
      <c r="G133" s="41">
        <f t="shared" si="310"/>
        <v>0</v>
      </c>
      <c r="H133" s="41">
        <f t="shared" si="310"/>
        <v>0</v>
      </c>
      <c r="I133" s="41">
        <f t="shared" si="310"/>
        <v>0</v>
      </c>
      <c r="J133" s="41">
        <f t="shared" si="310"/>
        <v>0</v>
      </c>
      <c r="K133" s="128">
        <f t="shared" si="170"/>
        <v>24120000000</v>
      </c>
      <c r="L133" s="41">
        <f t="shared" ref="L133:Q133" si="311">+L132*60%</f>
        <v>2634983757</v>
      </c>
      <c r="M133" s="41">
        <f t="shared" si="311"/>
        <v>1955347537.1999998</v>
      </c>
      <c r="N133" s="41">
        <f t="shared" si="311"/>
        <v>927605274.60000002</v>
      </c>
      <c r="O133" s="41">
        <f t="shared" si="311"/>
        <v>1343788846.2</v>
      </c>
      <c r="P133" s="41">
        <f t="shared" si="311"/>
        <v>1467171454.8</v>
      </c>
      <c r="Q133" s="409">
        <f t="shared" si="311"/>
        <v>1442490567</v>
      </c>
      <c r="R133" s="128">
        <f t="shared" si="178"/>
        <v>9771387436.7999992</v>
      </c>
      <c r="S133" s="41">
        <f t="shared" ref="S133:Z133" si="312">+S132*60%</f>
        <v>1531676285.3999999</v>
      </c>
      <c r="T133" s="41">
        <f t="shared" si="312"/>
        <v>0</v>
      </c>
      <c r="U133" s="41">
        <f t="shared" si="312"/>
        <v>0</v>
      </c>
      <c r="V133" s="41">
        <f t="shared" si="312"/>
        <v>0</v>
      </c>
      <c r="W133" s="41">
        <f t="shared" si="312"/>
        <v>0</v>
      </c>
      <c r="X133" s="41">
        <f t="shared" si="312"/>
        <v>0</v>
      </c>
      <c r="Y133" s="41">
        <f t="shared" si="312"/>
        <v>0</v>
      </c>
      <c r="Z133" s="41">
        <f t="shared" si="312"/>
        <v>0</v>
      </c>
      <c r="AA133" s="128">
        <f t="shared" si="194"/>
        <v>1531676285.3999999</v>
      </c>
      <c r="AB133" s="128">
        <f t="shared" si="180"/>
        <v>11303063722.199999</v>
      </c>
      <c r="AC133" s="175">
        <f t="shared" si="181"/>
        <v>0.46861789893034822</v>
      </c>
    </row>
    <row r="134" spans="1:29" ht="28.5" x14ac:dyDescent="0.2">
      <c r="B134" s="76" t="s">
        <v>524</v>
      </c>
      <c r="C134" s="77" t="s">
        <v>205</v>
      </c>
      <c r="D134" s="330">
        <f>+D132*19%</f>
        <v>7638000000</v>
      </c>
      <c r="E134" s="188">
        <f>SUM('ADICIONES  2021'!C134:I134)</f>
        <v>0</v>
      </c>
      <c r="F134" s="41">
        <f t="shared" ref="F134:J134" si="313">+F132*19%</f>
        <v>0</v>
      </c>
      <c r="G134" s="41">
        <f t="shared" si="313"/>
        <v>0</v>
      </c>
      <c r="H134" s="41">
        <f t="shared" si="313"/>
        <v>0</v>
      </c>
      <c r="I134" s="41">
        <f t="shared" si="313"/>
        <v>0</v>
      </c>
      <c r="J134" s="41">
        <f t="shared" si="313"/>
        <v>0</v>
      </c>
      <c r="K134" s="128">
        <f t="shared" si="170"/>
        <v>7638000000</v>
      </c>
      <c r="L134" s="41">
        <f t="shared" ref="L134:Q134" si="314">+L132*19%</f>
        <v>834411523.04999995</v>
      </c>
      <c r="M134" s="41">
        <f t="shared" si="314"/>
        <v>619193386.77999997</v>
      </c>
      <c r="N134" s="41">
        <f t="shared" si="314"/>
        <v>293741670.29000002</v>
      </c>
      <c r="O134" s="41">
        <f t="shared" si="314"/>
        <v>425533134.63</v>
      </c>
      <c r="P134" s="41">
        <f t="shared" si="314"/>
        <v>464604294.01999998</v>
      </c>
      <c r="Q134" s="409">
        <f t="shared" si="314"/>
        <v>456788679.55000001</v>
      </c>
      <c r="R134" s="128">
        <f t="shared" si="178"/>
        <v>3094272688.3200002</v>
      </c>
      <c r="S134" s="41">
        <f t="shared" ref="S134:Z134" si="315">+S132*19%</f>
        <v>485030823.70999998</v>
      </c>
      <c r="T134" s="41">
        <f t="shared" si="315"/>
        <v>0</v>
      </c>
      <c r="U134" s="41">
        <f t="shared" si="315"/>
        <v>0</v>
      </c>
      <c r="V134" s="41">
        <f t="shared" si="315"/>
        <v>0</v>
      </c>
      <c r="W134" s="41">
        <f t="shared" si="315"/>
        <v>0</v>
      </c>
      <c r="X134" s="41">
        <f t="shared" si="315"/>
        <v>0</v>
      </c>
      <c r="Y134" s="41">
        <f t="shared" si="315"/>
        <v>0</v>
      </c>
      <c r="Z134" s="41">
        <f t="shared" si="315"/>
        <v>0</v>
      </c>
      <c r="AA134" s="128">
        <f t="shared" si="194"/>
        <v>485030823.70999998</v>
      </c>
      <c r="AB134" s="128">
        <f t="shared" si="180"/>
        <v>3579303512.0300002</v>
      </c>
      <c r="AC134" s="175">
        <f t="shared" si="181"/>
        <v>0.46861789893034828</v>
      </c>
    </row>
    <row r="135" spans="1:29" ht="14.25" x14ac:dyDescent="0.2">
      <c r="B135" s="76" t="s">
        <v>525</v>
      </c>
      <c r="C135" s="77" t="s">
        <v>526</v>
      </c>
      <c r="D135" s="330">
        <f>+D132*1%</f>
        <v>402000000</v>
      </c>
      <c r="E135" s="188">
        <f>SUM('ADICIONES  2021'!C135:I135)</f>
        <v>0</v>
      </c>
      <c r="F135" s="41">
        <f t="shared" ref="F135:J135" si="316">+F132*1%</f>
        <v>0</v>
      </c>
      <c r="G135" s="41">
        <f t="shared" si="316"/>
        <v>0</v>
      </c>
      <c r="H135" s="41">
        <f t="shared" si="316"/>
        <v>0</v>
      </c>
      <c r="I135" s="41">
        <f t="shared" si="316"/>
        <v>0</v>
      </c>
      <c r="J135" s="41">
        <f t="shared" si="316"/>
        <v>0</v>
      </c>
      <c r="K135" s="128">
        <f t="shared" si="170"/>
        <v>402000000</v>
      </c>
      <c r="L135" s="41">
        <f t="shared" ref="L135:Q135" si="317">+L132*1%</f>
        <v>43916395.950000003</v>
      </c>
      <c r="M135" s="41">
        <f t="shared" si="317"/>
        <v>32589125.620000001</v>
      </c>
      <c r="N135" s="41">
        <f t="shared" si="317"/>
        <v>15460087.91</v>
      </c>
      <c r="O135" s="41">
        <f t="shared" si="317"/>
        <v>22396480.77</v>
      </c>
      <c r="P135" s="41">
        <f t="shared" si="317"/>
        <v>24452857.580000002</v>
      </c>
      <c r="Q135" s="409">
        <f t="shared" si="317"/>
        <v>24041509.449999999</v>
      </c>
      <c r="R135" s="128">
        <f t="shared" si="178"/>
        <v>162856457.28</v>
      </c>
      <c r="S135" s="41">
        <f t="shared" ref="S135:Z135" si="318">+S132*1%</f>
        <v>25527938.09</v>
      </c>
      <c r="T135" s="41">
        <f t="shared" si="318"/>
        <v>0</v>
      </c>
      <c r="U135" s="41">
        <f t="shared" si="318"/>
        <v>0</v>
      </c>
      <c r="V135" s="41">
        <f t="shared" si="318"/>
        <v>0</v>
      </c>
      <c r="W135" s="41">
        <f t="shared" si="318"/>
        <v>0</v>
      </c>
      <c r="X135" s="41">
        <f t="shared" si="318"/>
        <v>0</v>
      </c>
      <c r="Y135" s="41">
        <f t="shared" si="318"/>
        <v>0</v>
      </c>
      <c r="Z135" s="41">
        <f t="shared" si="318"/>
        <v>0</v>
      </c>
      <c r="AA135" s="128">
        <f t="shared" si="194"/>
        <v>25527938.09</v>
      </c>
      <c r="AB135" s="128">
        <f t="shared" si="180"/>
        <v>188384395.37</v>
      </c>
      <c r="AC135" s="175">
        <f t="shared" si="181"/>
        <v>0.46861789893034828</v>
      </c>
    </row>
    <row r="136" spans="1:29" ht="14.25" x14ac:dyDescent="0.2">
      <c r="B136" s="76" t="s">
        <v>527</v>
      </c>
      <c r="C136" s="77" t="s">
        <v>528</v>
      </c>
      <c r="D136" s="330">
        <f>+D132*20%</f>
        <v>8040000000</v>
      </c>
      <c r="E136" s="188">
        <f>SUM('ADICIONES  2021'!C136:I136)</f>
        <v>0</v>
      </c>
      <c r="F136" s="41">
        <f t="shared" ref="F136:J136" si="319">+F132*20%</f>
        <v>0</v>
      </c>
      <c r="G136" s="41">
        <f t="shared" si="319"/>
        <v>0</v>
      </c>
      <c r="H136" s="41">
        <f t="shared" si="319"/>
        <v>0</v>
      </c>
      <c r="I136" s="41">
        <f t="shared" si="319"/>
        <v>0</v>
      </c>
      <c r="J136" s="41">
        <f t="shared" si="319"/>
        <v>0</v>
      </c>
      <c r="K136" s="128">
        <f t="shared" si="170"/>
        <v>8040000000</v>
      </c>
      <c r="L136" s="41">
        <f t="shared" ref="L136:Q136" si="320">+L132*20%</f>
        <v>878327919</v>
      </c>
      <c r="M136" s="41">
        <f t="shared" si="320"/>
        <v>651782512.4000001</v>
      </c>
      <c r="N136" s="41">
        <f t="shared" si="320"/>
        <v>309201758.19999999</v>
      </c>
      <c r="O136" s="41">
        <f t="shared" si="320"/>
        <v>447929615.40000004</v>
      </c>
      <c r="P136" s="41">
        <f t="shared" si="320"/>
        <v>489057151.60000002</v>
      </c>
      <c r="Q136" s="409">
        <f t="shared" si="320"/>
        <v>480830189</v>
      </c>
      <c r="R136" s="128">
        <f t="shared" si="178"/>
        <v>3257129145.5999999</v>
      </c>
      <c r="S136" s="41">
        <f t="shared" ref="S136:Z136" si="321">+S132*20%</f>
        <v>510558761.80000001</v>
      </c>
      <c r="T136" s="41">
        <f t="shared" si="321"/>
        <v>0</v>
      </c>
      <c r="U136" s="41">
        <f t="shared" si="321"/>
        <v>0</v>
      </c>
      <c r="V136" s="41">
        <f t="shared" si="321"/>
        <v>0</v>
      </c>
      <c r="W136" s="41">
        <f t="shared" si="321"/>
        <v>0</v>
      </c>
      <c r="X136" s="41">
        <f t="shared" si="321"/>
        <v>0</v>
      </c>
      <c r="Y136" s="41">
        <f t="shared" si="321"/>
        <v>0</v>
      </c>
      <c r="Z136" s="41">
        <f t="shared" si="321"/>
        <v>0</v>
      </c>
      <c r="AA136" s="128">
        <f t="shared" si="194"/>
        <v>510558761.80000001</v>
      </c>
      <c r="AB136" s="128">
        <f t="shared" si="180"/>
        <v>3767687907.4000001</v>
      </c>
      <c r="AC136" s="175">
        <f t="shared" si="181"/>
        <v>0.46861789893034828</v>
      </c>
    </row>
    <row r="137" spans="1:29" s="63" customFormat="1" ht="15.75" x14ac:dyDescent="0.2">
      <c r="A137" s="397">
        <v>1</v>
      </c>
      <c r="B137" s="81" t="s">
        <v>529</v>
      </c>
      <c r="C137" s="79" t="s">
        <v>530</v>
      </c>
      <c r="D137" s="333">
        <v>8800000000</v>
      </c>
      <c r="E137" s="187">
        <f>SUM('ADICIONES  2021'!C137:I137)</f>
        <v>0</v>
      </c>
      <c r="F137" s="78"/>
      <c r="G137" s="78"/>
      <c r="H137" s="78"/>
      <c r="I137" s="78"/>
      <c r="J137" s="78"/>
      <c r="K137" s="78">
        <f t="shared" si="170"/>
        <v>8800000000</v>
      </c>
      <c r="L137" s="78">
        <v>1072144804</v>
      </c>
      <c r="M137" s="78">
        <v>1316355883</v>
      </c>
      <c r="N137" s="78">
        <v>180962437</v>
      </c>
      <c r="O137" s="78">
        <v>755136673</v>
      </c>
      <c r="P137" s="78">
        <v>553999435</v>
      </c>
      <c r="Q137" s="408">
        <v>478615131</v>
      </c>
      <c r="R137" s="78">
        <f t="shared" si="178"/>
        <v>4357214363</v>
      </c>
      <c r="S137" s="78">
        <v>677705711</v>
      </c>
      <c r="T137" s="78"/>
      <c r="U137" s="78"/>
      <c r="V137" s="78"/>
      <c r="W137" s="78"/>
      <c r="X137" s="78"/>
      <c r="Y137" s="78"/>
      <c r="Z137" s="78"/>
      <c r="AA137" s="78">
        <f t="shared" si="194"/>
        <v>677705711</v>
      </c>
      <c r="AB137" s="78">
        <f t="shared" si="180"/>
        <v>5034920074</v>
      </c>
      <c r="AC137" s="174">
        <f t="shared" si="181"/>
        <v>0.57215000840909092</v>
      </c>
    </row>
    <row r="138" spans="1:29" ht="14.25" x14ac:dyDescent="0.2">
      <c r="B138" s="76" t="s">
        <v>531</v>
      </c>
      <c r="C138" s="77" t="s">
        <v>196</v>
      </c>
      <c r="D138" s="330">
        <f>+D137*60%</f>
        <v>5280000000</v>
      </c>
      <c r="E138" s="188">
        <f>SUM('ADICIONES  2021'!C138:I138)</f>
        <v>0</v>
      </c>
      <c r="F138" s="41">
        <f t="shared" ref="F138:J138" si="322">+F137*60%</f>
        <v>0</v>
      </c>
      <c r="G138" s="41">
        <f t="shared" si="322"/>
        <v>0</v>
      </c>
      <c r="H138" s="41">
        <f t="shared" si="322"/>
        <v>0</v>
      </c>
      <c r="I138" s="41">
        <f t="shared" si="322"/>
        <v>0</v>
      </c>
      <c r="J138" s="41">
        <f t="shared" si="322"/>
        <v>0</v>
      </c>
      <c r="K138" s="128">
        <f t="shared" si="170"/>
        <v>5280000000</v>
      </c>
      <c r="L138" s="41">
        <f t="shared" ref="L138:Q138" si="323">+L137*60%</f>
        <v>643286882.39999998</v>
      </c>
      <c r="M138" s="41">
        <f t="shared" si="323"/>
        <v>789813529.79999995</v>
      </c>
      <c r="N138" s="41">
        <f t="shared" si="323"/>
        <v>108577462.2</v>
      </c>
      <c r="O138" s="41">
        <f t="shared" si="323"/>
        <v>453082003.80000001</v>
      </c>
      <c r="P138" s="41">
        <f t="shared" si="323"/>
        <v>332399661</v>
      </c>
      <c r="Q138" s="409">
        <f t="shared" si="323"/>
        <v>287169078.59999996</v>
      </c>
      <c r="R138" s="128">
        <f t="shared" si="178"/>
        <v>2614328617.7999997</v>
      </c>
      <c r="S138" s="41">
        <f t="shared" ref="S138:Z138" si="324">+S137*60%</f>
        <v>406623426.59999996</v>
      </c>
      <c r="T138" s="41">
        <f t="shared" si="324"/>
        <v>0</v>
      </c>
      <c r="U138" s="41">
        <f t="shared" si="324"/>
        <v>0</v>
      </c>
      <c r="V138" s="41">
        <f t="shared" si="324"/>
        <v>0</v>
      </c>
      <c r="W138" s="41">
        <f t="shared" si="324"/>
        <v>0</v>
      </c>
      <c r="X138" s="41">
        <f t="shared" si="324"/>
        <v>0</v>
      </c>
      <c r="Y138" s="41">
        <f t="shared" si="324"/>
        <v>0</v>
      </c>
      <c r="Z138" s="41">
        <f t="shared" si="324"/>
        <v>0</v>
      </c>
      <c r="AA138" s="128">
        <f t="shared" si="194"/>
        <v>406623426.59999996</v>
      </c>
      <c r="AB138" s="128">
        <f t="shared" si="180"/>
        <v>3020952044.3999996</v>
      </c>
      <c r="AC138" s="175">
        <f t="shared" si="181"/>
        <v>0.5721500084090908</v>
      </c>
    </row>
    <row r="139" spans="1:29" ht="14.25" x14ac:dyDescent="0.2">
      <c r="B139" s="76" t="s">
        <v>532</v>
      </c>
      <c r="C139" s="77" t="s">
        <v>197</v>
      </c>
      <c r="D139" s="330">
        <f>+D137*20%</f>
        <v>1760000000</v>
      </c>
      <c r="E139" s="188">
        <f>SUM('ADICIONES  2021'!C139:I139)</f>
        <v>0</v>
      </c>
      <c r="F139" s="41">
        <f t="shared" ref="F139:J139" si="325">+F137*20%</f>
        <v>0</v>
      </c>
      <c r="G139" s="41">
        <f t="shared" si="325"/>
        <v>0</v>
      </c>
      <c r="H139" s="41">
        <f t="shared" si="325"/>
        <v>0</v>
      </c>
      <c r="I139" s="41">
        <f t="shared" si="325"/>
        <v>0</v>
      </c>
      <c r="J139" s="41">
        <f t="shared" si="325"/>
        <v>0</v>
      </c>
      <c r="K139" s="128">
        <f t="shared" si="170"/>
        <v>1760000000</v>
      </c>
      <c r="L139" s="41">
        <f t="shared" ref="L139:Q139" si="326">+L137*20%</f>
        <v>214428960.80000001</v>
      </c>
      <c r="M139" s="41">
        <f t="shared" si="326"/>
        <v>263271176.60000002</v>
      </c>
      <c r="N139" s="41">
        <f t="shared" si="326"/>
        <v>36192487.399999999</v>
      </c>
      <c r="O139" s="41">
        <f t="shared" si="326"/>
        <v>151027334.59999999</v>
      </c>
      <c r="P139" s="41">
        <f t="shared" si="326"/>
        <v>110799887</v>
      </c>
      <c r="Q139" s="409">
        <f t="shared" si="326"/>
        <v>95723026.200000003</v>
      </c>
      <c r="R139" s="128">
        <f t="shared" si="178"/>
        <v>871442872.60000002</v>
      </c>
      <c r="S139" s="41">
        <f t="shared" ref="S139:Z139" si="327">+S137*20%</f>
        <v>135541142.20000002</v>
      </c>
      <c r="T139" s="41">
        <f t="shared" si="327"/>
        <v>0</v>
      </c>
      <c r="U139" s="41">
        <f t="shared" si="327"/>
        <v>0</v>
      </c>
      <c r="V139" s="41">
        <f t="shared" si="327"/>
        <v>0</v>
      </c>
      <c r="W139" s="41">
        <f t="shared" si="327"/>
        <v>0</v>
      </c>
      <c r="X139" s="41">
        <f t="shared" si="327"/>
        <v>0</v>
      </c>
      <c r="Y139" s="41">
        <f t="shared" si="327"/>
        <v>0</v>
      </c>
      <c r="Z139" s="41">
        <f t="shared" si="327"/>
        <v>0</v>
      </c>
      <c r="AA139" s="128">
        <f t="shared" si="194"/>
        <v>135541142.20000002</v>
      </c>
      <c r="AB139" s="128">
        <f t="shared" si="180"/>
        <v>1006984014.8000001</v>
      </c>
      <c r="AC139" s="175">
        <f t="shared" si="181"/>
        <v>0.57215000840909092</v>
      </c>
    </row>
    <row r="140" spans="1:29" ht="28.5" x14ac:dyDescent="0.2">
      <c r="B140" s="76" t="s">
        <v>533</v>
      </c>
      <c r="C140" s="77" t="s">
        <v>198</v>
      </c>
      <c r="D140" s="330">
        <f>+D137*10%</f>
        <v>880000000</v>
      </c>
      <c r="E140" s="188">
        <f>SUM('ADICIONES  2021'!C140:I140)</f>
        <v>0</v>
      </c>
      <c r="F140" s="41">
        <f t="shared" ref="F140:J140" si="328">+F137*10%</f>
        <v>0</v>
      </c>
      <c r="G140" s="41">
        <f t="shared" si="328"/>
        <v>0</v>
      </c>
      <c r="H140" s="41">
        <f t="shared" si="328"/>
        <v>0</v>
      </c>
      <c r="I140" s="41">
        <f t="shared" si="328"/>
        <v>0</v>
      </c>
      <c r="J140" s="41">
        <f t="shared" si="328"/>
        <v>0</v>
      </c>
      <c r="K140" s="128">
        <f t="shared" ref="K140:K205" si="329">+D140+E140-F140+G140-H140</f>
        <v>880000000</v>
      </c>
      <c r="L140" s="41">
        <f t="shared" ref="L140:Q140" si="330">+L137*10%</f>
        <v>107214480.40000001</v>
      </c>
      <c r="M140" s="41">
        <f t="shared" si="330"/>
        <v>131635588.30000001</v>
      </c>
      <c r="N140" s="41">
        <f t="shared" si="330"/>
        <v>18096243.699999999</v>
      </c>
      <c r="O140" s="41">
        <f t="shared" si="330"/>
        <v>75513667.299999997</v>
      </c>
      <c r="P140" s="41">
        <f t="shared" si="330"/>
        <v>55399943.5</v>
      </c>
      <c r="Q140" s="409">
        <f t="shared" si="330"/>
        <v>47861513.100000001</v>
      </c>
      <c r="R140" s="128">
        <f t="shared" si="178"/>
        <v>435721436.30000001</v>
      </c>
      <c r="S140" s="41">
        <f t="shared" ref="S140:Z140" si="331">+S137*10%</f>
        <v>67770571.100000009</v>
      </c>
      <c r="T140" s="41">
        <f t="shared" si="331"/>
        <v>0</v>
      </c>
      <c r="U140" s="41">
        <f t="shared" si="331"/>
        <v>0</v>
      </c>
      <c r="V140" s="41">
        <f t="shared" si="331"/>
        <v>0</v>
      </c>
      <c r="W140" s="41">
        <f t="shared" si="331"/>
        <v>0</v>
      </c>
      <c r="X140" s="41">
        <f t="shared" si="331"/>
        <v>0</v>
      </c>
      <c r="Y140" s="41">
        <f t="shared" si="331"/>
        <v>0</v>
      </c>
      <c r="Z140" s="41">
        <f t="shared" si="331"/>
        <v>0</v>
      </c>
      <c r="AA140" s="128">
        <f t="shared" si="194"/>
        <v>67770571.100000009</v>
      </c>
      <c r="AB140" s="128">
        <f t="shared" si="180"/>
        <v>503492007.40000004</v>
      </c>
      <c r="AC140" s="175">
        <f t="shared" si="181"/>
        <v>0.57215000840909092</v>
      </c>
    </row>
    <row r="141" spans="1:29" ht="14.25" x14ac:dyDescent="0.2">
      <c r="B141" s="76" t="s">
        <v>534</v>
      </c>
      <c r="C141" s="77" t="s">
        <v>199</v>
      </c>
      <c r="D141" s="330">
        <f>+D137*10%</f>
        <v>880000000</v>
      </c>
      <c r="E141" s="188">
        <f>SUM('ADICIONES  2021'!C141:I141)</f>
        <v>0</v>
      </c>
      <c r="F141" s="41">
        <f t="shared" ref="F141:J141" si="332">+F137*10%</f>
        <v>0</v>
      </c>
      <c r="G141" s="41">
        <f t="shared" si="332"/>
        <v>0</v>
      </c>
      <c r="H141" s="41">
        <f t="shared" si="332"/>
        <v>0</v>
      </c>
      <c r="I141" s="41">
        <f t="shared" si="332"/>
        <v>0</v>
      </c>
      <c r="J141" s="41">
        <f t="shared" si="332"/>
        <v>0</v>
      </c>
      <c r="K141" s="128">
        <f t="shared" si="329"/>
        <v>880000000</v>
      </c>
      <c r="L141" s="41">
        <f t="shared" ref="L141:Q141" si="333">+L137*10%</f>
        <v>107214480.40000001</v>
      </c>
      <c r="M141" s="41">
        <f t="shared" si="333"/>
        <v>131635588.30000001</v>
      </c>
      <c r="N141" s="41">
        <f t="shared" si="333"/>
        <v>18096243.699999999</v>
      </c>
      <c r="O141" s="41">
        <f t="shared" si="333"/>
        <v>75513667.299999997</v>
      </c>
      <c r="P141" s="41">
        <f t="shared" si="333"/>
        <v>55399943.5</v>
      </c>
      <c r="Q141" s="409">
        <f t="shared" si="333"/>
        <v>47861513.100000001</v>
      </c>
      <c r="R141" s="128">
        <f t="shared" si="178"/>
        <v>435721436.30000001</v>
      </c>
      <c r="S141" s="41">
        <f t="shared" ref="S141:Z141" si="334">+S137*10%</f>
        <v>67770571.100000009</v>
      </c>
      <c r="T141" s="41">
        <f t="shared" si="334"/>
        <v>0</v>
      </c>
      <c r="U141" s="41">
        <f t="shared" si="334"/>
        <v>0</v>
      </c>
      <c r="V141" s="41">
        <f t="shared" si="334"/>
        <v>0</v>
      </c>
      <c r="W141" s="41">
        <f t="shared" si="334"/>
        <v>0</v>
      </c>
      <c r="X141" s="41">
        <f t="shared" si="334"/>
        <v>0</v>
      </c>
      <c r="Y141" s="41">
        <f t="shared" si="334"/>
        <v>0</v>
      </c>
      <c r="Z141" s="41">
        <f t="shared" si="334"/>
        <v>0</v>
      </c>
      <c r="AA141" s="128">
        <f t="shared" si="194"/>
        <v>67770571.100000009</v>
      </c>
      <c r="AB141" s="128">
        <f t="shared" si="180"/>
        <v>503492007.40000004</v>
      </c>
      <c r="AC141" s="175">
        <f t="shared" si="181"/>
        <v>0.57215000840909092</v>
      </c>
    </row>
    <row r="142" spans="1:29" s="214" customFormat="1" ht="19.5" x14ac:dyDescent="0.2">
      <c r="A142" s="211">
        <v>1</v>
      </c>
      <c r="B142" s="212" t="s">
        <v>535</v>
      </c>
      <c r="C142" s="213" t="s">
        <v>211</v>
      </c>
      <c r="D142" s="362">
        <f>+D143+D151+D181+D191+D219</f>
        <v>126759808818</v>
      </c>
      <c r="E142" s="306">
        <f>SUM('ADICIONES  2021'!C142:I142)</f>
        <v>0</v>
      </c>
      <c r="F142" s="217">
        <f t="shared" ref="F142:J142" si="335">+F143+F151+F181+F191+F219</f>
        <v>684211000</v>
      </c>
      <c r="G142" s="217">
        <f t="shared" si="335"/>
        <v>0</v>
      </c>
      <c r="H142" s="217">
        <f t="shared" si="335"/>
        <v>0</v>
      </c>
      <c r="I142" s="217">
        <f t="shared" si="335"/>
        <v>0</v>
      </c>
      <c r="J142" s="217">
        <f t="shared" si="335"/>
        <v>0</v>
      </c>
      <c r="K142" s="206">
        <f t="shared" si="329"/>
        <v>126075597818</v>
      </c>
      <c r="L142" s="217">
        <f t="shared" ref="L142:Q142" si="336">+L143+L151+L181+L191+L219</f>
        <v>11611011121.23</v>
      </c>
      <c r="M142" s="217">
        <f t="shared" si="336"/>
        <v>11444892605.289198</v>
      </c>
      <c r="N142" s="217">
        <f t="shared" si="336"/>
        <v>12783464575.609001</v>
      </c>
      <c r="O142" s="217">
        <f t="shared" si="336"/>
        <v>10109051680.16</v>
      </c>
      <c r="P142" s="217">
        <f t="shared" si="336"/>
        <v>11789187233.08</v>
      </c>
      <c r="Q142" s="412">
        <f t="shared" si="336"/>
        <v>13612527667.34</v>
      </c>
      <c r="R142" s="206">
        <f t="shared" ref="R142:R207" si="337">SUM(L142:Q142)</f>
        <v>71350134882.708191</v>
      </c>
      <c r="S142" s="217">
        <f t="shared" ref="S142:Z142" si="338">+S143+S151+S181+S191+S219</f>
        <v>13449465765.18</v>
      </c>
      <c r="T142" s="217">
        <f t="shared" si="338"/>
        <v>0</v>
      </c>
      <c r="U142" s="217">
        <f t="shared" si="338"/>
        <v>0</v>
      </c>
      <c r="V142" s="217">
        <f t="shared" si="338"/>
        <v>0</v>
      </c>
      <c r="W142" s="217">
        <f t="shared" si="338"/>
        <v>0</v>
      </c>
      <c r="X142" s="217">
        <f t="shared" si="338"/>
        <v>0</v>
      </c>
      <c r="Y142" s="217">
        <f t="shared" si="338"/>
        <v>0</v>
      </c>
      <c r="Z142" s="217">
        <f t="shared" si="338"/>
        <v>0</v>
      </c>
      <c r="AA142" s="206">
        <f t="shared" si="194"/>
        <v>13449465765.18</v>
      </c>
      <c r="AB142" s="206">
        <f t="shared" ref="AB142:AB207" si="339">+R142+AA142</f>
        <v>84799600647.888184</v>
      </c>
      <c r="AC142" s="207">
        <f t="shared" ref="AC142:AC210" si="340">+AB142/K142</f>
        <v>0.67260914971272279</v>
      </c>
    </row>
    <row r="143" spans="1:29" s="63" customFormat="1" ht="15.75" x14ac:dyDescent="0.2">
      <c r="A143" s="397">
        <v>1</v>
      </c>
      <c r="B143" s="81" t="s">
        <v>536</v>
      </c>
      <c r="C143" s="79" t="s">
        <v>537</v>
      </c>
      <c r="D143" s="329">
        <f>+D144+D146</f>
        <v>8172000000</v>
      </c>
      <c r="E143" s="187">
        <f>SUM('ADICIONES  2021'!C143:I143)</f>
        <v>0</v>
      </c>
      <c r="F143" s="223">
        <f t="shared" ref="F143:J143" si="341">+F144+F146</f>
        <v>0</v>
      </c>
      <c r="G143" s="223">
        <f t="shared" si="341"/>
        <v>0</v>
      </c>
      <c r="H143" s="223">
        <f t="shared" si="341"/>
        <v>0</v>
      </c>
      <c r="I143" s="223">
        <f t="shared" si="341"/>
        <v>0</v>
      </c>
      <c r="J143" s="223">
        <f t="shared" si="341"/>
        <v>0</v>
      </c>
      <c r="K143" s="78">
        <f t="shared" si="329"/>
        <v>8172000000</v>
      </c>
      <c r="L143" s="223">
        <f t="shared" ref="L143:Q143" si="342">+L144+L146</f>
        <v>1858044387</v>
      </c>
      <c r="M143" s="223">
        <f t="shared" si="342"/>
        <v>1217632339</v>
      </c>
      <c r="N143" s="223">
        <f t="shared" si="342"/>
        <v>941045921</v>
      </c>
      <c r="O143" s="223">
        <f t="shared" si="342"/>
        <v>857654243</v>
      </c>
      <c r="P143" s="223">
        <f t="shared" si="342"/>
        <v>1530632923</v>
      </c>
      <c r="Q143" s="407">
        <f t="shared" si="342"/>
        <v>969263781</v>
      </c>
      <c r="R143" s="78">
        <f t="shared" si="337"/>
        <v>7374273594</v>
      </c>
      <c r="S143" s="223">
        <f t="shared" ref="S143:Z143" si="343">+S144+S146</f>
        <v>1460676027.8499999</v>
      </c>
      <c r="T143" s="223">
        <f t="shared" si="343"/>
        <v>0</v>
      </c>
      <c r="U143" s="223">
        <f t="shared" si="343"/>
        <v>0</v>
      </c>
      <c r="V143" s="223">
        <f t="shared" si="343"/>
        <v>0</v>
      </c>
      <c r="W143" s="223">
        <f t="shared" si="343"/>
        <v>0</v>
      </c>
      <c r="X143" s="223">
        <f t="shared" si="343"/>
        <v>0</v>
      </c>
      <c r="Y143" s="223">
        <f t="shared" si="343"/>
        <v>0</v>
      </c>
      <c r="Z143" s="223">
        <f t="shared" si="343"/>
        <v>0</v>
      </c>
      <c r="AA143" s="78">
        <f t="shared" si="194"/>
        <v>1460676027.8499999</v>
      </c>
      <c r="AB143" s="78">
        <f t="shared" si="339"/>
        <v>8834949621.8500004</v>
      </c>
      <c r="AC143" s="174">
        <f t="shared" si="340"/>
        <v>1.0811245254344102</v>
      </c>
    </row>
    <row r="144" spans="1:29" s="63" customFormat="1" ht="15.75" x14ac:dyDescent="0.2">
      <c r="A144" s="397">
        <v>1</v>
      </c>
      <c r="B144" s="81" t="s">
        <v>538</v>
      </c>
      <c r="C144" s="79" t="s">
        <v>539</v>
      </c>
      <c r="D144" s="333">
        <v>850000000</v>
      </c>
      <c r="E144" s="187">
        <f>SUM('ADICIONES  2021'!C144:I144)</f>
        <v>0</v>
      </c>
      <c r="F144" s="78"/>
      <c r="G144" s="78"/>
      <c r="H144" s="78"/>
      <c r="I144" s="78"/>
      <c r="J144" s="78"/>
      <c r="K144" s="78">
        <f t="shared" si="329"/>
        <v>850000000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408">
        <v>0</v>
      </c>
      <c r="R144" s="78">
        <f t="shared" si="337"/>
        <v>0</v>
      </c>
      <c r="S144" s="78"/>
      <c r="T144" s="78"/>
      <c r="U144" s="78"/>
      <c r="V144" s="78"/>
      <c r="W144" s="78"/>
      <c r="X144" s="78"/>
      <c r="Y144" s="78"/>
      <c r="Z144" s="78"/>
      <c r="AA144" s="78">
        <f t="shared" si="194"/>
        <v>0</v>
      </c>
      <c r="AB144" s="78">
        <f t="shared" si="339"/>
        <v>0</v>
      </c>
      <c r="AC144" s="174">
        <f t="shared" si="340"/>
        <v>0</v>
      </c>
    </row>
    <row r="145" spans="1:29" ht="28.5" x14ac:dyDescent="0.2">
      <c r="B145" s="76" t="s">
        <v>540</v>
      </c>
      <c r="C145" s="77" t="s">
        <v>541</v>
      </c>
      <c r="D145" s="334">
        <f>+D144</f>
        <v>850000000</v>
      </c>
      <c r="E145" s="188">
        <f>SUM('ADICIONES  2021'!C145:I145)</f>
        <v>0</v>
      </c>
      <c r="F145" s="128">
        <f t="shared" ref="F145:J145" si="344">+F144</f>
        <v>0</v>
      </c>
      <c r="G145" s="128">
        <f t="shared" si="344"/>
        <v>0</v>
      </c>
      <c r="H145" s="128">
        <f t="shared" si="344"/>
        <v>0</v>
      </c>
      <c r="I145" s="128">
        <f t="shared" si="344"/>
        <v>0</v>
      </c>
      <c r="J145" s="128">
        <f t="shared" si="344"/>
        <v>0</v>
      </c>
      <c r="K145" s="128">
        <f t="shared" si="329"/>
        <v>850000000</v>
      </c>
      <c r="L145" s="128">
        <f>+L144</f>
        <v>0</v>
      </c>
      <c r="M145" s="128">
        <f t="shared" ref="M145:Q145" si="345">+M144</f>
        <v>0</v>
      </c>
      <c r="N145" s="128">
        <f t="shared" si="345"/>
        <v>0</v>
      </c>
      <c r="O145" s="128">
        <f t="shared" si="345"/>
        <v>0</v>
      </c>
      <c r="P145" s="128">
        <f t="shared" si="345"/>
        <v>0</v>
      </c>
      <c r="Q145" s="413">
        <f t="shared" si="345"/>
        <v>0</v>
      </c>
      <c r="R145" s="128">
        <f t="shared" si="337"/>
        <v>0</v>
      </c>
      <c r="S145" s="128">
        <f t="shared" ref="S145:Z145" si="346">+S144</f>
        <v>0</v>
      </c>
      <c r="T145" s="128">
        <f t="shared" si="346"/>
        <v>0</v>
      </c>
      <c r="U145" s="128">
        <f t="shared" si="346"/>
        <v>0</v>
      </c>
      <c r="V145" s="128">
        <f t="shared" si="346"/>
        <v>0</v>
      </c>
      <c r="W145" s="128">
        <f t="shared" si="346"/>
        <v>0</v>
      </c>
      <c r="X145" s="128">
        <f t="shared" si="346"/>
        <v>0</v>
      </c>
      <c r="Y145" s="128">
        <f t="shared" si="346"/>
        <v>0</v>
      </c>
      <c r="Z145" s="128">
        <f t="shared" si="346"/>
        <v>0</v>
      </c>
      <c r="AA145" s="128">
        <f t="shared" si="194"/>
        <v>0</v>
      </c>
      <c r="AB145" s="128">
        <f t="shared" si="339"/>
        <v>0</v>
      </c>
      <c r="AC145" s="175">
        <f t="shared" si="340"/>
        <v>0</v>
      </c>
    </row>
    <row r="146" spans="1:29" s="63" customFormat="1" ht="15.75" x14ac:dyDescent="0.2">
      <c r="A146" s="397">
        <v>1</v>
      </c>
      <c r="B146" s="81" t="s">
        <v>542</v>
      </c>
      <c r="C146" s="79" t="s">
        <v>543</v>
      </c>
      <c r="D146" s="329">
        <f>+D147+D150</f>
        <v>7322000000</v>
      </c>
      <c r="E146" s="187">
        <f>SUM('ADICIONES  2021'!C146:I146)</f>
        <v>0</v>
      </c>
      <c r="F146" s="223">
        <f t="shared" ref="F146:J146" si="347">+F147+F150</f>
        <v>0</v>
      </c>
      <c r="G146" s="223">
        <f t="shared" si="347"/>
        <v>0</v>
      </c>
      <c r="H146" s="223">
        <f t="shared" si="347"/>
        <v>0</v>
      </c>
      <c r="I146" s="223">
        <f t="shared" si="347"/>
        <v>0</v>
      </c>
      <c r="J146" s="223">
        <f t="shared" si="347"/>
        <v>0</v>
      </c>
      <c r="K146" s="78">
        <f t="shared" si="329"/>
        <v>7322000000</v>
      </c>
      <c r="L146" s="223">
        <f t="shared" ref="L146:Q146" si="348">+L147+L150</f>
        <v>1858044387</v>
      </c>
      <c r="M146" s="223">
        <f t="shared" si="348"/>
        <v>1217632339</v>
      </c>
      <c r="N146" s="223">
        <f t="shared" si="348"/>
        <v>941045921</v>
      </c>
      <c r="O146" s="223">
        <f t="shared" si="348"/>
        <v>857654243</v>
      </c>
      <c r="P146" s="223">
        <f t="shared" si="348"/>
        <v>1530632923</v>
      </c>
      <c r="Q146" s="407">
        <f t="shared" si="348"/>
        <v>969263781</v>
      </c>
      <c r="R146" s="78">
        <f t="shared" si="337"/>
        <v>7374273594</v>
      </c>
      <c r="S146" s="223">
        <f t="shared" ref="S146:Z146" si="349">+S147+S150</f>
        <v>1460676027.8499999</v>
      </c>
      <c r="T146" s="223">
        <f t="shared" si="349"/>
        <v>0</v>
      </c>
      <c r="U146" s="223">
        <f t="shared" si="349"/>
        <v>0</v>
      </c>
      <c r="V146" s="223">
        <f t="shared" si="349"/>
        <v>0</v>
      </c>
      <c r="W146" s="223">
        <f t="shared" si="349"/>
        <v>0</v>
      </c>
      <c r="X146" s="223">
        <f t="shared" si="349"/>
        <v>0</v>
      </c>
      <c r="Y146" s="223">
        <f t="shared" si="349"/>
        <v>0</v>
      </c>
      <c r="Z146" s="223">
        <f t="shared" si="349"/>
        <v>0</v>
      </c>
      <c r="AA146" s="78">
        <f t="shared" si="194"/>
        <v>1460676027.8499999</v>
      </c>
      <c r="AB146" s="78">
        <f t="shared" si="339"/>
        <v>8834949621.8500004</v>
      </c>
      <c r="AC146" s="174">
        <f t="shared" si="340"/>
        <v>1.2066306503482656</v>
      </c>
    </row>
    <row r="147" spans="1:29" s="63" customFormat="1" ht="15.75" x14ac:dyDescent="0.2">
      <c r="A147" s="397">
        <v>1</v>
      </c>
      <c r="B147" s="81" t="s">
        <v>544</v>
      </c>
      <c r="C147" s="79" t="s">
        <v>233</v>
      </c>
      <c r="D147" s="329">
        <f>SUM(D148:D149)</f>
        <v>42000000</v>
      </c>
      <c r="E147" s="187">
        <f>SUM('ADICIONES  2021'!C147:I147)</f>
        <v>0</v>
      </c>
      <c r="F147" s="223">
        <f>SUM(F148:F149)</f>
        <v>0</v>
      </c>
      <c r="G147" s="223">
        <f t="shared" ref="G147:J147" si="350">SUM(G148:G149)</f>
        <v>0</v>
      </c>
      <c r="H147" s="223">
        <f t="shared" si="350"/>
        <v>0</v>
      </c>
      <c r="I147" s="223">
        <f t="shared" si="350"/>
        <v>0</v>
      </c>
      <c r="J147" s="223">
        <f t="shared" si="350"/>
        <v>0</v>
      </c>
      <c r="K147" s="78">
        <f t="shared" si="329"/>
        <v>42000000</v>
      </c>
      <c r="L147" s="223">
        <f t="shared" ref="L147:Q147" si="351">SUM(L148:L149)</f>
        <v>241500</v>
      </c>
      <c r="M147" s="223">
        <f t="shared" si="351"/>
        <v>627900</v>
      </c>
      <c r="N147" s="223">
        <f t="shared" si="351"/>
        <v>710700</v>
      </c>
      <c r="O147" s="223">
        <f t="shared" si="351"/>
        <v>372600</v>
      </c>
      <c r="P147" s="223">
        <f t="shared" si="351"/>
        <v>351900</v>
      </c>
      <c r="Q147" s="407">
        <f t="shared" si="351"/>
        <v>400200</v>
      </c>
      <c r="R147" s="78">
        <f t="shared" si="337"/>
        <v>2704800</v>
      </c>
      <c r="S147" s="223">
        <f t="shared" ref="S147:Z147" si="352">SUM(S148:S149)</f>
        <v>21217796</v>
      </c>
      <c r="T147" s="223">
        <f t="shared" si="352"/>
        <v>0</v>
      </c>
      <c r="U147" s="223">
        <f t="shared" si="352"/>
        <v>0</v>
      </c>
      <c r="V147" s="223">
        <f t="shared" si="352"/>
        <v>0</v>
      </c>
      <c r="W147" s="223">
        <f t="shared" si="352"/>
        <v>0</v>
      </c>
      <c r="X147" s="223">
        <f t="shared" si="352"/>
        <v>0</v>
      </c>
      <c r="Y147" s="223">
        <f t="shared" si="352"/>
        <v>0</v>
      </c>
      <c r="Z147" s="223">
        <f t="shared" si="352"/>
        <v>0</v>
      </c>
      <c r="AA147" s="78">
        <f t="shared" ref="AA147:AA212" si="353">SUM(S147:Z147)</f>
        <v>21217796</v>
      </c>
      <c r="AB147" s="78">
        <f t="shared" si="339"/>
        <v>23922596</v>
      </c>
      <c r="AC147" s="174">
        <f t="shared" si="340"/>
        <v>0.56958561904761906</v>
      </c>
    </row>
    <row r="148" spans="1:29" ht="14.25" x14ac:dyDescent="0.2">
      <c r="B148" s="76" t="s">
        <v>545</v>
      </c>
      <c r="C148" s="77" t="s">
        <v>234</v>
      </c>
      <c r="D148" s="334">
        <v>42000000</v>
      </c>
      <c r="E148" s="188">
        <f>SUM('ADICIONES  2021'!C148:I148)</f>
        <v>0</v>
      </c>
      <c r="F148" s="128"/>
      <c r="G148" s="128"/>
      <c r="H148" s="128"/>
      <c r="I148" s="128"/>
      <c r="J148" s="128"/>
      <c r="K148" s="128">
        <f t="shared" si="329"/>
        <v>42000000</v>
      </c>
      <c r="L148" s="128">
        <v>241500</v>
      </c>
      <c r="M148" s="128">
        <v>627900</v>
      </c>
      <c r="N148" s="128">
        <v>710700</v>
      </c>
      <c r="O148" s="128">
        <v>372600</v>
      </c>
      <c r="P148" s="128">
        <v>351900</v>
      </c>
      <c r="Q148" s="413">
        <v>400200</v>
      </c>
      <c r="R148" s="128">
        <f t="shared" si="337"/>
        <v>2704800</v>
      </c>
      <c r="S148" s="128">
        <v>462300</v>
      </c>
      <c r="T148" s="128"/>
      <c r="U148" s="128"/>
      <c r="V148" s="128"/>
      <c r="W148" s="128"/>
      <c r="X148" s="128"/>
      <c r="Y148" s="128"/>
      <c r="Z148" s="128"/>
      <c r="AA148" s="128">
        <f t="shared" si="353"/>
        <v>462300</v>
      </c>
      <c r="AB148" s="128">
        <f t="shared" si="339"/>
        <v>3167100</v>
      </c>
      <c r="AC148" s="175">
        <f t="shared" si="340"/>
        <v>7.5407142857142853E-2</v>
      </c>
    </row>
    <row r="149" spans="1:29" ht="28.5" x14ac:dyDescent="0.2">
      <c r="B149" s="76" t="s">
        <v>546</v>
      </c>
      <c r="C149" s="77" t="s">
        <v>261</v>
      </c>
      <c r="D149" s="334">
        <v>0</v>
      </c>
      <c r="E149" s="188">
        <f>SUM('ADICIONES  2021'!C149:I149)</f>
        <v>0</v>
      </c>
      <c r="F149" s="128"/>
      <c r="G149" s="128"/>
      <c r="H149" s="128"/>
      <c r="I149" s="128"/>
      <c r="J149" s="128"/>
      <c r="K149" s="128">
        <f t="shared" si="329"/>
        <v>0</v>
      </c>
      <c r="L149" s="128">
        <v>0</v>
      </c>
      <c r="M149" s="128">
        <v>0</v>
      </c>
      <c r="N149" s="128">
        <v>0</v>
      </c>
      <c r="O149" s="128">
        <v>0</v>
      </c>
      <c r="P149" s="128">
        <v>0</v>
      </c>
      <c r="Q149" s="413">
        <v>0</v>
      </c>
      <c r="R149" s="128">
        <f t="shared" si="337"/>
        <v>0</v>
      </c>
      <c r="S149" s="128">
        <v>20755496</v>
      </c>
      <c r="T149" s="128"/>
      <c r="U149" s="128"/>
      <c r="V149" s="128"/>
      <c r="W149" s="128"/>
      <c r="X149" s="128"/>
      <c r="Y149" s="128"/>
      <c r="Z149" s="128"/>
      <c r="AA149" s="128">
        <f t="shared" si="353"/>
        <v>20755496</v>
      </c>
      <c r="AB149" s="128">
        <f t="shared" si="339"/>
        <v>20755496</v>
      </c>
      <c r="AC149" s="175">
        <v>0</v>
      </c>
    </row>
    <row r="150" spans="1:29" s="63" customFormat="1" ht="30" x14ac:dyDescent="0.2">
      <c r="A150" s="397">
        <v>1</v>
      </c>
      <c r="B150" s="81" t="s">
        <v>547</v>
      </c>
      <c r="C150" s="83" t="s">
        <v>548</v>
      </c>
      <c r="D150" s="333">
        <v>7280000000</v>
      </c>
      <c r="E150" s="187">
        <f>SUM('ADICIONES  2021'!C150:I150)</f>
        <v>0</v>
      </c>
      <c r="F150" s="78"/>
      <c r="G150" s="78"/>
      <c r="H150" s="78"/>
      <c r="I150" s="78"/>
      <c r="J150" s="78"/>
      <c r="K150" s="127">
        <f t="shared" si="329"/>
        <v>7280000000</v>
      </c>
      <c r="L150" s="126">
        <v>1857802887</v>
      </c>
      <c r="M150" s="78">
        <v>1217004439</v>
      </c>
      <c r="N150" s="78">
        <v>940335221</v>
      </c>
      <c r="O150" s="78">
        <v>857281643</v>
      </c>
      <c r="P150" s="78">
        <v>1530281023</v>
      </c>
      <c r="Q150" s="413">
        <v>968863581</v>
      </c>
      <c r="R150" s="127">
        <f t="shared" si="337"/>
        <v>7371568794</v>
      </c>
      <c r="S150" s="78">
        <v>1439458231.8499999</v>
      </c>
      <c r="T150" s="78"/>
      <c r="U150" s="78"/>
      <c r="V150" s="78"/>
      <c r="W150" s="78"/>
      <c r="X150" s="78"/>
      <c r="Y150" s="78"/>
      <c r="Z150" s="78"/>
      <c r="AA150" s="127">
        <f t="shared" si="353"/>
        <v>1439458231.8499999</v>
      </c>
      <c r="AB150" s="127">
        <f t="shared" si="339"/>
        <v>8811027025.8500004</v>
      </c>
      <c r="AC150" s="174">
        <f t="shared" si="340"/>
        <v>1.2103059101442308</v>
      </c>
    </row>
    <row r="151" spans="1:29" s="63" customFormat="1" ht="15.75" x14ac:dyDescent="0.2">
      <c r="A151" s="397">
        <v>1</v>
      </c>
      <c r="B151" s="81" t="s">
        <v>549</v>
      </c>
      <c r="C151" s="79" t="s">
        <v>550</v>
      </c>
      <c r="D151" s="329">
        <f>+D152+D167</f>
        <v>3265320000</v>
      </c>
      <c r="E151" s="188">
        <f>SUM('ADICIONES  2021'!C151:I151)</f>
        <v>0</v>
      </c>
      <c r="F151" s="223">
        <f t="shared" ref="F151:J151" si="354">+F152+F167</f>
        <v>0</v>
      </c>
      <c r="G151" s="223">
        <f t="shared" si="354"/>
        <v>0</v>
      </c>
      <c r="H151" s="223">
        <f t="shared" si="354"/>
        <v>0</v>
      </c>
      <c r="I151" s="223">
        <f t="shared" si="354"/>
        <v>0</v>
      </c>
      <c r="J151" s="223">
        <f t="shared" si="354"/>
        <v>0</v>
      </c>
      <c r="K151" s="78">
        <f t="shared" si="329"/>
        <v>3265320000</v>
      </c>
      <c r="L151" s="223">
        <f t="shared" ref="L151:Q151" si="355">+L152+L167</f>
        <v>1050363041</v>
      </c>
      <c r="M151" s="223">
        <f t="shared" si="355"/>
        <v>1883151455</v>
      </c>
      <c r="N151" s="223">
        <f t="shared" si="355"/>
        <v>1944774740</v>
      </c>
      <c r="O151" s="223">
        <f t="shared" si="355"/>
        <v>1643453298</v>
      </c>
      <c r="P151" s="223">
        <f t="shared" si="355"/>
        <v>1050611691</v>
      </c>
      <c r="Q151" s="407">
        <f t="shared" si="355"/>
        <v>2398628974</v>
      </c>
      <c r="R151" s="78">
        <f t="shared" si="337"/>
        <v>9970983199</v>
      </c>
      <c r="S151" s="223">
        <f t="shared" ref="S151:Z151" si="356">+S152+S167</f>
        <v>2242763792</v>
      </c>
      <c r="T151" s="223">
        <f t="shared" si="356"/>
        <v>0</v>
      </c>
      <c r="U151" s="223">
        <f t="shared" si="356"/>
        <v>0</v>
      </c>
      <c r="V151" s="223">
        <f t="shared" si="356"/>
        <v>0</v>
      </c>
      <c r="W151" s="223">
        <f t="shared" si="356"/>
        <v>0</v>
      </c>
      <c r="X151" s="223">
        <f t="shared" si="356"/>
        <v>0</v>
      </c>
      <c r="Y151" s="223">
        <f t="shared" si="356"/>
        <v>0</v>
      </c>
      <c r="Z151" s="223">
        <f t="shared" si="356"/>
        <v>0</v>
      </c>
      <c r="AA151" s="78">
        <f t="shared" si="353"/>
        <v>2242763792</v>
      </c>
      <c r="AB151" s="78">
        <f t="shared" si="339"/>
        <v>12213746991</v>
      </c>
      <c r="AC151" s="174">
        <f t="shared" si="340"/>
        <v>3.7404441191062436</v>
      </c>
    </row>
    <row r="152" spans="1:29" s="63" customFormat="1" ht="15.75" x14ac:dyDescent="0.2">
      <c r="A152" s="397"/>
      <c r="B152" s="81" t="s">
        <v>551</v>
      </c>
      <c r="C152" s="79" t="s">
        <v>552</v>
      </c>
      <c r="D152" s="329">
        <f>+D153</f>
        <v>1758320000</v>
      </c>
      <c r="E152" s="187">
        <f>SUM('ADICIONES  2021'!C152:I152)</f>
        <v>0</v>
      </c>
      <c r="F152" s="223">
        <f t="shared" ref="F152:J152" si="357">+F153</f>
        <v>0</v>
      </c>
      <c r="G152" s="223">
        <f t="shared" si="357"/>
        <v>0</v>
      </c>
      <c r="H152" s="223">
        <f t="shared" si="357"/>
        <v>0</v>
      </c>
      <c r="I152" s="223">
        <f t="shared" si="357"/>
        <v>0</v>
      </c>
      <c r="J152" s="223">
        <f t="shared" si="357"/>
        <v>0</v>
      </c>
      <c r="K152" s="78">
        <f t="shared" si="329"/>
        <v>1758320000</v>
      </c>
      <c r="L152" s="223">
        <f t="shared" ref="L152:Q152" si="358">+L153</f>
        <v>840156809</v>
      </c>
      <c r="M152" s="223">
        <f t="shared" si="358"/>
        <v>1330670530</v>
      </c>
      <c r="N152" s="223">
        <f t="shared" si="358"/>
        <v>1480652270</v>
      </c>
      <c r="O152" s="223">
        <f t="shared" si="358"/>
        <v>1191050969</v>
      </c>
      <c r="P152" s="223">
        <f t="shared" si="358"/>
        <v>755542453</v>
      </c>
      <c r="Q152" s="407">
        <f t="shared" si="358"/>
        <v>1878726274</v>
      </c>
      <c r="R152" s="78">
        <f t="shared" si="337"/>
        <v>7476799305</v>
      </c>
      <c r="S152" s="223">
        <f t="shared" ref="S152:Z152" si="359">+S153</f>
        <v>1816624660</v>
      </c>
      <c r="T152" s="223">
        <f t="shared" si="359"/>
        <v>0</v>
      </c>
      <c r="U152" s="223">
        <f t="shared" si="359"/>
        <v>0</v>
      </c>
      <c r="V152" s="223">
        <f t="shared" si="359"/>
        <v>0</v>
      </c>
      <c r="W152" s="223">
        <f t="shared" si="359"/>
        <v>0</v>
      </c>
      <c r="X152" s="223">
        <f t="shared" si="359"/>
        <v>0</v>
      </c>
      <c r="Y152" s="223">
        <f t="shared" si="359"/>
        <v>0</v>
      </c>
      <c r="Z152" s="223">
        <f t="shared" si="359"/>
        <v>0</v>
      </c>
      <c r="AA152" s="78">
        <f t="shared" si="353"/>
        <v>1816624660</v>
      </c>
      <c r="AB152" s="78">
        <f t="shared" si="339"/>
        <v>9293423965</v>
      </c>
      <c r="AC152" s="174">
        <f t="shared" si="340"/>
        <v>5.2853996798079983</v>
      </c>
    </row>
    <row r="153" spans="1:29" s="63" customFormat="1" ht="15.75" x14ac:dyDescent="0.2">
      <c r="A153" s="397"/>
      <c r="B153" s="81" t="s">
        <v>553</v>
      </c>
      <c r="C153" s="79" t="s">
        <v>554</v>
      </c>
      <c r="D153" s="329">
        <f>+D154+D161</f>
        <v>1758320000</v>
      </c>
      <c r="E153" s="187">
        <f>SUM('ADICIONES  2021'!C153:I153)</f>
        <v>0</v>
      </c>
      <c r="F153" s="223">
        <f t="shared" ref="F153:J153" si="360">+F154+F161</f>
        <v>0</v>
      </c>
      <c r="G153" s="223">
        <f t="shared" si="360"/>
        <v>0</v>
      </c>
      <c r="H153" s="223">
        <f t="shared" si="360"/>
        <v>0</v>
      </c>
      <c r="I153" s="223">
        <f t="shared" si="360"/>
        <v>0</v>
      </c>
      <c r="J153" s="223">
        <f t="shared" si="360"/>
        <v>0</v>
      </c>
      <c r="K153" s="78">
        <f t="shared" si="329"/>
        <v>1758320000</v>
      </c>
      <c r="L153" s="223">
        <f t="shared" ref="L153:Q153" si="361">+L154+L161</f>
        <v>840156809</v>
      </c>
      <c r="M153" s="223">
        <f t="shared" si="361"/>
        <v>1330670530</v>
      </c>
      <c r="N153" s="223">
        <f t="shared" si="361"/>
        <v>1480652270</v>
      </c>
      <c r="O153" s="223">
        <f t="shared" si="361"/>
        <v>1191050969</v>
      </c>
      <c r="P153" s="223">
        <f t="shared" si="361"/>
        <v>755542453</v>
      </c>
      <c r="Q153" s="407">
        <f t="shared" si="361"/>
        <v>1878726274</v>
      </c>
      <c r="R153" s="78">
        <f t="shared" si="337"/>
        <v>7476799305</v>
      </c>
      <c r="S153" s="223">
        <f t="shared" ref="S153:Z153" si="362">+S154+S161</f>
        <v>1816624660</v>
      </c>
      <c r="T153" s="223">
        <f t="shared" si="362"/>
        <v>0</v>
      </c>
      <c r="U153" s="223">
        <f t="shared" si="362"/>
        <v>0</v>
      </c>
      <c r="V153" s="223">
        <f t="shared" si="362"/>
        <v>0</v>
      </c>
      <c r="W153" s="223">
        <f t="shared" si="362"/>
        <v>0</v>
      </c>
      <c r="X153" s="223">
        <f t="shared" si="362"/>
        <v>0</v>
      </c>
      <c r="Y153" s="223">
        <f t="shared" si="362"/>
        <v>0</v>
      </c>
      <c r="Z153" s="223">
        <f t="shared" si="362"/>
        <v>0</v>
      </c>
      <c r="AA153" s="78">
        <f t="shared" si="353"/>
        <v>1816624660</v>
      </c>
      <c r="AB153" s="78">
        <f t="shared" si="339"/>
        <v>9293423965</v>
      </c>
      <c r="AC153" s="174">
        <f t="shared" si="340"/>
        <v>5.2853996798079983</v>
      </c>
    </row>
    <row r="154" spans="1:29" s="63" customFormat="1" ht="30" x14ac:dyDescent="0.2">
      <c r="A154" s="397">
        <v>1</v>
      </c>
      <c r="B154" s="81" t="s">
        <v>555</v>
      </c>
      <c r="C154" s="194" t="s">
        <v>222</v>
      </c>
      <c r="D154" s="329">
        <v>1750000000</v>
      </c>
      <c r="E154" s="187">
        <f>SUM('ADICIONES  2021'!C154:I154)</f>
        <v>0</v>
      </c>
      <c r="F154" s="78"/>
      <c r="G154" s="78"/>
      <c r="H154" s="78"/>
      <c r="I154" s="78"/>
      <c r="J154" s="78"/>
      <c r="K154" s="78">
        <f t="shared" si="329"/>
        <v>1750000000</v>
      </c>
      <c r="L154" s="78">
        <v>840156809</v>
      </c>
      <c r="M154" s="78">
        <v>1330670530</v>
      </c>
      <c r="N154" s="78">
        <v>1480652270</v>
      </c>
      <c r="O154" s="78">
        <v>1191050969</v>
      </c>
      <c r="P154" s="78">
        <v>755542453</v>
      </c>
      <c r="Q154" s="408">
        <v>1878726274</v>
      </c>
      <c r="R154" s="78">
        <f t="shared" si="337"/>
        <v>7476799305</v>
      </c>
      <c r="S154" s="78">
        <v>1816624660</v>
      </c>
      <c r="T154" s="78"/>
      <c r="U154" s="78"/>
      <c r="V154" s="78"/>
      <c r="W154" s="78"/>
      <c r="X154" s="78"/>
      <c r="Y154" s="78"/>
      <c r="Z154" s="78"/>
      <c r="AA154" s="78">
        <f t="shared" si="353"/>
        <v>1816624660</v>
      </c>
      <c r="AB154" s="78">
        <f t="shared" si="339"/>
        <v>9293423965</v>
      </c>
      <c r="AC154" s="174">
        <f t="shared" si="340"/>
        <v>5.3105279799999998</v>
      </c>
    </row>
    <row r="155" spans="1:29" ht="42.75" x14ac:dyDescent="0.2">
      <c r="B155" s="76" t="s">
        <v>556</v>
      </c>
      <c r="C155" s="77" t="s">
        <v>223</v>
      </c>
      <c r="D155" s="330">
        <f>+D154*69.7845456%</f>
        <v>1221229548</v>
      </c>
      <c r="E155" s="188">
        <f>SUM('ADICIONES  2021'!C155:I155)</f>
        <v>0</v>
      </c>
      <c r="F155" s="41">
        <f t="shared" ref="F155:J155" si="363">+F154*69.7845456%</f>
        <v>0</v>
      </c>
      <c r="G155" s="41">
        <f t="shared" si="363"/>
        <v>0</v>
      </c>
      <c r="H155" s="41">
        <f t="shared" si="363"/>
        <v>0</v>
      </c>
      <c r="I155" s="41">
        <f t="shared" si="363"/>
        <v>0</v>
      </c>
      <c r="J155" s="41">
        <f t="shared" si="363"/>
        <v>0</v>
      </c>
      <c r="K155" s="128">
        <f t="shared" si="329"/>
        <v>1221229548</v>
      </c>
      <c r="L155" s="41">
        <f t="shared" ref="L155:Q155" si="364">+L154*69.7845456%</f>
        <v>586299611.48810995</v>
      </c>
      <c r="M155" s="41">
        <f t="shared" si="364"/>
        <v>928602382.79361176</v>
      </c>
      <c r="N155" s="41">
        <f t="shared" si="364"/>
        <v>1033266458.5355852</v>
      </c>
      <c r="O155" s="41">
        <f t="shared" si="364"/>
        <v>831169506.58104694</v>
      </c>
      <c r="P155" s="41">
        <f t="shared" si="364"/>
        <v>527251867.64114362</v>
      </c>
      <c r="Q155" s="409">
        <f t="shared" si="364"/>
        <v>1311060593.378711</v>
      </c>
      <c r="R155" s="128">
        <f t="shared" si="337"/>
        <v>5217650420.4182081</v>
      </c>
      <c r="S155" s="41">
        <f t="shared" ref="S155:Z155" si="365">+S154*69.7845456%</f>
        <v>1267723264.2385449</v>
      </c>
      <c r="T155" s="41">
        <f t="shared" si="365"/>
        <v>0</v>
      </c>
      <c r="U155" s="41">
        <f t="shared" si="365"/>
        <v>0</v>
      </c>
      <c r="V155" s="41">
        <f t="shared" si="365"/>
        <v>0</v>
      </c>
      <c r="W155" s="41">
        <f t="shared" si="365"/>
        <v>0</v>
      </c>
      <c r="X155" s="41">
        <f t="shared" si="365"/>
        <v>0</v>
      </c>
      <c r="Y155" s="41">
        <f t="shared" si="365"/>
        <v>0</v>
      </c>
      <c r="Z155" s="41">
        <f t="shared" si="365"/>
        <v>0</v>
      </c>
      <c r="AA155" s="128">
        <f t="shared" si="353"/>
        <v>1267723264.2385449</v>
      </c>
      <c r="AB155" s="128">
        <f t="shared" si="339"/>
        <v>6485373684.6567535</v>
      </c>
      <c r="AC155" s="175">
        <f t="shared" si="340"/>
        <v>5.3105279800000007</v>
      </c>
    </row>
    <row r="156" spans="1:29" ht="28.5" x14ac:dyDescent="0.2">
      <c r="B156" s="76" t="s">
        <v>557</v>
      </c>
      <c r="C156" s="77" t="s">
        <v>224</v>
      </c>
      <c r="D156" s="330">
        <f>+D154*0.08%</f>
        <v>1400000</v>
      </c>
      <c r="E156" s="188">
        <f>SUM('ADICIONES  2021'!C156:I156)</f>
        <v>0</v>
      </c>
      <c r="F156" s="41">
        <f t="shared" ref="F156:J156" si="366">+F154*0.08%</f>
        <v>0</v>
      </c>
      <c r="G156" s="41">
        <f t="shared" si="366"/>
        <v>0</v>
      </c>
      <c r="H156" s="41">
        <f t="shared" si="366"/>
        <v>0</v>
      </c>
      <c r="I156" s="41">
        <f t="shared" si="366"/>
        <v>0</v>
      </c>
      <c r="J156" s="41">
        <f t="shared" si="366"/>
        <v>0</v>
      </c>
      <c r="K156" s="128">
        <f t="shared" si="329"/>
        <v>1400000</v>
      </c>
      <c r="L156" s="41">
        <f t="shared" ref="L156:Q156" si="367">+L154*0.08%</f>
        <v>672125.44720000005</v>
      </c>
      <c r="M156" s="41">
        <f t="shared" si="367"/>
        <v>1064536.4240000001</v>
      </c>
      <c r="N156" s="41">
        <f t="shared" si="367"/>
        <v>1184521.8160000001</v>
      </c>
      <c r="O156" s="41">
        <f t="shared" si="367"/>
        <v>952840.77520000003</v>
      </c>
      <c r="P156" s="41">
        <f t="shared" si="367"/>
        <v>604433.96240000008</v>
      </c>
      <c r="Q156" s="409">
        <f t="shared" si="367"/>
        <v>1502981.0192</v>
      </c>
      <c r="R156" s="128">
        <f t="shared" si="337"/>
        <v>5981439.4440000011</v>
      </c>
      <c r="S156" s="41">
        <f t="shared" ref="S156:Z156" si="368">+S154*0.08%</f>
        <v>1453299.7280000001</v>
      </c>
      <c r="T156" s="41">
        <f t="shared" si="368"/>
        <v>0</v>
      </c>
      <c r="U156" s="41">
        <f t="shared" si="368"/>
        <v>0</v>
      </c>
      <c r="V156" s="41">
        <f t="shared" si="368"/>
        <v>0</v>
      </c>
      <c r="W156" s="41">
        <f t="shared" si="368"/>
        <v>0</v>
      </c>
      <c r="X156" s="41">
        <f t="shared" si="368"/>
        <v>0</v>
      </c>
      <c r="Y156" s="41">
        <f t="shared" si="368"/>
        <v>0</v>
      </c>
      <c r="Z156" s="41">
        <f t="shared" si="368"/>
        <v>0</v>
      </c>
      <c r="AA156" s="128">
        <f t="shared" si="353"/>
        <v>1453299.7280000001</v>
      </c>
      <c r="AB156" s="128">
        <f t="shared" si="339"/>
        <v>7434739.1720000012</v>
      </c>
      <c r="AC156" s="175">
        <f t="shared" si="340"/>
        <v>5.3105279800000007</v>
      </c>
    </row>
    <row r="157" spans="1:29" ht="28.5" x14ac:dyDescent="0.2">
      <c r="B157" s="76" t="s">
        <v>558</v>
      </c>
      <c r="C157" s="77" t="s">
        <v>225</v>
      </c>
      <c r="D157" s="330">
        <f>+D154*7.992%</f>
        <v>139860000</v>
      </c>
      <c r="E157" s="188">
        <f>SUM('ADICIONES  2021'!C157:I157)</f>
        <v>0</v>
      </c>
      <c r="F157" s="41">
        <f t="shared" ref="F157:J157" si="369">+F154*7.992%</f>
        <v>0</v>
      </c>
      <c r="G157" s="41">
        <f t="shared" si="369"/>
        <v>0</v>
      </c>
      <c r="H157" s="41">
        <f t="shared" si="369"/>
        <v>0</v>
      </c>
      <c r="I157" s="41">
        <f t="shared" si="369"/>
        <v>0</v>
      </c>
      <c r="J157" s="41">
        <f t="shared" si="369"/>
        <v>0</v>
      </c>
      <c r="K157" s="128">
        <f t="shared" si="329"/>
        <v>139860000</v>
      </c>
      <c r="L157" s="41">
        <f t="shared" ref="L157:Q157" si="370">+L154*7.992%</f>
        <v>67145332.175280005</v>
      </c>
      <c r="M157" s="41">
        <f t="shared" si="370"/>
        <v>106347188.75760001</v>
      </c>
      <c r="N157" s="41">
        <f t="shared" si="370"/>
        <v>118333729.4184</v>
      </c>
      <c r="O157" s="41">
        <f t="shared" si="370"/>
        <v>95188793.442480013</v>
      </c>
      <c r="P157" s="41">
        <f t="shared" si="370"/>
        <v>60382952.843760006</v>
      </c>
      <c r="Q157" s="409">
        <f t="shared" si="370"/>
        <v>150147803.81808001</v>
      </c>
      <c r="R157" s="128">
        <f t="shared" si="337"/>
        <v>597545800.45560002</v>
      </c>
      <c r="S157" s="41">
        <f t="shared" ref="S157:Z157" si="371">+S154*7.992%</f>
        <v>145184642.8272</v>
      </c>
      <c r="T157" s="41">
        <f t="shared" si="371"/>
        <v>0</v>
      </c>
      <c r="U157" s="41">
        <f t="shared" si="371"/>
        <v>0</v>
      </c>
      <c r="V157" s="41">
        <f t="shared" si="371"/>
        <v>0</v>
      </c>
      <c r="W157" s="41">
        <f t="shared" si="371"/>
        <v>0</v>
      </c>
      <c r="X157" s="41">
        <f t="shared" si="371"/>
        <v>0</v>
      </c>
      <c r="Y157" s="41">
        <f t="shared" si="371"/>
        <v>0</v>
      </c>
      <c r="Z157" s="41">
        <f t="shared" si="371"/>
        <v>0</v>
      </c>
      <c r="AA157" s="128">
        <f t="shared" si="353"/>
        <v>145184642.8272</v>
      </c>
      <c r="AB157" s="128">
        <f t="shared" si="339"/>
        <v>742730443.28279996</v>
      </c>
      <c r="AC157" s="175">
        <f t="shared" si="340"/>
        <v>5.3105279799999998</v>
      </c>
    </row>
    <row r="158" spans="1:29" ht="28.5" x14ac:dyDescent="0.2">
      <c r="B158" s="76" t="s">
        <v>559</v>
      </c>
      <c r="C158" s="77" t="s">
        <v>226</v>
      </c>
      <c r="D158" s="330">
        <f>+D154*1.43856%</f>
        <v>25174800</v>
      </c>
      <c r="E158" s="188">
        <f>SUM('ADICIONES  2021'!C158:I158)</f>
        <v>0</v>
      </c>
      <c r="F158" s="41">
        <f t="shared" ref="F158:J158" si="372">+F154*1.43856%</f>
        <v>0</v>
      </c>
      <c r="G158" s="41">
        <f t="shared" si="372"/>
        <v>0</v>
      </c>
      <c r="H158" s="41">
        <f t="shared" si="372"/>
        <v>0</v>
      </c>
      <c r="I158" s="41">
        <f t="shared" si="372"/>
        <v>0</v>
      </c>
      <c r="J158" s="41">
        <f t="shared" si="372"/>
        <v>0</v>
      </c>
      <c r="K158" s="128">
        <f t="shared" si="329"/>
        <v>25174800</v>
      </c>
      <c r="L158" s="41">
        <f t="shared" ref="L158:Q158" si="373">+L154*1.43856%</f>
        <v>12086159.7915504</v>
      </c>
      <c r="M158" s="41">
        <f t="shared" si="373"/>
        <v>19142493.976367999</v>
      </c>
      <c r="N158" s="41">
        <f t="shared" si="373"/>
        <v>21300071.295311999</v>
      </c>
      <c r="O158" s="41">
        <f t="shared" si="373"/>
        <v>17133982.819646399</v>
      </c>
      <c r="P158" s="41">
        <f t="shared" si="373"/>
        <v>10868931.511876799</v>
      </c>
      <c r="Q158" s="409">
        <f t="shared" si="373"/>
        <v>27026604.687254399</v>
      </c>
      <c r="R158" s="128">
        <f t="shared" si="337"/>
        <v>107558244.082008</v>
      </c>
      <c r="S158" s="41">
        <f t="shared" ref="S158:Z158" si="374">+S154*1.43856%</f>
        <v>26133235.708896</v>
      </c>
      <c r="T158" s="41">
        <f t="shared" si="374"/>
        <v>0</v>
      </c>
      <c r="U158" s="41">
        <f t="shared" si="374"/>
        <v>0</v>
      </c>
      <c r="V158" s="41">
        <f t="shared" si="374"/>
        <v>0</v>
      </c>
      <c r="W158" s="41">
        <f t="shared" si="374"/>
        <v>0</v>
      </c>
      <c r="X158" s="41">
        <f t="shared" si="374"/>
        <v>0</v>
      </c>
      <c r="Y158" s="41">
        <f t="shared" si="374"/>
        <v>0</v>
      </c>
      <c r="Z158" s="41">
        <f t="shared" si="374"/>
        <v>0</v>
      </c>
      <c r="AA158" s="128">
        <f t="shared" si="353"/>
        <v>26133235.708896</v>
      </c>
      <c r="AB158" s="128">
        <f t="shared" si="339"/>
        <v>133691479.790904</v>
      </c>
      <c r="AC158" s="175">
        <f t="shared" si="340"/>
        <v>5.3105279799999998</v>
      </c>
    </row>
    <row r="159" spans="1:29" ht="42.75" x14ac:dyDescent="0.2">
      <c r="B159" s="76" t="s">
        <v>560</v>
      </c>
      <c r="C159" s="77" t="s">
        <v>227</v>
      </c>
      <c r="D159" s="330">
        <f>+D154*0.7048944%</f>
        <v>12335652.000000002</v>
      </c>
      <c r="E159" s="188">
        <f>SUM('ADICIONES  2021'!C159:I159)</f>
        <v>0</v>
      </c>
      <c r="F159" s="41">
        <f t="shared" ref="F159:J159" si="375">+F154*0.7048944%</f>
        <v>0</v>
      </c>
      <c r="G159" s="41">
        <f t="shared" si="375"/>
        <v>0</v>
      </c>
      <c r="H159" s="41">
        <f t="shared" si="375"/>
        <v>0</v>
      </c>
      <c r="I159" s="41">
        <f t="shared" si="375"/>
        <v>0</v>
      </c>
      <c r="J159" s="41">
        <f t="shared" si="375"/>
        <v>0</v>
      </c>
      <c r="K159" s="128">
        <f t="shared" si="329"/>
        <v>12335652.000000002</v>
      </c>
      <c r="L159" s="41">
        <f t="shared" ref="L159:Q159" si="376">+L154*0.7048944%</f>
        <v>5922218.2978596967</v>
      </c>
      <c r="M159" s="41">
        <f t="shared" si="376"/>
        <v>9379822.0484203212</v>
      </c>
      <c r="N159" s="41">
        <f t="shared" si="376"/>
        <v>10437034.934702881</v>
      </c>
      <c r="O159" s="41">
        <f t="shared" si="376"/>
        <v>8395651.5816267375</v>
      </c>
      <c r="P159" s="41">
        <f t="shared" si="376"/>
        <v>5325776.4408196323</v>
      </c>
      <c r="Q159" s="409">
        <f t="shared" si="376"/>
        <v>13243036.296754656</v>
      </c>
      <c r="R159" s="128">
        <f t="shared" si="337"/>
        <v>52703539.600183919</v>
      </c>
      <c r="S159" s="41">
        <f t="shared" ref="S159:Z159" si="377">+S154*0.7048944%</f>
        <v>12805285.497359041</v>
      </c>
      <c r="T159" s="41">
        <f t="shared" si="377"/>
        <v>0</v>
      </c>
      <c r="U159" s="41">
        <f t="shared" si="377"/>
        <v>0</v>
      </c>
      <c r="V159" s="41">
        <f t="shared" si="377"/>
        <v>0</v>
      </c>
      <c r="W159" s="41">
        <f t="shared" si="377"/>
        <v>0</v>
      </c>
      <c r="X159" s="41">
        <f t="shared" si="377"/>
        <v>0</v>
      </c>
      <c r="Y159" s="41">
        <f t="shared" si="377"/>
        <v>0</v>
      </c>
      <c r="Z159" s="41">
        <f t="shared" si="377"/>
        <v>0</v>
      </c>
      <c r="AA159" s="128">
        <f t="shared" si="353"/>
        <v>12805285.497359041</v>
      </c>
      <c r="AB159" s="128">
        <f t="shared" si="339"/>
        <v>65508825.097542956</v>
      </c>
      <c r="AC159" s="175">
        <f t="shared" si="340"/>
        <v>5.3105279799999989</v>
      </c>
    </row>
    <row r="160" spans="1:29" ht="28.5" x14ac:dyDescent="0.2">
      <c r="B160" s="76" t="s">
        <v>561</v>
      </c>
      <c r="C160" s="77" t="s">
        <v>562</v>
      </c>
      <c r="D160" s="331">
        <f>+D154*20%</f>
        <v>350000000</v>
      </c>
      <c r="E160" s="188">
        <f>SUM('ADICIONES  2021'!C160:I160)</f>
        <v>0</v>
      </c>
      <c r="F160" s="218">
        <f t="shared" ref="F160:J160" si="378">+F154*20%</f>
        <v>0</v>
      </c>
      <c r="G160" s="218">
        <f t="shared" si="378"/>
        <v>0</v>
      </c>
      <c r="H160" s="218">
        <f t="shared" si="378"/>
        <v>0</v>
      </c>
      <c r="I160" s="218">
        <f t="shared" si="378"/>
        <v>0</v>
      </c>
      <c r="J160" s="218">
        <f t="shared" si="378"/>
        <v>0</v>
      </c>
      <c r="K160" s="128">
        <f t="shared" si="329"/>
        <v>350000000</v>
      </c>
      <c r="L160" s="218">
        <f t="shared" ref="L160:Q160" si="379">+L154*20%</f>
        <v>168031361.80000001</v>
      </c>
      <c r="M160" s="218">
        <f t="shared" si="379"/>
        <v>266134106</v>
      </c>
      <c r="N160" s="218">
        <f t="shared" si="379"/>
        <v>296130454</v>
      </c>
      <c r="O160" s="218">
        <f t="shared" si="379"/>
        <v>238210193.80000001</v>
      </c>
      <c r="P160" s="218">
        <f t="shared" si="379"/>
        <v>151108490.59999999</v>
      </c>
      <c r="Q160" s="410">
        <f t="shared" si="379"/>
        <v>375745254.80000001</v>
      </c>
      <c r="R160" s="128">
        <f t="shared" si="337"/>
        <v>1495359860.9999998</v>
      </c>
      <c r="S160" s="218">
        <f t="shared" ref="S160:Z160" si="380">+S154*20%</f>
        <v>363324932</v>
      </c>
      <c r="T160" s="218">
        <f t="shared" si="380"/>
        <v>0</v>
      </c>
      <c r="U160" s="218">
        <f t="shared" si="380"/>
        <v>0</v>
      </c>
      <c r="V160" s="218">
        <f t="shared" si="380"/>
        <v>0</v>
      </c>
      <c r="W160" s="218">
        <f t="shared" si="380"/>
        <v>0</v>
      </c>
      <c r="X160" s="218">
        <f t="shared" si="380"/>
        <v>0</v>
      </c>
      <c r="Y160" s="218">
        <f t="shared" si="380"/>
        <v>0</v>
      </c>
      <c r="Z160" s="218">
        <f t="shared" si="380"/>
        <v>0</v>
      </c>
      <c r="AA160" s="128">
        <f t="shared" si="353"/>
        <v>363324932</v>
      </c>
      <c r="AB160" s="128">
        <f t="shared" si="339"/>
        <v>1858684792.9999998</v>
      </c>
      <c r="AC160" s="175">
        <f t="shared" si="340"/>
        <v>5.3105279799999989</v>
      </c>
    </row>
    <row r="161" spans="1:29" s="63" customFormat="1" ht="15.75" x14ac:dyDescent="0.2">
      <c r="A161" s="397">
        <v>1</v>
      </c>
      <c r="B161" s="81" t="s">
        <v>563</v>
      </c>
      <c r="C161" s="194" t="s">
        <v>564</v>
      </c>
      <c r="D161" s="333">
        <v>8320000</v>
      </c>
      <c r="E161" s="187">
        <f>SUM('ADICIONES  2021'!C161:I161)</f>
        <v>0</v>
      </c>
      <c r="F161" s="78"/>
      <c r="G161" s="78"/>
      <c r="H161" s="78"/>
      <c r="I161" s="78"/>
      <c r="J161" s="78"/>
      <c r="K161" s="78">
        <f t="shared" si="329"/>
        <v>8320000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408">
        <v>0</v>
      </c>
      <c r="R161" s="78">
        <f t="shared" si="337"/>
        <v>0</v>
      </c>
      <c r="S161" s="78">
        <v>0</v>
      </c>
      <c r="T161" s="78"/>
      <c r="U161" s="78"/>
      <c r="V161" s="78"/>
      <c r="W161" s="78"/>
      <c r="X161" s="78"/>
      <c r="Y161" s="78"/>
      <c r="Z161" s="78"/>
      <c r="AA161" s="78">
        <f t="shared" si="353"/>
        <v>0</v>
      </c>
      <c r="AB161" s="78">
        <f t="shared" si="339"/>
        <v>0</v>
      </c>
      <c r="AC161" s="174">
        <f t="shared" si="340"/>
        <v>0</v>
      </c>
    </row>
    <row r="162" spans="1:29" ht="42.75" x14ac:dyDescent="0.2">
      <c r="B162" s="76" t="s">
        <v>565</v>
      </c>
      <c r="C162" s="77" t="s">
        <v>228</v>
      </c>
      <c r="D162" s="330">
        <f>+D161*87.230682%</f>
        <v>7257592.7423999999</v>
      </c>
      <c r="E162" s="188">
        <f>SUM('ADICIONES  2021'!C162:I162)</f>
        <v>0</v>
      </c>
      <c r="F162" s="41">
        <f t="shared" ref="F162:J162" si="381">+F161*87.230682%</f>
        <v>0</v>
      </c>
      <c r="G162" s="41">
        <f t="shared" si="381"/>
        <v>0</v>
      </c>
      <c r="H162" s="41">
        <f t="shared" si="381"/>
        <v>0</v>
      </c>
      <c r="I162" s="41">
        <f t="shared" si="381"/>
        <v>0</v>
      </c>
      <c r="J162" s="41">
        <f t="shared" si="381"/>
        <v>0</v>
      </c>
      <c r="K162" s="128">
        <f t="shared" si="329"/>
        <v>7257592.7423999999</v>
      </c>
      <c r="L162" s="41">
        <f t="shared" ref="L162:Q162" si="382">+L161*87.230682%</f>
        <v>0</v>
      </c>
      <c r="M162" s="41">
        <f t="shared" si="382"/>
        <v>0</v>
      </c>
      <c r="N162" s="41">
        <f t="shared" si="382"/>
        <v>0</v>
      </c>
      <c r="O162" s="41">
        <f t="shared" si="382"/>
        <v>0</v>
      </c>
      <c r="P162" s="41">
        <f t="shared" si="382"/>
        <v>0</v>
      </c>
      <c r="Q162" s="409">
        <f t="shared" si="382"/>
        <v>0</v>
      </c>
      <c r="R162" s="128">
        <f t="shared" si="337"/>
        <v>0</v>
      </c>
      <c r="S162" s="41">
        <f t="shared" ref="S162:Z162" si="383">+S161*87.230682%</f>
        <v>0</v>
      </c>
      <c r="T162" s="41">
        <f t="shared" si="383"/>
        <v>0</v>
      </c>
      <c r="U162" s="41">
        <f t="shared" si="383"/>
        <v>0</v>
      </c>
      <c r="V162" s="41">
        <f t="shared" si="383"/>
        <v>0</v>
      </c>
      <c r="W162" s="41">
        <f t="shared" si="383"/>
        <v>0</v>
      </c>
      <c r="X162" s="41">
        <f t="shared" si="383"/>
        <v>0</v>
      </c>
      <c r="Y162" s="41">
        <f t="shared" si="383"/>
        <v>0</v>
      </c>
      <c r="Z162" s="41">
        <f t="shared" si="383"/>
        <v>0</v>
      </c>
      <c r="AA162" s="128">
        <f t="shared" si="353"/>
        <v>0</v>
      </c>
      <c r="AB162" s="128">
        <f t="shared" si="339"/>
        <v>0</v>
      </c>
      <c r="AC162" s="175">
        <f t="shared" si="340"/>
        <v>0</v>
      </c>
    </row>
    <row r="163" spans="1:29" ht="28.5" x14ac:dyDescent="0.2">
      <c r="B163" s="76" t="s">
        <v>566</v>
      </c>
      <c r="C163" s="77" t="s">
        <v>229</v>
      </c>
      <c r="D163" s="330">
        <f>+D161*0.1%</f>
        <v>8320</v>
      </c>
      <c r="E163" s="188">
        <f>SUM('ADICIONES  2021'!C163:I163)</f>
        <v>0</v>
      </c>
      <c r="F163" s="41">
        <f t="shared" ref="F163:J163" si="384">+F161*0.1%</f>
        <v>0</v>
      </c>
      <c r="G163" s="41">
        <f t="shared" si="384"/>
        <v>0</v>
      </c>
      <c r="H163" s="41">
        <f t="shared" si="384"/>
        <v>0</v>
      </c>
      <c r="I163" s="41">
        <f t="shared" si="384"/>
        <v>0</v>
      </c>
      <c r="J163" s="41">
        <f t="shared" si="384"/>
        <v>0</v>
      </c>
      <c r="K163" s="128">
        <f t="shared" si="329"/>
        <v>8320</v>
      </c>
      <c r="L163" s="41">
        <f t="shared" ref="L163:Q163" si="385">+L161*0.1%</f>
        <v>0</v>
      </c>
      <c r="M163" s="41">
        <f t="shared" si="385"/>
        <v>0</v>
      </c>
      <c r="N163" s="41">
        <f t="shared" si="385"/>
        <v>0</v>
      </c>
      <c r="O163" s="41">
        <f t="shared" si="385"/>
        <v>0</v>
      </c>
      <c r="P163" s="41">
        <f t="shared" si="385"/>
        <v>0</v>
      </c>
      <c r="Q163" s="409">
        <f t="shared" si="385"/>
        <v>0</v>
      </c>
      <c r="R163" s="128">
        <f t="shared" si="337"/>
        <v>0</v>
      </c>
      <c r="S163" s="41">
        <f t="shared" ref="S163:Z163" si="386">+S161*0.1%</f>
        <v>0</v>
      </c>
      <c r="T163" s="41">
        <f t="shared" si="386"/>
        <v>0</v>
      </c>
      <c r="U163" s="41">
        <f t="shared" si="386"/>
        <v>0</v>
      </c>
      <c r="V163" s="41">
        <f t="shared" si="386"/>
        <v>0</v>
      </c>
      <c r="W163" s="41">
        <f t="shared" si="386"/>
        <v>0</v>
      </c>
      <c r="X163" s="41">
        <f t="shared" si="386"/>
        <v>0</v>
      </c>
      <c r="Y163" s="41">
        <f t="shared" si="386"/>
        <v>0</v>
      </c>
      <c r="Z163" s="41">
        <f t="shared" si="386"/>
        <v>0</v>
      </c>
      <c r="AA163" s="128">
        <f t="shared" si="353"/>
        <v>0</v>
      </c>
      <c r="AB163" s="128">
        <f t="shared" si="339"/>
        <v>0</v>
      </c>
      <c r="AC163" s="175">
        <f t="shared" si="340"/>
        <v>0</v>
      </c>
    </row>
    <row r="164" spans="1:29" ht="28.5" x14ac:dyDescent="0.2">
      <c r="B164" s="76" t="s">
        <v>567</v>
      </c>
      <c r="C164" s="77" t="s">
        <v>230</v>
      </c>
      <c r="D164" s="330">
        <f>+D161*9.99%</f>
        <v>831168</v>
      </c>
      <c r="E164" s="188">
        <f>SUM('ADICIONES  2021'!C164:I164)</f>
        <v>0</v>
      </c>
      <c r="F164" s="41">
        <f t="shared" ref="F164:J164" si="387">+F161*9.99%</f>
        <v>0</v>
      </c>
      <c r="G164" s="41">
        <f t="shared" si="387"/>
        <v>0</v>
      </c>
      <c r="H164" s="41">
        <f t="shared" si="387"/>
        <v>0</v>
      </c>
      <c r="I164" s="41">
        <f t="shared" si="387"/>
        <v>0</v>
      </c>
      <c r="J164" s="41">
        <f t="shared" si="387"/>
        <v>0</v>
      </c>
      <c r="K164" s="128">
        <f t="shared" si="329"/>
        <v>831168</v>
      </c>
      <c r="L164" s="41">
        <f t="shared" ref="L164:Q164" si="388">+L161*9.99%</f>
        <v>0</v>
      </c>
      <c r="M164" s="41">
        <f t="shared" si="388"/>
        <v>0</v>
      </c>
      <c r="N164" s="41">
        <f t="shared" si="388"/>
        <v>0</v>
      </c>
      <c r="O164" s="41">
        <f t="shared" si="388"/>
        <v>0</v>
      </c>
      <c r="P164" s="41">
        <f t="shared" si="388"/>
        <v>0</v>
      </c>
      <c r="Q164" s="409">
        <f t="shared" si="388"/>
        <v>0</v>
      </c>
      <c r="R164" s="128">
        <f t="shared" si="337"/>
        <v>0</v>
      </c>
      <c r="S164" s="41">
        <f t="shared" ref="S164:Z164" si="389">+S161*9.99%</f>
        <v>0</v>
      </c>
      <c r="T164" s="41">
        <f t="shared" si="389"/>
        <v>0</v>
      </c>
      <c r="U164" s="41">
        <f t="shared" si="389"/>
        <v>0</v>
      </c>
      <c r="V164" s="41">
        <f t="shared" si="389"/>
        <v>0</v>
      </c>
      <c r="W164" s="41">
        <f t="shared" si="389"/>
        <v>0</v>
      </c>
      <c r="X164" s="41">
        <f t="shared" si="389"/>
        <v>0</v>
      </c>
      <c r="Y164" s="41">
        <f t="shared" si="389"/>
        <v>0</v>
      </c>
      <c r="Z164" s="41">
        <f t="shared" si="389"/>
        <v>0</v>
      </c>
      <c r="AA164" s="128">
        <f t="shared" si="353"/>
        <v>0</v>
      </c>
      <c r="AB164" s="128">
        <f t="shared" si="339"/>
        <v>0</v>
      </c>
      <c r="AC164" s="175">
        <f t="shared" si="340"/>
        <v>0</v>
      </c>
    </row>
    <row r="165" spans="1:29" ht="28.5" x14ac:dyDescent="0.2">
      <c r="B165" s="76" t="s">
        <v>568</v>
      </c>
      <c r="C165" s="77" t="s">
        <v>231</v>
      </c>
      <c r="D165" s="330">
        <f>+D161*1.7982%</f>
        <v>149610.24000000002</v>
      </c>
      <c r="E165" s="188">
        <f>SUM('ADICIONES  2021'!C165:I165)</f>
        <v>0</v>
      </c>
      <c r="F165" s="41">
        <f t="shared" ref="F165:J165" si="390">+F161*1.7982%</f>
        <v>0</v>
      </c>
      <c r="G165" s="41">
        <f t="shared" si="390"/>
        <v>0</v>
      </c>
      <c r="H165" s="41">
        <f t="shared" si="390"/>
        <v>0</v>
      </c>
      <c r="I165" s="41">
        <f t="shared" si="390"/>
        <v>0</v>
      </c>
      <c r="J165" s="41">
        <f t="shared" si="390"/>
        <v>0</v>
      </c>
      <c r="K165" s="128">
        <f t="shared" si="329"/>
        <v>149610.24000000002</v>
      </c>
      <c r="L165" s="41">
        <f t="shared" ref="L165:Q165" si="391">+L161*1.7982%</f>
        <v>0</v>
      </c>
      <c r="M165" s="41">
        <f t="shared" si="391"/>
        <v>0</v>
      </c>
      <c r="N165" s="41">
        <f t="shared" si="391"/>
        <v>0</v>
      </c>
      <c r="O165" s="41">
        <f t="shared" si="391"/>
        <v>0</v>
      </c>
      <c r="P165" s="41">
        <f t="shared" si="391"/>
        <v>0</v>
      </c>
      <c r="Q165" s="409">
        <f t="shared" si="391"/>
        <v>0</v>
      </c>
      <c r="R165" s="128">
        <f t="shared" si="337"/>
        <v>0</v>
      </c>
      <c r="S165" s="41">
        <f t="shared" ref="S165:Z165" si="392">+S161*1.7982%</f>
        <v>0</v>
      </c>
      <c r="T165" s="41">
        <f t="shared" si="392"/>
        <v>0</v>
      </c>
      <c r="U165" s="41">
        <f t="shared" si="392"/>
        <v>0</v>
      </c>
      <c r="V165" s="41">
        <f t="shared" si="392"/>
        <v>0</v>
      </c>
      <c r="W165" s="41">
        <f t="shared" si="392"/>
        <v>0</v>
      </c>
      <c r="X165" s="41">
        <f t="shared" si="392"/>
        <v>0</v>
      </c>
      <c r="Y165" s="41">
        <f t="shared" si="392"/>
        <v>0</v>
      </c>
      <c r="Z165" s="41">
        <f t="shared" si="392"/>
        <v>0</v>
      </c>
      <c r="AA165" s="128">
        <f t="shared" si="353"/>
        <v>0</v>
      </c>
      <c r="AB165" s="128">
        <f t="shared" si="339"/>
        <v>0</v>
      </c>
      <c r="AC165" s="175">
        <f t="shared" si="340"/>
        <v>0</v>
      </c>
    </row>
    <row r="166" spans="1:29" ht="42.75" x14ac:dyDescent="0.2">
      <c r="B166" s="76" t="s">
        <v>569</v>
      </c>
      <c r="C166" s="77" t="s">
        <v>232</v>
      </c>
      <c r="D166" s="330">
        <f>+D161*0.881118%</f>
        <v>73309.017600000006</v>
      </c>
      <c r="E166" s="188">
        <f>SUM('ADICIONES  2021'!C166:I166)</f>
        <v>0</v>
      </c>
      <c r="F166" s="41">
        <f t="shared" ref="F166:J166" si="393">+F161*0.881118%</f>
        <v>0</v>
      </c>
      <c r="G166" s="41">
        <f t="shared" si="393"/>
        <v>0</v>
      </c>
      <c r="H166" s="41">
        <f t="shared" si="393"/>
        <v>0</v>
      </c>
      <c r="I166" s="41">
        <f t="shared" si="393"/>
        <v>0</v>
      </c>
      <c r="J166" s="41">
        <f t="shared" si="393"/>
        <v>0</v>
      </c>
      <c r="K166" s="128">
        <f t="shared" si="329"/>
        <v>73309.017600000006</v>
      </c>
      <c r="L166" s="41">
        <f t="shared" ref="L166:Q166" si="394">+L161*0.881118%</f>
        <v>0</v>
      </c>
      <c r="M166" s="41">
        <f t="shared" si="394"/>
        <v>0</v>
      </c>
      <c r="N166" s="41">
        <f t="shared" si="394"/>
        <v>0</v>
      </c>
      <c r="O166" s="41">
        <f t="shared" si="394"/>
        <v>0</v>
      </c>
      <c r="P166" s="41">
        <f t="shared" si="394"/>
        <v>0</v>
      </c>
      <c r="Q166" s="409">
        <f t="shared" si="394"/>
        <v>0</v>
      </c>
      <c r="R166" s="128">
        <f t="shared" si="337"/>
        <v>0</v>
      </c>
      <c r="S166" s="41">
        <f t="shared" ref="S166:Z166" si="395">+S161*0.881118%</f>
        <v>0</v>
      </c>
      <c r="T166" s="41">
        <f t="shared" si="395"/>
        <v>0</v>
      </c>
      <c r="U166" s="41">
        <f t="shared" si="395"/>
        <v>0</v>
      </c>
      <c r="V166" s="41">
        <f t="shared" si="395"/>
        <v>0</v>
      </c>
      <c r="W166" s="41">
        <f t="shared" si="395"/>
        <v>0</v>
      </c>
      <c r="X166" s="41">
        <f t="shared" si="395"/>
        <v>0</v>
      </c>
      <c r="Y166" s="41">
        <f t="shared" si="395"/>
        <v>0</v>
      </c>
      <c r="Z166" s="41">
        <f t="shared" si="395"/>
        <v>0</v>
      </c>
      <c r="AA166" s="128">
        <f t="shared" si="353"/>
        <v>0</v>
      </c>
      <c r="AB166" s="128">
        <f t="shared" si="339"/>
        <v>0</v>
      </c>
      <c r="AC166" s="175">
        <f t="shared" si="340"/>
        <v>0</v>
      </c>
    </row>
    <row r="167" spans="1:29" s="63" customFormat="1" ht="15.75" x14ac:dyDescent="0.2">
      <c r="A167" s="397"/>
      <c r="B167" s="81" t="s">
        <v>570</v>
      </c>
      <c r="C167" s="79" t="s">
        <v>571</v>
      </c>
      <c r="D167" s="329">
        <f>+D168+D175</f>
        <v>1507000000</v>
      </c>
      <c r="E167" s="187">
        <f>SUM('ADICIONES  2021'!C167:I167)</f>
        <v>0</v>
      </c>
      <c r="F167" s="223">
        <f t="shared" ref="F167:J167" si="396">+F168+F175</f>
        <v>0</v>
      </c>
      <c r="G167" s="223">
        <f t="shared" si="396"/>
        <v>0</v>
      </c>
      <c r="H167" s="223">
        <f t="shared" si="396"/>
        <v>0</v>
      </c>
      <c r="I167" s="223">
        <f t="shared" si="396"/>
        <v>0</v>
      </c>
      <c r="J167" s="223">
        <f t="shared" si="396"/>
        <v>0</v>
      </c>
      <c r="K167" s="78">
        <f t="shared" si="329"/>
        <v>1507000000</v>
      </c>
      <c r="L167" s="223">
        <f t="shared" ref="L167:Q167" si="397">+L168+L175</f>
        <v>210206232</v>
      </c>
      <c r="M167" s="223">
        <f t="shared" si="397"/>
        <v>552480925</v>
      </c>
      <c r="N167" s="223">
        <f t="shared" si="397"/>
        <v>464122470</v>
      </c>
      <c r="O167" s="223">
        <f t="shared" si="397"/>
        <v>452402329</v>
      </c>
      <c r="P167" s="223">
        <f t="shared" si="397"/>
        <v>295069238</v>
      </c>
      <c r="Q167" s="407">
        <f t="shared" si="397"/>
        <v>519902700</v>
      </c>
      <c r="R167" s="78">
        <f t="shared" si="337"/>
        <v>2494183894</v>
      </c>
      <c r="S167" s="223">
        <f t="shared" ref="S167:Z167" si="398">+S168+S175</f>
        <v>426139132</v>
      </c>
      <c r="T167" s="223">
        <f t="shared" si="398"/>
        <v>0</v>
      </c>
      <c r="U167" s="223">
        <f t="shared" si="398"/>
        <v>0</v>
      </c>
      <c r="V167" s="223">
        <f t="shared" si="398"/>
        <v>0</v>
      </c>
      <c r="W167" s="223">
        <f t="shared" si="398"/>
        <v>0</v>
      </c>
      <c r="X167" s="223">
        <f t="shared" si="398"/>
        <v>0</v>
      </c>
      <c r="Y167" s="223">
        <f t="shared" si="398"/>
        <v>0</v>
      </c>
      <c r="Z167" s="223">
        <f t="shared" si="398"/>
        <v>0</v>
      </c>
      <c r="AA167" s="78">
        <f t="shared" si="353"/>
        <v>426139132</v>
      </c>
      <c r="AB167" s="78">
        <f t="shared" si="339"/>
        <v>2920323026</v>
      </c>
      <c r="AC167" s="174">
        <f t="shared" si="340"/>
        <v>1.9378387697412076</v>
      </c>
    </row>
    <row r="168" spans="1:29" s="63" customFormat="1" ht="31.5" x14ac:dyDescent="0.2">
      <c r="A168" s="397">
        <v>1</v>
      </c>
      <c r="B168" s="81" t="s">
        <v>572</v>
      </c>
      <c r="C168" s="79" t="s">
        <v>573</v>
      </c>
      <c r="D168" s="329">
        <v>675000000</v>
      </c>
      <c r="E168" s="187">
        <f>SUM('ADICIONES  2021'!C168:I168)</f>
        <v>0</v>
      </c>
      <c r="F168" s="78"/>
      <c r="G168" s="78"/>
      <c r="H168" s="78"/>
      <c r="I168" s="78"/>
      <c r="J168" s="78"/>
      <c r="K168" s="78">
        <f t="shared" si="329"/>
        <v>675000000</v>
      </c>
      <c r="L168" s="78">
        <v>169812232</v>
      </c>
      <c r="M168" s="78">
        <v>479710925</v>
      </c>
      <c r="N168" s="78">
        <v>353780470</v>
      </c>
      <c r="O168" s="78">
        <v>354599329</v>
      </c>
      <c r="P168" s="78">
        <v>246575238</v>
      </c>
      <c r="Q168" s="408">
        <v>446672700</v>
      </c>
      <c r="R168" s="78">
        <f t="shared" si="337"/>
        <v>2051150894</v>
      </c>
      <c r="S168" s="78">
        <v>367526132</v>
      </c>
      <c r="T168" s="78"/>
      <c r="U168" s="78"/>
      <c r="V168" s="78"/>
      <c r="W168" s="78"/>
      <c r="X168" s="78"/>
      <c r="Y168" s="78"/>
      <c r="Z168" s="78"/>
      <c r="AA168" s="78">
        <f t="shared" si="353"/>
        <v>367526132</v>
      </c>
      <c r="AB168" s="78">
        <f t="shared" si="339"/>
        <v>2418677026</v>
      </c>
      <c r="AC168" s="174">
        <f t="shared" si="340"/>
        <v>3.5832252237037037</v>
      </c>
    </row>
    <row r="169" spans="1:29" ht="42.75" x14ac:dyDescent="0.2">
      <c r="B169" s="76" t="s">
        <v>574</v>
      </c>
      <c r="C169" s="77" t="s">
        <v>217</v>
      </c>
      <c r="D169" s="330">
        <f>+D168*69.7845456%</f>
        <v>471045682.80000001</v>
      </c>
      <c r="E169" s="188">
        <f>SUM('ADICIONES  2021'!C169:I169)</f>
        <v>0</v>
      </c>
      <c r="F169" s="41">
        <f t="shared" ref="F169:J169" si="399">+F168*69.7845456%</f>
        <v>0</v>
      </c>
      <c r="G169" s="41">
        <f t="shared" si="399"/>
        <v>0</v>
      </c>
      <c r="H169" s="41">
        <f t="shared" si="399"/>
        <v>0</v>
      </c>
      <c r="I169" s="41">
        <f t="shared" si="399"/>
        <v>0</v>
      </c>
      <c r="J169" s="41">
        <f t="shared" si="399"/>
        <v>0</v>
      </c>
      <c r="K169" s="128">
        <f t="shared" si="329"/>
        <v>471045682.80000001</v>
      </c>
      <c r="L169" s="41">
        <f t="shared" ref="L169:Q169" si="400">+L168*69.7845456%</f>
        <v>118502694.47441779</v>
      </c>
      <c r="M169" s="41">
        <f t="shared" si="400"/>
        <v>334764089.2048068</v>
      </c>
      <c r="N169" s="41">
        <f t="shared" si="400"/>
        <v>246884093.41104433</v>
      </c>
      <c r="O169" s="41">
        <f t="shared" si="400"/>
        <v>247455530.44329903</v>
      </c>
      <c r="P169" s="41">
        <f t="shared" si="400"/>
        <v>172071409.40041855</v>
      </c>
      <c r="Q169" s="409">
        <f t="shared" si="400"/>
        <v>311708514.01425123</v>
      </c>
      <c r="R169" s="128">
        <f t="shared" si="337"/>
        <v>1431386330.9482379</v>
      </c>
      <c r="S169" s="41">
        <f t="shared" ref="S169:Z169" si="401">+S168*69.7845456%</f>
        <v>256476441.1774562</v>
      </c>
      <c r="T169" s="41">
        <f t="shared" si="401"/>
        <v>0</v>
      </c>
      <c r="U169" s="41">
        <f t="shared" si="401"/>
        <v>0</v>
      </c>
      <c r="V169" s="41">
        <f t="shared" si="401"/>
        <v>0</v>
      </c>
      <c r="W169" s="41">
        <f t="shared" si="401"/>
        <v>0</v>
      </c>
      <c r="X169" s="41">
        <f t="shared" si="401"/>
        <v>0</v>
      </c>
      <c r="Y169" s="41">
        <f t="shared" si="401"/>
        <v>0</v>
      </c>
      <c r="Z169" s="41">
        <f t="shared" si="401"/>
        <v>0</v>
      </c>
      <c r="AA169" s="128">
        <f t="shared" si="353"/>
        <v>256476441.1774562</v>
      </c>
      <c r="AB169" s="128">
        <f t="shared" si="339"/>
        <v>1687862772.125694</v>
      </c>
      <c r="AC169" s="175">
        <f t="shared" si="340"/>
        <v>3.5832252237037041</v>
      </c>
    </row>
    <row r="170" spans="1:29" ht="28.5" x14ac:dyDescent="0.2">
      <c r="B170" s="76" t="s">
        <v>575</v>
      </c>
      <c r="C170" s="77" t="s">
        <v>218</v>
      </c>
      <c r="D170" s="330">
        <f>+D168*0.08%</f>
        <v>540000</v>
      </c>
      <c r="E170" s="188">
        <f>SUM('ADICIONES  2021'!C170:I170)</f>
        <v>0</v>
      </c>
      <c r="F170" s="41">
        <f t="shared" ref="F170:J170" si="402">+F168*0.08%</f>
        <v>0</v>
      </c>
      <c r="G170" s="41">
        <f t="shared" si="402"/>
        <v>0</v>
      </c>
      <c r="H170" s="41">
        <f t="shared" si="402"/>
        <v>0</v>
      </c>
      <c r="I170" s="41">
        <f t="shared" si="402"/>
        <v>0</v>
      </c>
      <c r="J170" s="41">
        <f t="shared" si="402"/>
        <v>0</v>
      </c>
      <c r="K170" s="128">
        <f t="shared" si="329"/>
        <v>540000</v>
      </c>
      <c r="L170" s="41">
        <f t="shared" ref="L170:Q170" si="403">+L168*0.08%</f>
        <v>135849.7856</v>
      </c>
      <c r="M170" s="41">
        <f t="shared" si="403"/>
        <v>383768.74</v>
      </c>
      <c r="N170" s="41">
        <f t="shared" si="403"/>
        <v>283024.37599999999</v>
      </c>
      <c r="O170" s="41">
        <f t="shared" si="403"/>
        <v>283679.4632</v>
      </c>
      <c r="P170" s="41">
        <f t="shared" si="403"/>
        <v>197260.19040000002</v>
      </c>
      <c r="Q170" s="409">
        <f t="shared" si="403"/>
        <v>357338.16000000003</v>
      </c>
      <c r="R170" s="128">
        <f t="shared" si="337"/>
        <v>1640920.7152</v>
      </c>
      <c r="S170" s="41">
        <f t="shared" ref="S170:Z170" si="404">+S168*0.08%</f>
        <v>294020.9056</v>
      </c>
      <c r="T170" s="41">
        <f t="shared" si="404"/>
        <v>0</v>
      </c>
      <c r="U170" s="41">
        <f t="shared" si="404"/>
        <v>0</v>
      </c>
      <c r="V170" s="41">
        <f t="shared" si="404"/>
        <v>0</v>
      </c>
      <c r="W170" s="41">
        <f t="shared" si="404"/>
        <v>0</v>
      </c>
      <c r="X170" s="41">
        <f t="shared" si="404"/>
        <v>0</v>
      </c>
      <c r="Y170" s="41">
        <f t="shared" si="404"/>
        <v>0</v>
      </c>
      <c r="Z170" s="41">
        <f t="shared" si="404"/>
        <v>0</v>
      </c>
      <c r="AA170" s="128">
        <f t="shared" si="353"/>
        <v>294020.9056</v>
      </c>
      <c r="AB170" s="128">
        <f t="shared" si="339"/>
        <v>1934941.6207999999</v>
      </c>
      <c r="AC170" s="175">
        <f t="shared" si="340"/>
        <v>3.5832252237037037</v>
      </c>
    </row>
    <row r="171" spans="1:29" ht="28.5" x14ac:dyDescent="0.2">
      <c r="B171" s="76" t="s">
        <v>576</v>
      </c>
      <c r="C171" s="77" t="s">
        <v>219</v>
      </c>
      <c r="D171" s="330">
        <f>+D168*7.992%</f>
        <v>53946000</v>
      </c>
      <c r="E171" s="188">
        <f>SUM('ADICIONES  2021'!C171:I171)</f>
        <v>0</v>
      </c>
      <c r="F171" s="41">
        <f t="shared" ref="F171:J171" si="405">+F168*7.992%</f>
        <v>0</v>
      </c>
      <c r="G171" s="41">
        <f t="shared" si="405"/>
        <v>0</v>
      </c>
      <c r="H171" s="41">
        <f t="shared" si="405"/>
        <v>0</v>
      </c>
      <c r="I171" s="41">
        <f t="shared" si="405"/>
        <v>0</v>
      </c>
      <c r="J171" s="41">
        <f t="shared" si="405"/>
        <v>0</v>
      </c>
      <c r="K171" s="128">
        <f t="shared" si="329"/>
        <v>53946000</v>
      </c>
      <c r="L171" s="41">
        <f t="shared" ref="L171:Q171" si="406">+L168*7.992%</f>
        <v>13571393.581440002</v>
      </c>
      <c r="M171" s="41">
        <f t="shared" si="406"/>
        <v>38338497.126000002</v>
      </c>
      <c r="N171" s="41">
        <f t="shared" si="406"/>
        <v>28274135.162400004</v>
      </c>
      <c r="O171" s="41">
        <f t="shared" si="406"/>
        <v>28339578.373680003</v>
      </c>
      <c r="P171" s="41">
        <f t="shared" si="406"/>
        <v>19706293.020959999</v>
      </c>
      <c r="Q171" s="409">
        <f t="shared" si="406"/>
        <v>35698082.184</v>
      </c>
      <c r="R171" s="128">
        <f t="shared" si="337"/>
        <v>163927979.44848001</v>
      </c>
      <c r="S171" s="41">
        <f t="shared" ref="S171:Z171" si="407">+S168*7.992%</f>
        <v>29372688.469440002</v>
      </c>
      <c r="T171" s="41">
        <f t="shared" si="407"/>
        <v>0</v>
      </c>
      <c r="U171" s="41">
        <f t="shared" si="407"/>
        <v>0</v>
      </c>
      <c r="V171" s="41">
        <f t="shared" si="407"/>
        <v>0</v>
      </c>
      <c r="W171" s="41">
        <f t="shared" si="407"/>
        <v>0</v>
      </c>
      <c r="X171" s="41">
        <f t="shared" si="407"/>
        <v>0</v>
      </c>
      <c r="Y171" s="41">
        <f t="shared" si="407"/>
        <v>0</v>
      </c>
      <c r="Z171" s="41">
        <f t="shared" si="407"/>
        <v>0</v>
      </c>
      <c r="AA171" s="128">
        <f t="shared" si="353"/>
        <v>29372688.469440002</v>
      </c>
      <c r="AB171" s="128">
        <f t="shared" si="339"/>
        <v>193300667.91792002</v>
      </c>
      <c r="AC171" s="175">
        <f t="shared" si="340"/>
        <v>3.5832252237037041</v>
      </c>
    </row>
    <row r="172" spans="1:29" ht="28.5" x14ac:dyDescent="0.2">
      <c r="B172" s="76" t="s">
        <v>577</v>
      </c>
      <c r="C172" s="77" t="s">
        <v>220</v>
      </c>
      <c r="D172" s="330">
        <f>+D168*1.43856%</f>
        <v>9710280</v>
      </c>
      <c r="E172" s="188">
        <f>SUM('ADICIONES  2021'!C172:I172)</f>
        <v>0</v>
      </c>
      <c r="F172" s="41">
        <f t="shared" ref="F172:J172" si="408">+F168*1.43856%</f>
        <v>0</v>
      </c>
      <c r="G172" s="41">
        <f t="shared" si="408"/>
        <v>0</v>
      </c>
      <c r="H172" s="41">
        <f t="shared" si="408"/>
        <v>0</v>
      </c>
      <c r="I172" s="41">
        <f t="shared" si="408"/>
        <v>0</v>
      </c>
      <c r="J172" s="41">
        <f t="shared" si="408"/>
        <v>0</v>
      </c>
      <c r="K172" s="128">
        <f t="shared" si="329"/>
        <v>9710280</v>
      </c>
      <c r="L172" s="41">
        <f t="shared" ref="L172:Q172" si="409">+L168*1.43856%</f>
        <v>2442850.8446591999</v>
      </c>
      <c r="M172" s="41">
        <f t="shared" si="409"/>
        <v>6900929.4826800004</v>
      </c>
      <c r="N172" s="41">
        <f t="shared" si="409"/>
        <v>5089344.3292319998</v>
      </c>
      <c r="O172" s="41">
        <f t="shared" si="409"/>
        <v>5101124.1072624</v>
      </c>
      <c r="P172" s="41">
        <f t="shared" si="409"/>
        <v>3547132.7437728001</v>
      </c>
      <c r="Q172" s="409">
        <f t="shared" si="409"/>
        <v>6425654.7931200005</v>
      </c>
      <c r="R172" s="128">
        <f t="shared" si="337"/>
        <v>29507036.300726403</v>
      </c>
      <c r="S172" s="41">
        <f t="shared" ref="S172:Z172" si="410">+S168*1.43856%</f>
        <v>5287083.9244991997</v>
      </c>
      <c r="T172" s="41">
        <f t="shared" si="410"/>
        <v>0</v>
      </c>
      <c r="U172" s="41">
        <f t="shared" si="410"/>
        <v>0</v>
      </c>
      <c r="V172" s="41">
        <f t="shared" si="410"/>
        <v>0</v>
      </c>
      <c r="W172" s="41">
        <f t="shared" si="410"/>
        <v>0</v>
      </c>
      <c r="X172" s="41">
        <f t="shared" si="410"/>
        <v>0</v>
      </c>
      <c r="Y172" s="41">
        <f t="shared" si="410"/>
        <v>0</v>
      </c>
      <c r="Z172" s="41">
        <f t="shared" si="410"/>
        <v>0</v>
      </c>
      <c r="AA172" s="128">
        <f t="shared" si="353"/>
        <v>5287083.9244991997</v>
      </c>
      <c r="AB172" s="128">
        <f t="shared" si="339"/>
        <v>34794120.225225605</v>
      </c>
      <c r="AC172" s="175">
        <f t="shared" si="340"/>
        <v>3.5832252237037041</v>
      </c>
    </row>
    <row r="173" spans="1:29" ht="42.75" x14ac:dyDescent="0.2">
      <c r="B173" s="76" t="s">
        <v>578</v>
      </c>
      <c r="C173" s="77" t="s">
        <v>221</v>
      </c>
      <c r="D173" s="330">
        <f>+D168*0.7048944%</f>
        <v>4758037.2</v>
      </c>
      <c r="E173" s="188">
        <f>SUM('ADICIONES  2021'!C173:I173)</f>
        <v>0</v>
      </c>
      <c r="F173" s="41">
        <f t="shared" ref="F173:J173" si="411">+F168*0.7048944%</f>
        <v>0</v>
      </c>
      <c r="G173" s="41">
        <f t="shared" si="411"/>
        <v>0</v>
      </c>
      <c r="H173" s="41">
        <f t="shared" si="411"/>
        <v>0</v>
      </c>
      <c r="I173" s="41">
        <f t="shared" si="411"/>
        <v>0</v>
      </c>
      <c r="J173" s="41">
        <f t="shared" si="411"/>
        <v>0</v>
      </c>
      <c r="K173" s="128">
        <f t="shared" si="329"/>
        <v>4758037.2</v>
      </c>
      <c r="L173" s="41">
        <f t="shared" ref="L173:Q173" si="412">+L168*0.7048944%</f>
        <v>1196996.9138830081</v>
      </c>
      <c r="M173" s="41">
        <f t="shared" si="412"/>
        <v>3381455.4465132002</v>
      </c>
      <c r="N173" s="41">
        <f t="shared" si="412"/>
        <v>2493778.7213236801</v>
      </c>
      <c r="O173" s="41">
        <f t="shared" si="412"/>
        <v>2499550.812558576</v>
      </c>
      <c r="P173" s="41">
        <f t="shared" si="412"/>
        <v>1738095.0444486721</v>
      </c>
      <c r="Q173" s="409">
        <f t="shared" si="412"/>
        <v>3148570.8486288004</v>
      </c>
      <c r="R173" s="128">
        <f t="shared" si="337"/>
        <v>14458447.787355937</v>
      </c>
      <c r="S173" s="41">
        <f t="shared" ref="S173:Z173" si="413">+S168*0.7048944%</f>
        <v>2590671.1230046083</v>
      </c>
      <c r="T173" s="41">
        <f t="shared" si="413"/>
        <v>0</v>
      </c>
      <c r="U173" s="41">
        <f t="shared" si="413"/>
        <v>0</v>
      </c>
      <c r="V173" s="41">
        <f t="shared" si="413"/>
        <v>0</v>
      </c>
      <c r="W173" s="41">
        <f t="shared" si="413"/>
        <v>0</v>
      </c>
      <c r="X173" s="41">
        <f t="shared" si="413"/>
        <v>0</v>
      </c>
      <c r="Y173" s="41">
        <f t="shared" si="413"/>
        <v>0</v>
      </c>
      <c r="Z173" s="41">
        <f t="shared" si="413"/>
        <v>0</v>
      </c>
      <c r="AA173" s="128">
        <f t="shared" si="353"/>
        <v>2590671.1230046083</v>
      </c>
      <c r="AB173" s="128">
        <f t="shared" si="339"/>
        <v>17049118.910360545</v>
      </c>
      <c r="AC173" s="175">
        <f t="shared" si="340"/>
        <v>3.5832252237037037</v>
      </c>
    </row>
    <row r="174" spans="1:29" ht="28.5" x14ac:dyDescent="0.2">
      <c r="B174" s="76" t="s">
        <v>579</v>
      </c>
      <c r="C174" s="77" t="s">
        <v>580</v>
      </c>
      <c r="D174" s="331">
        <f>+D168*20%</f>
        <v>135000000</v>
      </c>
      <c r="E174" s="188">
        <f>SUM('ADICIONES  2021'!C174:I174)</f>
        <v>0</v>
      </c>
      <c r="F174" s="218">
        <f t="shared" ref="F174:J174" si="414">+F168*20%</f>
        <v>0</v>
      </c>
      <c r="G174" s="218">
        <f t="shared" si="414"/>
        <v>0</v>
      </c>
      <c r="H174" s="218">
        <f t="shared" si="414"/>
        <v>0</v>
      </c>
      <c r="I174" s="218">
        <f t="shared" si="414"/>
        <v>0</v>
      </c>
      <c r="J174" s="218">
        <f t="shared" si="414"/>
        <v>0</v>
      </c>
      <c r="K174" s="128">
        <f t="shared" si="329"/>
        <v>135000000</v>
      </c>
      <c r="L174" s="218">
        <f t="shared" ref="L174:Q174" si="415">+L168*20%</f>
        <v>33962446.399999999</v>
      </c>
      <c r="M174" s="218">
        <f t="shared" si="415"/>
        <v>95942185</v>
      </c>
      <c r="N174" s="218">
        <f t="shared" si="415"/>
        <v>70756094</v>
      </c>
      <c r="O174" s="218">
        <f t="shared" si="415"/>
        <v>70919865.799999997</v>
      </c>
      <c r="P174" s="218">
        <f t="shared" si="415"/>
        <v>49315047.600000001</v>
      </c>
      <c r="Q174" s="410">
        <f t="shared" si="415"/>
        <v>89334540</v>
      </c>
      <c r="R174" s="128">
        <f t="shared" si="337"/>
        <v>410230178.80000001</v>
      </c>
      <c r="S174" s="218">
        <f t="shared" ref="S174:Z174" si="416">+S168*20%</f>
        <v>73505226.400000006</v>
      </c>
      <c r="T174" s="218">
        <f t="shared" si="416"/>
        <v>0</v>
      </c>
      <c r="U174" s="218">
        <f t="shared" si="416"/>
        <v>0</v>
      </c>
      <c r="V174" s="218">
        <f t="shared" si="416"/>
        <v>0</v>
      </c>
      <c r="W174" s="218">
        <f t="shared" si="416"/>
        <v>0</v>
      </c>
      <c r="X174" s="218">
        <f t="shared" si="416"/>
        <v>0</v>
      </c>
      <c r="Y174" s="218">
        <f t="shared" si="416"/>
        <v>0</v>
      </c>
      <c r="Z174" s="218">
        <f t="shared" si="416"/>
        <v>0</v>
      </c>
      <c r="AA174" s="128">
        <f t="shared" si="353"/>
        <v>73505226.400000006</v>
      </c>
      <c r="AB174" s="128">
        <f t="shared" si="339"/>
        <v>483735405.20000005</v>
      </c>
      <c r="AC174" s="175">
        <f t="shared" si="340"/>
        <v>3.5832252237037041</v>
      </c>
    </row>
    <row r="175" spans="1:29" s="63" customFormat="1" ht="36" customHeight="1" x14ac:dyDescent="0.2">
      <c r="A175" s="397">
        <v>1</v>
      </c>
      <c r="B175" s="81" t="s">
        <v>581</v>
      </c>
      <c r="C175" s="101" t="s">
        <v>582</v>
      </c>
      <c r="D175" s="332">
        <v>832000000</v>
      </c>
      <c r="E175" s="187">
        <f>SUM('ADICIONES  2021'!C175:I175)</f>
        <v>0</v>
      </c>
      <c r="F175" s="146"/>
      <c r="G175" s="146"/>
      <c r="H175" s="146"/>
      <c r="I175" s="146"/>
      <c r="J175" s="146"/>
      <c r="K175" s="78">
        <f t="shared" si="329"/>
        <v>832000000</v>
      </c>
      <c r="L175" s="146">
        <v>40394000</v>
      </c>
      <c r="M175" s="146">
        <v>72770000</v>
      </c>
      <c r="N175" s="146">
        <v>110342000</v>
      </c>
      <c r="O175" s="146">
        <v>97803000</v>
      </c>
      <c r="P175" s="146">
        <v>48494000</v>
      </c>
      <c r="Q175" s="411">
        <v>73230000</v>
      </c>
      <c r="R175" s="78">
        <f t="shared" si="337"/>
        <v>443033000</v>
      </c>
      <c r="S175" s="146">
        <v>58613000</v>
      </c>
      <c r="T175" s="146"/>
      <c r="U175" s="146"/>
      <c r="V175" s="146"/>
      <c r="W175" s="146"/>
      <c r="X175" s="146"/>
      <c r="Y175" s="146"/>
      <c r="Z175" s="146"/>
      <c r="AA175" s="78">
        <f t="shared" si="353"/>
        <v>58613000</v>
      </c>
      <c r="AB175" s="78">
        <f t="shared" si="339"/>
        <v>501646000</v>
      </c>
      <c r="AC175" s="174">
        <f t="shared" si="340"/>
        <v>0.60293990384615381</v>
      </c>
    </row>
    <row r="176" spans="1:29" ht="42.75" x14ac:dyDescent="0.2">
      <c r="B176" s="76" t="s">
        <v>583</v>
      </c>
      <c r="C176" s="77" t="s">
        <v>212</v>
      </c>
      <c r="D176" s="330">
        <f>+D175*87.230682%</f>
        <v>725759274.24000001</v>
      </c>
      <c r="E176" s="188">
        <f>SUM('ADICIONES  2021'!C176:I176)</f>
        <v>0</v>
      </c>
      <c r="F176" s="41">
        <f t="shared" ref="F176:J176" si="417">+F175*87.230682%</f>
        <v>0</v>
      </c>
      <c r="G176" s="41">
        <f t="shared" si="417"/>
        <v>0</v>
      </c>
      <c r="H176" s="41">
        <f t="shared" si="417"/>
        <v>0</v>
      </c>
      <c r="I176" s="41">
        <f t="shared" si="417"/>
        <v>0</v>
      </c>
      <c r="J176" s="41">
        <f t="shared" si="417"/>
        <v>0</v>
      </c>
      <c r="K176" s="128">
        <f t="shared" si="329"/>
        <v>725759274.24000001</v>
      </c>
      <c r="L176" s="41">
        <f t="shared" ref="L176:Q176" si="418">+L175*87.230682%</f>
        <v>35235961.687080003</v>
      </c>
      <c r="M176" s="41">
        <f t="shared" si="418"/>
        <v>63477767.2914</v>
      </c>
      <c r="N176" s="41">
        <f t="shared" si="418"/>
        <v>96252079.132440001</v>
      </c>
      <c r="O176" s="41">
        <f t="shared" si="418"/>
        <v>85314223.916460007</v>
      </c>
      <c r="P176" s="41">
        <f t="shared" si="418"/>
        <v>42301646.929080002</v>
      </c>
      <c r="Q176" s="409">
        <f t="shared" si="418"/>
        <v>63879028.428600006</v>
      </c>
      <c r="R176" s="128">
        <f t="shared" si="337"/>
        <v>386460707.38506001</v>
      </c>
      <c r="S176" s="41">
        <f t="shared" ref="S176:Z176" si="419">+S175*87.230682%</f>
        <v>51128519.640660003</v>
      </c>
      <c r="T176" s="41">
        <f t="shared" si="419"/>
        <v>0</v>
      </c>
      <c r="U176" s="41">
        <f t="shared" si="419"/>
        <v>0</v>
      </c>
      <c r="V176" s="41">
        <f t="shared" si="419"/>
        <v>0</v>
      </c>
      <c r="W176" s="41">
        <f t="shared" si="419"/>
        <v>0</v>
      </c>
      <c r="X176" s="41">
        <f t="shared" si="419"/>
        <v>0</v>
      </c>
      <c r="Y176" s="41">
        <f t="shared" si="419"/>
        <v>0</v>
      </c>
      <c r="Z176" s="41">
        <f t="shared" si="419"/>
        <v>0</v>
      </c>
      <c r="AA176" s="128">
        <f t="shared" si="353"/>
        <v>51128519.640660003</v>
      </c>
      <c r="AB176" s="128">
        <f t="shared" si="339"/>
        <v>437589227.02572</v>
      </c>
      <c r="AC176" s="175">
        <f t="shared" si="340"/>
        <v>0.60293990384615381</v>
      </c>
    </row>
    <row r="177" spans="1:29" ht="28.5" x14ac:dyDescent="0.2">
      <c r="B177" s="76" t="s">
        <v>584</v>
      </c>
      <c r="C177" s="77" t="s">
        <v>213</v>
      </c>
      <c r="D177" s="330">
        <f>+D175*0.1%</f>
        <v>832000</v>
      </c>
      <c r="E177" s="188">
        <f>SUM('ADICIONES  2021'!C177:I177)</f>
        <v>0</v>
      </c>
      <c r="F177" s="41">
        <f t="shared" ref="F177:J177" si="420">+F175*0.1%</f>
        <v>0</v>
      </c>
      <c r="G177" s="41">
        <f t="shared" si="420"/>
        <v>0</v>
      </c>
      <c r="H177" s="41">
        <f t="shared" si="420"/>
        <v>0</v>
      </c>
      <c r="I177" s="41">
        <f t="shared" si="420"/>
        <v>0</v>
      </c>
      <c r="J177" s="41">
        <f t="shared" si="420"/>
        <v>0</v>
      </c>
      <c r="K177" s="128">
        <f t="shared" si="329"/>
        <v>832000</v>
      </c>
      <c r="L177" s="41">
        <f t="shared" ref="L177:Q177" si="421">+L175*0.1%</f>
        <v>40394</v>
      </c>
      <c r="M177" s="41">
        <f t="shared" si="421"/>
        <v>72770</v>
      </c>
      <c r="N177" s="41">
        <f t="shared" si="421"/>
        <v>110342</v>
      </c>
      <c r="O177" s="41">
        <f t="shared" si="421"/>
        <v>97803</v>
      </c>
      <c r="P177" s="41">
        <f t="shared" si="421"/>
        <v>48494</v>
      </c>
      <c r="Q177" s="409">
        <f t="shared" si="421"/>
        <v>73230</v>
      </c>
      <c r="R177" s="128">
        <f t="shared" si="337"/>
        <v>443033</v>
      </c>
      <c r="S177" s="41">
        <f t="shared" ref="S177:Z177" si="422">+S175*0.1%</f>
        <v>58613</v>
      </c>
      <c r="T177" s="41">
        <f t="shared" si="422"/>
        <v>0</v>
      </c>
      <c r="U177" s="41">
        <f t="shared" si="422"/>
        <v>0</v>
      </c>
      <c r="V177" s="41">
        <f t="shared" si="422"/>
        <v>0</v>
      </c>
      <c r="W177" s="41">
        <f t="shared" si="422"/>
        <v>0</v>
      </c>
      <c r="X177" s="41">
        <f t="shared" si="422"/>
        <v>0</v>
      </c>
      <c r="Y177" s="41">
        <f t="shared" si="422"/>
        <v>0</v>
      </c>
      <c r="Z177" s="41">
        <f t="shared" si="422"/>
        <v>0</v>
      </c>
      <c r="AA177" s="128">
        <f t="shared" si="353"/>
        <v>58613</v>
      </c>
      <c r="AB177" s="128">
        <f t="shared" si="339"/>
        <v>501646</v>
      </c>
      <c r="AC177" s="175">
        <f t="shared" si="340"/>
        <v>0.60293990384615381</v>
      </c>
    </row>
    <row r="178" spans="1:29" ht="28.5" x14ac:dyDescent="0.2">
      <c r="B178" s="76" t="s">
        <v>585</v>
      </c>
      <c r="C178" s="77" t="s">
        <v>214</v>
      </c>
      <c r="D178" s="330">
        <f>+D175*9.99%</f>
        <v>83116800</v>
      </c>
      <c r="E178" s="188">
        <f>SUM('ADICIONES  2021'!C178:I178)</f>
        <v>0</v>
      </c>
      <c r="F178" s="41">
        <f t="shared" ref="F178:J178" si="423">+F175*9.99%</f>
        <v>0</v>
      </c>
      <c r="G178" s="41">
        <f t="shared" si="423"/>
        <v>0</v>
      </c>
      <c r="H178" s="41">
        <f t="shared" si="423"/>
        <v>0</v>
      </c>
      <c r="I178" s="41">
        <f t="shared" si="423"/>
        <v>0</v>
      </c>
      <c r="J178" s="41">
        <f t="shared" si="423"/>
        <v>0</v>
      </c>
      <c r="K178" s="128">
        <f t="shared" si="329"/>
        <v>83116800</v>
      </c>
      <c r="L178" s="41">
        <f t="shared" ref="L178:Q178" si="424">+L175*9.99%</f>
        <v>4035360.6</v>
      </c>
      <c r="M178" s="41">
        <f t="shared" si="424"/>
        <v>7269723</v>
      </c>
      <c r="N178" s="41">
        <f t="shared" si="424"/>
        <v>11023165.800000001</v>
      </c>
      <c r="O178" s="41">
        <f t="shared" si="424"/>
        <v>9770519.7000000011</v>
      </c>
      <c r="P178" s="41">
        <f t="shared" si="424"/>
        <v>4844550.6000000006</v>
      </c>
      <c r="Q178" s="409">
        <f t="shared" si="424"/>
        <v>7315677</v>
      </c>
      <c r="R178" s="128">
        <f t="shared" si="337"/>
        <v>44258996.700000003</v>
      </c>
      <c r="S178" s="41">
        <f t="shared" ref="S178:Z178" si="425">+S175*9.99%</f>
        <v>5855438.7000000002</v>
      </c>
      <c r="T178" s="41">
        <f t="shared" si="425"/>
        <v>0</v>
      </c>
      <c r="U178" s="41">
        <f t="shared" si="425"/>
        <v>0</v>
      </c>
      <c r="V178" s="41">
        <f t="shared" si="425"/>
        <v>0</v>
      </c>
      <c r="W178" s="41">
        <f t="shared" si="425"/>
        <v>0</v>
      </c>
      <c r="X178" s="41">
        <f t="shared" si="425"/>
        <v>0</v>
      </c>
      <c r="Y178" s="41">
        <f t="shared" si="425"/>
        <v>0</v>
      </c>
      <c r="Z178" s="41">
        <f t="shared" si="425"/>
        <v>0</v>
      </c>
      <c r="AA178" s="128">
        <f t="shared" si="353"/>
        <v>5855438.7000000002</v>
      </c>
      <c r="AB178" s="128">
        <f t="shared" si="339"/>
        <v>50114435.400000006</v>
      </c>
      <c r="AC178" s="175">
        <f t="shared" si="340"/>
        <v>0.60293990384615392</v>
      </c>
    </row>
    <row r="179" spans="1:29" ht="28.5" x14ac:dyDescent="0.2">
      <c r="B179" s="76" t="s">
        <v>586</v>
      </c>
      <c r="C179" s="77" t="s">
        <v>215</v>
      </c>
      <c r="D179" s="330">
        <f>+D175*1.7982%</f>
        <v>14961024.000000002</v>
      </c>
      <c r="E179" s="188">
        <f>SUM('ADICIONES  2021'!C179:I179)</f>
        <v>0</v>
      </c>
      <c r="F179" s="41">
        <f t="shared" ref="F179:J179" si="426">+F175*1.7982%</f>
        <v>0</v>
      </c>
      <c r="G179" s="41">
        <f t="shared" si="426"/>
        <v>0</v>
      </c>
      <c r="H179" s="41">
        <f t="shared" si="426"/>
        <v>0</v>
      </c>
      <c r="I179" s="41">
        <f t="shared" si="426"/>
        <v>0</v>
      </c>
      <c r="J179" s="41">
        <f t="shared" si="426"/>
        <v>0</v>
      </c>
      <c r="K179" s="128">
        <f t="shared" si="329"/>
        <v>14961024.000000002</v>
      </c>
      <c r="L179" s="41">
        <f t="shared" ref="L179:Q179" si="427">+L175*1.7982%</f>
        <v>726364.90800000005</v>
      </c>
      <c r="M179" s="41">
        <f t="shared" si="427"/>
        <v>1308550.1400000001</v>
      </c>
      <c r="N179" s="41">
        <f t="shared" si="427"/>
        <v>1984169.8440000003</v>
      </c>
      <c r="O179" s="41">
        <f t="shared" si="427"/>
        <v>1758693.5460000001</v>
      </c>
      <c r="P179" s="41">
        <f t="shared" si="427"/>
        <v>872019.10800000012</v>
      </c>
      <c r="Q179" s="409">
        <f t="shared" si="427"/>
        <v>1316821.8600000001</v>
      </c>
      <c r="R179" s="128">
        <f t="shared" si="337"/>
        <v>7966619.4060000014</v>
      </c>
      <c r="S179" s="41">
        <f t="shared" ref="S179:Z179" si="428">+S175*1.7982%</f>
        <v>1053978.966</v>
      </c>
      <c r="T179" s="41">
        <f t="shared" si="428"/>
        <v>0</v>
      </c>
      <c r="U179" s="41">
        <f t="shared" si="428"/>
        <v>0</v>
      </c>
      <c r="V179" s="41">
        <f t="shared" si="428"/>
        <v>0</v>
      </c>
      <c r="W179" s="41">
        <f t="shared" si="428"/>
        <v>0</v>
      </c>
      <c r="X179" s="41">
        <f t="shared" si="428"/>
        <v>0</v>
      </c>
      <c r="Y179" s="41">
        <f t="shared" si="428"/>
        <v>0</v>
      </c>
      <c r="Z179" s="41">
        <f t="shared" si="428"/>
        <v>0</v>
      </c>
      <c r="AA179" s="128">
        <f t="shared" si="353"/>
        <v>1053978.966</v>
      </c>
      <c r="AB179" s="128">
        <f t="shared" si="339"/>
        <v>9020598.3720000014</v>
      </c>
      <c r="AC179" s="175">
        <f t="shared" si="340"/>
        <v>0.60293990384615381</v>
      </c>
    </row>
    <row r="180" spans="1:29" ht="42.75" x14ac:dyDescent="0.2">
      <c r="B180" s="76" t="s">
        <v>587</v>
      </c>
      <c r="C180" s="77" t="s">
        <v>216</v>
      </c>
      <c r="D180" s="330">
        <f>+D175*0.881118%</f>
        <v>7330901.7599999998</v>
      </c>
      <c r="E180" s="188">
        <f>SUM('ADICIONES  2021'!C180:I180)</f>
        <v>0</v>
      </c>
      <c r="F180" s="41">
        <f t="shared" ref="F180:J180" si="429">+F175*0.881118%</f>
        <v>0</v>
      </c>
      <c r="G180" s="41">
        <f t="shared" si="429"/>
        <v>0</v>
      </c>
      <c r="H180" s="41">
        <f t="shared" si="429"/>
        <v>0</v>
      </c>
      <c r="I180" s="41">
        <f t="shared" si="429"/>
        <v>0</v>
      </c>
      <c r="J180" s="41">
        <f t="shared" si="429"/>
        <v>0</v>
      </c>
      <c r="K180" s="128">
        <f t="shared" si="329"/>
        <v>7330901.7599999998</v>
      </c>
      <c r="L180" s="41">
        <f t="shared" ref="L180:Q180" si="430">+L175*0.881118%</f>
        <v>355918.80492000002</v>
      </c>
      <c r="M180" s="41">
        <f t="shared" si="430"/>
        <v>641189.5686</v>
      </c>
      <c r="N180" s="41">
        <f t="shared" si="430"/>
        <v>972243.22355999995</v>
      </c>
      <c r="O180" s="41">
        <f t="shared" si="430"/>
        <v>861759.83753999998</v>
      </c>
      <c r="P180" s="41">
        <f t="shared" si="430"/>
        <v>427289.36291999999</v>
      </c>
      <c r="Q180" s="409">
        <f t="shared" si="430"/>
        <v>645242.71140000003</v>
      </c>
      <c r="R180" s="128">
        <f t="shared" si="337"/>
        <v>3903643.5089399996</v>
      </c>
      <c r="S180" s="41">
        <f t="shared" ref="S180:Z180" si="431">+S175*0.881118%</f>
        <v>516449.69334</v>
      </c>
      <c r="T180" s="41">
        <f t="shared" si="431"/>
        <v>0</v>
      </c>
      <c r="U180" s="41">
        <f t="shared" si="431"/>
        <v>0</v>
      </c>
      <c r="V180" s="41">
        <f t="shared" si="431"/>
        <v>0</v>
      </c>
      <c r="W180" s="41">
        <f t="shared" si="431"/>
        <v>0</v>
      </c>
      <c r="X180" s="41">
        <f t="shared" si="431"/>
        <v>0</v>
      </c>
      <c r="Y180" s="41">
        <f t="shared" si="431"/>
        <v>0</v>
      </c>
      <c r="Z180" s="41">
        <f t="shared" si="431"/>
        <v>0</v>
      </c>
      <c r="AA180" s="128">
        <f t="shared" si="353"/>
        <v>516449.69334</v>
      </c>
      <c r="AB180" s="128">
        <f t="shared" si="339"/>
        <v>4420093.2022799999</v>
      </c>
      <c r="AC180" s="175">
        <f t="shared" si="340"/>
        <v>0.60293990384615381</v>
      </c>
    </row>
    <row r="181" spans="1:29" s="63" customFormat="1" ht="15.75" x14ac:dyDescent="0.2">
      <c r="A181" s="397"/>
      <c r="B181" s="81" t="s">
        <v>588</v>
      </c>
      <c r="C181" s="79" t="s">
        <v>589</v>
      </c>
      <c r="D181" s="329">
        <f>+D182</f>
        <v>260000000</v>
      </c>
      <c r="E181" s="187">
        <f>SUM('ADICIONES  2021'!C181:I181)</f>
        <v>0</v>
      </c>
      <c r="F181" s="223">
        <f t="shared" ref="F181:J184" si="432">+F182</f>
        <v>0</v>
      </c>
      <c r="G181" s="223">
        <f t="shared" si="432"/>
        <v>0</v>
      </c>
      <c r="H181" s="223">
        <f t="shared" si="432"/>
        <v>0</v>
      </c>
      <c r="I181" s="223">
        <f t="shared" si="432"/>
        <v>0</v>
      </c>
      <c r="J181" s="223">
        <f t="shared" si="432"/>
        <v>0</v>
      </c>
      <c r="K181" s="78">
        <f t="shared" si="329"/>
        <v>260000000</v>
      </c>
      <c r="L181" s="223">
        <f t="shared" ref="L181:Q184" si="433">+L182</f>
        <v>18449079</v>
      </c>
      <c r="M181" s="223">
        <f t="shared" si="433"/>
        <v>22269664</v>
      </c>
      <c r="N181" s="223">
        <f t="shared" si="433"/>
        <v>30051717</v>
      </c>
      <c r="O181" s="223">
        <f t="shared" si="433"/>
        <v>18188817</v>
      </c>
      <c r="P181" s="223">
        <f t="shared" si="433"/>
        <v>18039653</v>
      </c>
      <c r="Q181" s="407">
        <f t="shared" si="433"/>
        <v>21039653</v>
      </c>
      <c r="R181" s="78">
        <f t="shared" si="337"/>
        <v>128038583</v>
      </c>
      <c r="S181" s="223">
        <f t="shared" ref="S181:Z184" si="434">+S182</f>
        <v>15370300</v>
      </c>
      <c r="T181" s="223">
        <f t="shared" si="434"/>
        <v>0</v>
      </c>
      <c r="U181" s="223">
        <f t="shared" si="434"/>
        <v>0</v>
      </c>
      <c r="V181" s="223">
        <f t="shared" si="434"/>
        <v>0</v>
      </c>
      <c r="W181" s="223">
        <f t="shared" si="434"/>
        <v>0</v>
      </c>
      <c r="X181" s="223">
        <f t="shared" si="434"/>
        <v>0</v>
      </c>
      <c r="Y181" s="223">
        <f t="shared" si="434"/>
        <v>0</v>
      </c>
      <c r="Z181" s="223">
        <f t="shared" si="434"/>
        <v>0</v>
      </c>
      <c r="AA181" s="78">
        <f t="shared" si="353"/>
        <v>15370300</v>
      </c>
      <c r="AB181" s="78">
        <f t="shared" si="339"/>
        <v>143408883</v>
      </c>
      <c r="AC181" s="174">
        <f t="shared" si="340"/>
        <v>0.55157262692307696</v>
      </c>
    </row>
    <row r="182" spans="1:29" s="63" customFormat="1" ht="15.75" x14ac:dyDescent="0.2">
      <c r="A182" s="397"/>
      <c r="B182" s="81" t="s">
        <v>590</v>
      </c>
      <c r="C182" s="101" t="s">
        <v>591</v>
      </c>
      <c r="D182" s="329">
        <f>+D183</f>
        <v>260000000</v>
      </c>
      <c r="E182" s="187">
        <f>SUM('ADICIONES  2021'!C182:I182)</f>
        <v>0</v>
      </c>
      <c r="F182" s="223">
        <f t="shared" si="432"/>
        <v>0</v>
      </c>
      <c r="G182" s="223">
        <f t="shared" si="432"/>
        <v>0</v>
      </c>
      <c r="H182" s="223">
        <f t="shared" si="432"/>
        <v>0</v>
      </c>
      <c r="I182" s="223">
        <f t="shared" si="432"/>
        <v>0</v>
      </c>
      <c r="J182" s="223">
        <f t="shared" si="432"/>
        <v>0</v>
      </c>
      <c r="K182" s="78">
        <f t="shared" si="329"/>
        <v>260000000</v>
      </c>
      <c r="L182" s="223">
        <f t="shared" si="433"/>
        <v>18449079</v>
      </c>
      <c r="M182" s="223">
        <f t="shared" si="433"/>
        <v>22269664</v>
      </c>
      <c r="N182" s="223">
        <f t="shared" si="433"/>
        <v>30051717</v>
      </c>
      <c r="O182" s="223">
        <f t="shared" si="433"/>
        <v>18188817</v>
      </c>
      <c r="P182" s="223">
        <f t="shared" si="433"/>
        <v>18039653</v>
      </c>
      <c r="Q182" s="407">
        <f t="shared" si="433"/>
        <v>21039653</v>
      </c>
      <c r="R182" s="78">
        <f t="shared" si="337"/>
        <v>128038583</v>
      </c>
      <c r="S182" s="223">
        <f t="shared" si="434"/>
        <v>15370300</v>
      </c>
      <c r="T182" s="223">
        <f t="shared" si="434"/>
        <v>0</v>
      </c>
      <c r="U182" s="223">
        <f t="shared" si="434"/>
        <v>0</v>
      </c>
      <c r="V182" s="223">
        <f t="shared" si="434"/>
        <v>0</v>
      </c>
      <c r="W182" s="223">
        <f t="shared" si="434"/>
        <v>0</v>
      </c>
      <c r="X182" s="223">
        <f t="shared" si="434"/>
        <v>0</v>
      </c>
      <c r="Y182" s="223">
        <f t="shared" si="434"/>
        <v>0</v>
      </c>
      <c r="Z182" s="223">
        <f t="shared" si="434"/>
        <v>0</v>
      </c>
      <c r="AA182" s="78">
        <f t="shared" si="353"/>
        <v>15370300</v>
      </c>
      <c r="AB182" s="78">
        <f t="shared" si="339"/>
        <v>143408883</v>
      </c>
      <c r="AC182" s="174">
        <f t="shared" si="340"/>
        <v>0.55157262692307696</v>
      </c>
    </row>
    <row r="183" spans="1:29" s="63" customFormat="1" ht="47.25" x14ac:dyDescent="0.2">
      <c r="A183" s="397"/>
      <c r="B183" s="81" t="s">
        <v>592</v>
      </c>
      <c r="C183" s="79" t="s">
        <v>593</v>
      </c>
      <c r="D183" s="329">
        <f>+D184</f>
        <v>260000000</v>
      </c>
      <c r="E183" s="187">
        <f>SUM('ADICIONES  2021'!C183:I183)</f>
        <v>0</v>
      </c>
      <c r="F183" s="223">
        <f t="shared" si="432"/>
        <v>0</v>
      </c>
      <c r="G183" s="223">
        <f t="shared" si="432"/>
        <v>0</v>
      </c>
      <c r="H183" s="223">
        <f t="shared" si="432"/>
        <v>0</v>
      </c>
      <c r="I183" s="223">
        <f t="shared" si="432"/>
        <v>0</v>
      </c>
      <c r="J183" s="223">
        <f t="shared" si="432"/>
        <v>0</v>
      </c>
      <c r="K183" s="78">
        <f t="shared" si="329"/>
        <v>260000000</v>
      </c>
      <c r="L183" s="223">
        <f t="shared" si="433"/>
        <v>18449079</v>
      </c>
      <c r="M183" s="223">
        <f t="shared" si="433"/>
        <v>22269664</v>
      </c>
      <c r="N183" s="223">
        <f t="shared" si="433"/>
        <v>30051717</v>
      </c>
      <c r="O183" s="223">
        <f t="shared" si="433"/>
        <v>18188817</v>
      </c>
      <c r="P183" s="223">
        <f t="shared" si="433"/>
        <v>18039653</v>
      </c>
      <c r="Q183" s="407">
        <f t="shared" si="433"/>
        <v>21039653</v>
      </c>
      <c r="R183" s="78">
        <f t="shared" si="337"/>
        <v>128038583</v>
      </c>
      <c r="S183" s="223">
        <f t="shared" si="434"/>
        <v>15370300</v>
      </c>
      <c r="T183" s="223">
        <f t="shared" si="434"/>
        <v>0</v>
      </c>
      <c r="U183" s="223">
        <f t="shared" si="434"/>
        <v>0</v>
      </c>
      <c r="V183" s="223">
        <f t="shared" si="434"/>
        <v>0</v>
      </c>
      <c r="W183" s="223">
        <f t="shared" si="434"/>
        <v>0</v>
      </c>
      <c r="X183" s="223">
        <f t="shared" si="434"/>
        <v>0</v>
      </c>
      <c r="Y183" s="223">
        <f t="shared" si="434"/>
        <v>0</v>
      </c>
      <c r="Z183" s="223">
        <f t="shared" si="434"/>
        <v>0</v>
      </c>
      <c r="AA183" s="78">
        <f t="shared" si="353"/>
        <v>15370300</v>
      </c>
      <c r="AB183" s="78">
        <f t="shared" si="339"/>
        <v>143408883</v>
      </c>
      <c r="AC183" s="174">
        <f t="shared" si="340"/>
        <v>0.55157262692307696</v>
      </c>
    </row>
    <row r="184" spans="1:29" s="63" customFormat="1" ht="31.5" x14ac:dyDescent="0.2">
      <c r="A184" s="397"/>
      <c r="B184" s="81" t="s">
        <v>594</v>
      </c>
      <c r="C184" s="79" t="s">
        <v>595</v>
      </c>
      <c r="D184" s="329">
        <f>+D185</f>
        <v>260000000</v>
      </c>
      <c r="E184" s="187">
        <f>SUM('ADICIONES  2021'!C184:I184)</f>
        <v>0</v>
      </c>
      <c r="F184" s="223">
        <f t="shared" si="432"/>
        <v>0</v>
      </c>
      <c r="G184" s="223">
        <f t="shared" si="432"/>
        <v>0</v>
      </c>
      <c r="H184" s="223">
        <f t="shared" si="432"/>
        <v>0</v>
      </c>
      <c r="I184" s="223">
        <f t="shared" si="432"/>
        <v>0</v>
      </c>
      <c r="J184" s="223">
        <f t="shared" si="432"/>
        <v>0</v>
      </c>
      <c r="K184" s="78">
        <f t="shared" si="329"/>
        <v>260000000</v>
      </c>
      <c r="L184" s="223">
        <f t="shared" si="433"/>
        <v>18449079</v>
      </c>
      <c r="M184" s="223">
        <f t="shared" si="433"/>
        <v>22269664</v>
      </c>
      <c r="N184" s="223">
        <f t="shared" si="433"/>
        <v>30051717</v>
      </c>
      <c r="O184" s="223">
        <f t="shared" si="433"/>
        <v>18188817</v>
      </c>
      <c r="P184" s="223">
        <f t="shared" si="433"/>
        <v>18039653</v>
      </c>
      <c r="Q184" s="407">
        <f t="shared" si="433"/>
        <v>21039653</v>
      </c>
      <c r="R184" s="78">
        <f t="shared" si="337"/>
        <v>128038583</v>
      </c>
      <c r="S184" s="223">
        <f t="shared" si="434"/>
        <v>15370300</v>
      </c>
      <c r="T184" s="223">
        <f t="shared" si="434"/>
        <v>0</v>
      </c>
      <c r="U184" s="223">
        <f t="shared" si="434"/>
        <v>0</v>
      </c>
      <c r="V184" s="223">
        <f t="shared" si="434"/>
        <v>0</v>
      </c>
      <c r="W184" s="223">
        <f t="shared" si="434"/>
        <v>0</v>
      </c>
      <c r="X184" s="223">
        <f t="shared" si="434"/>
        <v>0</v>
      </c>
      <c r="Y184" s="223">
        <f t="shared" si="434"/>
        <v>0</v>
      </c>
      <c r="Z184" s="223">
        <f t="shared" si="434"/>
        <v>0</v>
      </c>
      <c r="AA184" s="78">
        <f t="shared" si="353"/>
        <v>15370300</v>
      </c>
      <c r="AB184" s="78">
        <f t="shared" si="339"/>
        <v>143408883</v>
      </c>
      <c r="AC184" s="174">
        <f t="shared" si="340"/>
        <v>0.55157262692307696</v>
      </c>
    </row>
    <row r="185" spans="1:29" s="63" customFormat="1" ht="47.25" x14ac:dyDescent="0.2">
      <c r="A185" s="397">
        <v>1</v>
      </c>
      <c r="B185" s="81" t="s">
        <v>596</v>
      </c>
      <c r="C185" s="79" t="s">
        <v>597</v>
      </c>
      <c r="D185" s="332">
        <v>260000000</v>
      </c>
      <c r="E185" s="187">
        <f>SUM('ADICIONES  2021'!C185:I185)</f>
        <v>0</v>
      </c>
      <c r="F185" s="146"/>
      <c r="G185" s="146"/>
      <c r="H185" s="146"/>
      <c r="I185" s="146"/>
      <c r="J185" s="146"/>
      <c r="K185" s="78">
        <f t="shared" si="329"/>
        <v>260000000</v>
      </c>
      <c r="L185" s="146">
        <v>18449079</v>
      </c>
      <c r="M185" s="146">
        <v>22269664</v>
      </c>
      <c r="N185" s="146">
        <v>30051717</v>
      </c>
      <c r="O185" s="146">
        <v>18188817</v>
      </c>
      <c r="P185" s="146">
        <v>18039653</v>
      </c>
      <c r="Q185" s="411">
        <v>21039653</v>
      </c>
      <c r="R185" s="78">
        <f t="shared" si="337"/>
        <v>128038583</v>
      </c>
      <c r="S185" s="146">
        <v>15370300</v>
      </c>
      <c r="T185" s="146"/>
      <c r="U185" s="146"/>
      <c r="V185" s="146"/>
      <c r="W185" s="146"/>
      <c r="X185" s="146"/>
      <c r="Y185" s="146"/>
      <c r="Z185" s="146"/>
      <c r="AA185" s="78">
        <f t="shared" si="353"/>
        <v>15370300</v>
      </c>
      <c r="AB185" s="78">
        <f t="shared" si="339"/>
        <v>143408883</v>
      </c>
      <c r="AC185" s="174">
        <f t="shared" si="340"/>
        <v>0.55157262692307696</v>
      </c>
    </row>
    <row r="186" spans="1:29" ht="28.5" x14ac:dyDescent="0.2">
      <c r="B186" s="76" t="s">
        <v>598</v>
      </c>
      <c r="C186" s="77" t="s">
        <v>599</v>
      </c>
      <c r="D186" s="330">
        <f>+D185*87.230682%</f>
        <v>226799773.20000002</v>
      </c>
      <c r="E186" s="188">
        <f>SUM('ADICIONES  2021'!C186:I186)</f>
        <v>0</v>
      </c>
      <c r="F186" s="41">
        <f t="shared" ref="F186:J186" si="435">+F185*87.230682%</f>
        <v>0</v>
      </c>
      <c r="G186" s="41">
        <f t="shared" si="435"/>
        <v>0</v>
      </c>
      <c r="H186" s="41">
        <f t="shared" si="435"/>
        <v>0</v>
      </c>
      <c r="I186" s="41">
        <f t="shared" si="435"/>
        <v>0</v>
      </c>
      <c r="J186" s="41">
        <f t="shared" si="435"/>
        <v>0</v>
      </c>
      <c r="K186" s="128">
        <f t="shared" si="329"/>
        <v>226799773.20000002</v>
      </c>
      <c r="L186" s="41">
        <f t="shared" ref="L186:Q186" si="436">+L185*87.230682%</f>
        <v>16093257.434418781</v>
      </c>
      <c r="M186" s="41">
        <f t="shared" si="436"/>
        <v>19425979.786308482</v>
      </c>
      <c r="N186" s="41">
        <f t="shared" si="436"/>
        <v>26214317.691809941</v>
      </c>
      <c r="O186" s="41">
        <f t="shared" si="436"/>
        <v>15866229.116831942</v>
      </c>
      <c r="P186" s="41">
        <f t="shared" si="436"/>
        <v>15736112.34233346</v>
      </c>
      <c r="Q186" s="409">
        <f t="shared" si="436"/>
        <v>18353032.802333459</v>
      </c>
      <c r="R186" s="128">
        <f t="shared" si="337"/>
        <v>111688929.17403607</v>
      </c>
      <c r="S186" s="41">
        <f t="shared" ref="S186:Z186" si="437">+S185*87.230682%</f>
        <v>13407617.515446</v>
      </c>
      <c r="T186" s="41">
        <f t="shared" si="437"/>
        <v>0</v>
      </c>
      <c r="U186" s="41">
        <f t="shared" si="437"/>
        <v>0</v>
      </c>
      <c r="V186" s="41">
        <f t="shared" si="437"/>
        <v>0</v>
      </c>
      <c r="W186" s="41">
        <f t="shared" si="437"/>
        <v>0</v>
      </c>
      <c r="X186" s="41">
        <f t="shared" si="437"/>
        <v>0</v>
      </c>
      <c r="Y186" s="41">
        <f t="shared" si="437"/>
        <v>0</v>
      </c>
      <c r="Z186" s="41">
        <f t="shared" si="437"/>
        <v>0</v>
      </c>
      <c r="AA186" s="128">
        <f t="shared" si="353"/>
        <v>13407617.515446</v>
      </c>
      <c r="AB186" s="128">
        <f t="shared" si="339"/>
        <v>125096546.68948206</v>
      </c>
      <c r="AC186" s="175">
        <f t="shared" si="340"/>
        <v>0.55157262692307685</v>
      </c>
    </row>
    <row r="187" spans="1:29" ht="14.25" x14ac:dyDescent="0.2">
      <c r="B187" s="76" t="s">
        <v>600</v>
      </c>
      <c r="C187" s="77" t="s">
        <v>601</v>
      </c>
      <c r="D187" s="330">
        <f>+D185*0.1%</f>
        <v>260000</v>
      </c>
      <c r="E187" s="188">
        <f>SUM('ADICIONES  2021'!C187:I187)</f>
        <v>0</v>
      </c>
      <c r="F187" s="41">
        <f t="shared" ref="F187:J187" si="438">+F185*0.1%</f>
        <v>0</v>
      </c>
      <c r="G187" s="41">
        <f t="shared" si="438"/>
        <v>0</v>
      </c>
      <c r="H187" s="41">
        <f t="shared" si="438"/>
        <v>0</v>
      </c>
      <c r="I187" s="41">
        <f t="shared" si="438"/>
        <v>0</v>
      </c>
      <c r="J187" s="41">
        <f t="shared" si="438"/>
        <v>0</v>
      </c>
      <c r="K187" s="128">
        <f t="shared" si="329"/>
        <v>260000</v>
      </c>
      <c r="L187" s="41">
        <f t="shared" ref="L187:Q187" si="439">+L185*0.1%</f>
        <v>18449.079000000002</v>
      </c>
      <c r="M187" s="41">
        <f t="shared" si="439"/>
        <v>22269.664000000001</v>
      </c>
      <c r="N187" s="41">
        <f t="shared" si="439"/>
        <v>30051.717000000001</v>
      </c>
      <c r="O187" s="41">
        <f t="shared" si="439"/>
        <v>18188.816999999999</v>
      </c>
      <c r="P187" s="41">
        <f t="shared" si="439"/>
        <v>18039.653000000002</v>
      </c>
      <c r="Q187" s="409">
        <f t="shared" si="439"/>
        <v>21039.653000000002</v>
      </c>
      <c r="R187" s="128">
        <f t="shared" si="337"/>
        <v>128038.58300000001</v>
      </c>
      <c r="S187" s="41">
        <f t="shared" ref="S187:Z187" si="440">+S185*0.1%</f>
        <v>15370.300000000001</v>
      </c>
      <c r="T187" s="41">
        <f t="shared" si="440"/>
        <v>0</v>
      </c>
      <c r="U187" s="41">
        <f t="shared" si="440"/>
        <v>0</v>
      </c>
      <c r="V187" s="41">
        <f t="shared" si="440"/>
        <v>0</v>
      </c>
      <c r="W187" s="41">
        <f t="shared" si="440"/>
        <v>0</v>
      </c>
      <c r="X187" s="41">
        <f t="shared" si="440"/>
        <v>0</v>
      </c>
      <c r="Y187" s="41">
        <f t="shared" si="440"/>
        <v>0</v>
      </c>
      <c r="Z187" s="41">
        <f t="shared" si="440"/>
        <v>0</v>
      </c>
      <c r="AA187" s="128">
        <f t="shared" si="353"/>
        <v>15370.300000000001</v>
      </c>
      <c r="AB187" s="128">
        <f t="shared" si="339"/>
        <v>143408.883</v>
      </c>
      <c r="AC187" s="175">
        <f t="shared" si="340"/>
        <v>0.55157262692307696</v>
      </c>
    </row>
    <row r="188" spans="1:29" ht="14.25" x14ac:dyDescent="0.2">
      <c r="B188" s="76" t="s">
        <v>602</v>
      </c>
      <c r="C188" s="77" t="s">
        <v>603</v>
      </c>
      <c r="D188" s="330">
        <f>+D185*9.99%</f>
        <v>25974000</v>
      </c>
      <c r="E188" s="188">
        <f>SUM('ADICIONES  2021'!C188:I188)</f>
        <v>0</v>
      </c>
      <c r="F188" s="41">
        <f t="shared" ref="F188:J188" si="441">+F185*9.99%</f>
        <v>0</v>
      </c>
      <c r="G188" s="41">
        <f t="shared" si="441"/>
        <v>0</v>
      </c>
      <c r="H188" s="41">
        <f t="shared" si="441"/>
        <v>0</v>
      </c>
      <c r="I188" s="41">
        <f t="shared" si="441"/>
        <v>0</v>
      </c>
      <c r="J188" s="41">
        <f t="shared" si="441"/>
        <v>0</v>
      </c>
      <c r="K188" s="128">
        <f t="shared" si="329"/>
        <v>25974000</v>
      </c>
      <c r="L188" s="41">
        <f t="shared" ref="L188:Q188" si="442">+L185*9.99%</f>
        <v>1843062.9921000001</v>
      </c>
      <c r="M188" s="41">
        <f t="shared" si="442"/>
        <v>2224739.4336000001</v>
      </c>
      <c r="N188" s="41">
        <f t="shared" si="442"/>
        <v>3002166.5282999999</v>
      </c>
      <c r="O188" s="41">
        <f t="shared" si="442"/>
        <v>1817062.8183000002</v>
      </c>
      <c r="P188" s="41">
        <f t="shared" si="442"/>
        <v>1802161.3347</v>
      </c>
      <c r="Q188" s="409">
        <f t="shared" si="442"/>
        <v>2101861.3347</v>
      </c>
      <c r="R188" s="128">
        <f t="shared" si="337"/>
        <v>12791054.441699998</v>
      </c>
      <c r="S188" s="41">
        <f t="shared" ref="S188:Z188" si="443">+S185*9.99%</f>
        <v>1535492.97</v>
      </c>
      <c r="T188" s="41">
        <f t="shared" si="443"/>
        <v>0</v>
      </c>
      <c r="U188" s="41">
        <f t="shared" si="443"/>
        <v>0</v>
      </c>
      <c r="V188" s="41">
        <f t="shared" si="443"/>
        <v>0</v>
      </c>
      <c r="W188" s="41">
        <f t="shared" si="443"/>
        <v>0</v>
      </c>
      <c r="X188" s="41">
        <f t="shared" si="443"/>
        <v>0</v>
      </c>
      <c r="Y188" s="41">
        <f t="shared" si="443"/>
        <v>0</v>
      </c>
      <c r="Z188" s="41">
        <f t="shared" si="443"/>
        <v>0</v>
      </c>
      <c r="AA188" s="128">
        <f t="shared" si="353"/>
        <v>1535492.97</v>
      </c>
      <c r="AB188" s="128">
        <f t="shared" si="339"/>
        <v>14326547.411699999</v>
      </c>
      <c r="AC188" s="175">
        <f t="shared" si="340"/>
        <v>0.55157262692307685</v>
      </c>
    </row>
    <row r="189" spans="1:29" ht="14.25" x14ac:dyDescent="0.2">
      <c r="B189" s="76" t="s">
        <v>604</v>
      </c>
      <c r="C189" s="77" t="s">
        <v>605</v>
      </c>
      <c r="D189" s="330">
        <f>+D185*1.7982%</f>
        <v>4675320</v>
      </c>
      <c r="E189" s="188">
        <f>SUM('ADICIONES  2021'!C189:I189)</f>
        <v>0</v>
      </c>
      <c r="F189" s="41">
        <f t="shared" ref="F189:J189" si="444">+F185*1.7982%</f>
        <v>0</v>
      </c>
      <c r="G189" s="41">
        <f t="shared" si="444"/>
        <v>0</v>
      </c>
      <c r="H189" s="41">
        <f t="shared" si="444"/>
        <v>0</v>
      </c>
      <c r="I189" s="41">
        <f t="shared" si="444"/>
        <v>0</v>
      </c>
      <c r="J189" s="41">
        <f t="shared" si="444"/>
        <v>0</v>
      </c>
      <c r="K189" s="128">
        <f t="shared" si="329"/>
        <v>4675320</v>
      </c>
      <c r="L189" s="41">
        <f t="shared" ref="L189:Q189" si="445">+L185*1.7982%</f>
        <v>331751.33857800002</v>
      </c>
      <c r="M189" s="41">
        <f t="shared" si="445"/>
        <v>400453.09804800001</v>
      </c>
      <c r="N189" s="41">
        <f t="shared" si="445"/>
        <v>540389.97509399999</v>
      </c>
      <c r="O189" s="41">
        <f t="shared" si="445"/>
        <v>327071.307294</v>
      </c>
      <c r="P189" s="41">
        <f t="shared" si="445"/>
        <v>324389.04024600005</v>
      </c>
      <c r="Q189" s="409">
        <f t="shared" si="445"/>
        <v>378335.04024600005</v>
      </c>
      <c r="R189" s="128">
        <f t="shared" si="337"/>
        <v>2302389.7995060002</v>
      </c>
      <c r="S189" s="41">
        <f t="shared" ref="S189:Z189" si="446">+S185*1.7982%</f>
        <v>276388.73460000003</v>
      </c>
      <c r="T189" s="41">
        <f t="shared" si="446"/>
        <v>0</v>
      </c>
      <c r="U189" s="41">
        <f t="shared" si="446"/>
        <v>0</v>
      </c>
      <c r="V189" s="41">
        <f t="shared" si="446"/>
        <v>0</v>
      </c>
      <c r="W189" s="41">
        <f t="shared" si="446"/>
        <v>0</v>
      </c>
      <c r="X189" s="41">
        <f t="shared" si="446"/>
        <v>0</v>
      </c>
      <c r="Y189" s="41">
        <f t="shared" si="446"/>
        <v>0</v>
      </c>
      <c r="Z189" s="41">
        <f t="shared" si="446"/>
        <v>0</v>
      </c>
      <c r="AA189" s="128">
        <f t="shared" si="353"/>
        <v>276388.73460000003</v>
      </c>
      <c r="AB189" s="128">
        <f t="shared" si="339"/>
        <v>2578778.5341060003</v>
      </c>
      <c r="AC189" s="175">
        <f t="shared" si="340"/>
        <v>0.55157262692307696</v>
      </c>
    </row>
    <row r="190" spans="1:29" ht="28.5" x14ac:dyDescent="0.2">
      <c r="B190" s="76" t="s">
        <v>606</v>
      </c>
      <c r="C190" s="154" t="s">
        <v>607</v>
      </c>
      <c r="D190" s="330">
        <f>+D185*0.881118%</f>
        <v>2290906.7999999998</v>
      </c>
      <c r="E190" s="188">
        <f>SUM('ADICIONES  2021'!C190:I190)</f>
        <v>0</v>
      </c>
      <c r="F190" s="41">
        <f t="shared" ref="F190:J190" si="447">+F185*0.881118%</f>
        <v>0</v>
      </c>
      <c r="G190" s="41">
        <f t="shared" si="447"/>
        <v>0</v>
      </c>
      <c r="H190" s="41">
        <f t="shared" si="447"/>
        <v>0</v>
      </c>
      <c r="I190" s="41">
        <f t="shared" si="447"/>
        <v>0</v>
      </c>
      <c r="J190" s="41">
        <f t="shared" si="447"/>
        <v>0</v>
      </c>
      <c r="K190" s="128">
        <f t="shared" si="329"/>
        <v>2290906.7999999998</v>
      </c>
      <c r="L190" s="41">
        <f t="shared" ref="L190:Q190" si="448">+L185*0.881118%</f>
        <v>162558.15590322</v>
      </c>
      <c r="M190" s="41">
        <f t="shared" si="448"/>
        <v>196222.01804351999</v>
      </c>
      <c r="N190" s="41">
        <f t="shared" si="448"/>
        <v>264791.08779606002</v>
      </c>
      <c r="O190" s="41">
        <f t="shared" si="448"/>
        <v>160264.94057405999</v>
      </c>
      <c r="P190" s="41">
        <f t="shared" si="448"/>
        <v>158950.62972053999</v>
      </c>
      <c r="Q190" s="409">
        <f t="shared" si="448"/>
        <v>185384.16972054</v>
      </c>
      <c r="R190" s="128">
        <f t="shared" si="337"/>
        <v>1128171.00175794</v>
      </c>
      <c r="S190" s="41">
        <f t="shared" ref="S190:Z190" si="449">+S185*0.881118%</f>
        <v>135430.47995400001</v>
      </c>
      <c r="T190" s="41">
        <f t="shared" si="449"/>
        <v>0</v>
      </c>
      <c r="U190" s="41">
        <f t="shared" si="449"/>
        <v>0</v>
      </c>
      <c r="V190" s="41">
        <f t="shared" si="449"/>
        <v>0</v>
      </c>
      <c r="W190" s="41">
        <f t="shared" si="449"/>
        <v>0</v>
      </c>
      <c r="X190" s="41">
        <f t="shared" si="449"/>
        <v>0</v>
      </c>
      <c r="Y190" s="41">
        <f t="shared" si="449"/>
        <v>0</v>
      </c>
      <c r="Z190" s="41">
        <f t="shared" si="449"/>
        <v>0</v>
      </c>
      <c r="AA190" s="128">
        <f t="shared" si="353"/>
        <v>135430.47995400001</v>
      </c>
      <c r="AB190" s="128">
        <f t="shared" si="339"/>
        <v>1263601.4817119401</v>
      </c>
      <c r="AC190" s="175">
        <f t="shared" si="340"/>
        <v>0.55157262692307707</v>
      </c>
    </row>
    <row r="191" spans="1:29" s="63" customFormat="1" ht="15.75" x14ac:dyDescent="0.2">
      <c r="A191" s="397">
        <v>1</v>
      </c>
      <c r="B191" s="81" t="s">
        <v>608</v>
      </c>
      <c r="C191" s="79" t="s">
        <v>609</v>
      </c>
      <c r="D191" s="329">
        <f>+D192+D200+D206+D215</f>
        <v>104209963818</v>
      </c>
      <c r="E191" s="187">
        <f>SUM('ADICIONES  2021'!C191:I191)</f>
        <v>0</v>
      </c>
      <c r="F191" s="223">
        <f t="shared" ref="F191:J191" si="450">+F192+F200+F206+F215</f>
        <v>684211000</v>
      </c>
      <c r="G191" s="223">
        <f t="shared" si="450"/>
        <v>0</v>
      </c>
      <c r="H191" s="223">
        <f t="shared" si="450"/>
        <v>0</v>
      </c>
      <c r="I191" s="223">
        <f t="shared" si="450"/>
        <v>0</v>
      </c>
      <c r="J191" s="223">
        <f t="shared" si="450"/>
        <v>0</v>
      </c>
      <c r="K191" s="78">
        <f t="shared" si="329"/>
        <v>103525752818</v>
      </c>
      <c r="L191" s="223">
        <f t="shared" ref="L191:Q191" si="451">+L192+L200+L206+L215</f>
        <v>6634610340.9099998</v>
      </c>
      <c r="M191" s="223">
        <f t="shared" si="451"/>
        <v>8037321341.5299997</v>
      </c>
      <c r="N191" s="223">
        <f t="shared" si="451"/>
        <v>8329136993.6999998</v>
      </c>
      <c r="O191" s="223">
        <f t="shared" si="451"/>
        <v>7571180061.6900005</v>
      </c>
      <c r="P191" s="223">
        <f t="shared" si="451"/>
        <v>8776462305.4599991</v>
      </c>
      <c r="Q191" s="407">
        <f t="shared" si="451"/>
        <v>9584573862.5599995</v>
      </c>
      <c r="R191" s="78">
        <f t="shared" si="337"/>
        <v>48933284905.849998</v>
      </c>
      <c r="S191" s="223">
        <f t="shared" ref="S191:Z191" si="452">+S192+S200+S206+S215</f>
        <v>8034676646.3299999</v>
      </c>
      <c r="T191" s="223">
        <f t="shared" si="452"/>
        <v>0</v>
      </c>
      <c r="U191" s="223">
        <f t="shared" si="452"/>
        <v>0</v>
      </c>
      <c r="V191" s="223">
        <f t="shared" si="452"/>
        <v>0</v>
      </c>
      <c r="W191" s="223">
        <f t="shared" si="452"/>
        <v>0</v>
      </c>
      <c r="X191" s="223">
        <f t="shared" si="452"/>
        <v>0</v>
      </c>
      <c r="Y191" s="223">
        <f t="shared" si="452"/>
        <v>0</v>
      </c>
      <c r="Z191" s="223">
        <f t="shared" si="452"/>
        <v>0</v>
      </c>
      <c r="AA191" s="78">
        <f t="shared" si="353"/>
        <v>8034676646.3299999</v>
      </c>
      <c r="AB191" s="78">
        <f t="shared" si="339"/>
        <v>56967961552.18</v>
      </c>
      <c r="AC191" s="174">
        <f t="shared" si="340"/>
        <v>0.55027816752350134</v>
      </c>
    </row>
    <row r="192" spans="1:29" s="63" customFormat="1" ht="15.75" x14ac:dyDescent="0.2">
      <c r="A192" s="397">
        <v>1</v>
      </c>
      <c r="B192" s="81" t="s">
        <v>610</v>
      </c>
      <c r="C192" s="79" t="s">
        <v>611</v>
      </c>
      <c r="D192" s="223">
        <f>+D193+D197+D198+D199</f>
        <v>38056330164</v>
      </c>
      <c r="E192" s="187">
        <f>SUM('ADICIONES  2021'!C192:I192)</f>
        <v>0</v>
      </c>
      <c r="F192" s="223">
        <f t="shared" ref="F192:J192" si="453">+F193+F197+F198+F199</f>
        <v>0</v>
      </c>
      <c r="G192" s="223">
        <f t="shared" si="453"/>
        <v>0</v>
      </c>
      <c r="H192" s="223">
        <f t="shared" si="453"/>
        <v>0</v>
      </c>
      <c r="I192" s="223">
        <f t="shared" si="453"/>
        <v>0</v>
      </c>
      <c r="J192" s="223">
        <f t="shared" si="453"/>
        <v>0</v>
      </c>
      <c r="K192" s="78">
        <f t="shared" si="329"/>
        <v>38056330164</v>
      </c>
      <c r="L192" s="223">
        <f t="shared" ref="L192:Q192" si="454">+L193+L197+L198+L199</f>
        <v>1807132284.9100001</v>
      </c>
      <c r="M192" s="223">
        <f t="shared" si="454"/>
        <v>2535499423.54</v>
      </c>
      <c r="N192" s="223">
        <f t="shared" si="454"/>
        <v>3951800697.96</v>
      </c>
      <c r="O192" s="223">
        <f t="shared" si="454"/>
        <v>2959306782.6900001</v>
      </c>
      <c r="P192" s="223">
        <f t="shared" si="454"/>
        <v>3999985062.46</v>
      </c>
      <c r="Q192" s="407">
        <f t="shared" si="454"/>
        <v>4231944300.0500002</v>
      </c>
      <c r="R192" s="78">
        <f t="shared" si="337"/>
        <v>19485668551.610001</v>
      </c>
      <c r="S192" s="223">
        <f>+S193+S197+S198+S199</f>
        <v>3621814882.3299999</v>
      </c>
      <c r="T192" s="223">
        <f t="shared" ref="T192:Z192" si="455">+T193+T197+T198+T199</f>
        <v>0</v>
      </c>
      <c r="U192" s="223">
        <f t="shared" si="455"/>
        <v>0</v>
      </c>
      <c r="V192" s="223">
        <f t="shared" si="455"/>
        <v>0</v>
      </c>
      <c r="W192" s="223">
        <f t="shared" si="455"/>
        <v>0</v>
      </c>
      <c r="X192" s="223">
        <f t="shared" si="455"/>
        <v>0</v>
      </c>
      <c r="Y192" s="223">
        <f t="shared" si="455"/>
        <v>0</v>
      </c>
      <c r="Z192" s="223">
        <f t="shared" si="455"/>
        <v>0</v>
      </c>
      <c r="AA192" s="78">
        <f t="shared" si="353"/>
        <v>3621814882.3299999</v>
      </c>
      <c r="AB192" s="78">
        <f t="shared" si="339"/>
        <v>23107483433.940002</v>
      </c>
      <c r="AC192" s="174">
        <f t="shared" si="340"/>
        <v>0.60719158506247406</v>
      </c>
    </row>
    <row r="193" spans="1:29" s="63" customFormat="1" ht="15.75" x14ac:dyDescent="0.2">
      <c r="A193" s="397"/>
      <c r="B193" s="81" t="s">
        <v>612</v>
      </c>
      <c r="C193" s="79" t="s">
        <v>613</v>
      </c>
      <c r="D193" s="329">
        <f>SUM(D194:D196)</f>
        <v>28475122042</v>
      </c>
      <c r="E193" s="187">
        <f>SUM('ADICIONES  2021'!C193:I193)</f>
        <v>0</v>
      </c>
      <c r="F193" s="223">
        <f t="shared" ref="F193:J193" si="456">SUM(F194:F196)</f>
        <v>0</v>
      </c>
      <c r="G193" s="223">
        <f t="shared" si="456"/>
        <v>0</v>
      </c>
      <c r="H193" s="223">
        <f t="shared" si="456"/>
        <v>0</v>
      </c>
      <c r="I193" s="223">
        <f t="shared" si="456"/>
        <v>0</v>
      </c>
      <c r="J193" s="223">
        <f t="shared" si="456"/>
        <v>0</v>
      </c>
      <c r="K193" s="78">
        <f t="shared" si="329"/>
        <v>28475122042</v>
      </c>
      <c r="L193" s="223">
        <f t="shared" ref="L193:Q193" si="457">SUM(L194:L196)</f>
        <v>1807132284.9100001</v>
      </c>
      <c r="M193" s="223">
        <f t="shared" si="457"/>
        <v>1368944374.54</v>
      </c>
      <c r="N193" s="223">
        <f t="shared" si="457"/>
        <v>1690104655.96</v>
      </c>
      <c r="O193" s="223">
        <f t="shared" si="457"/>
        <v>1828458761.6900001</v>
      </c>
      <c r="P193" s="223">
        <f t="shared" si="457"/>
        <v>2869137041.46</v>
      </c>
      <c r="Q193" s="407">
        <f t="shared" si="457"/>
        <v>3101096279.0500002</v>
      </c>
      <c r="R193" s="78">
        <f t="shared" si="337"/>
        <v>12664873397.610001</v>
      </c>
      <c r="S193" s="223">
        <f>SUM(S194:S196)</f>
        <v>2490966861.3299999</v>
      </c>
      <c r="T193" s="223">
        <f t="shared" ref="T193:Z193" si="458">SUM(T194:T196)</f>
        <v>0</v>
      </c>
      <c r="U193" s="223">
        <f t="shared" si="458"/>
        <v>0</v>
      </c>
      <c r="V193" s="223">
        <f t="shared" si="458"/>
        <v>0</v>
      </c>
      <c r="W193" s="223">
        <f t="shared" si="458"/>
        <v>0</v>
      </c>
      <c r="X193" s="223">
        <f t="shared" si="458"/>
        <v>0</v>
      </c>
      <c r="Y193" s="223">
        <f t="shared" si="458"/>
        <v>0</v>
      </c>
      <c r="Z193" s="223">
        <f t="shared" si="458"/>
        <v>0</v>
      </c>
      <c r="AA193" s="78">
        <f t="shared" si="353"/>
        <v>2490966861.3299999</v>
      </c>
      <c r="AB193" s="78">
        <f t="shared" si="339"/>
        <v>15155840258.940001</v>
      </c>
      <c r="AC193" s="174">
        <f t="shared" si="340"/>
        <v>0.53224847417986709</v>
      </c>
    </row>
    <row r="194" spans="1:29" ht="28.5" x14ac:dyDescent="0.2">
      <c r="A194" s="396">
        <v>1</v>
      </c>
      <c r="B194" s="76" t="s">
        <v>614</v>
      </c>
      <c r="C194" s="77" t="s">
        <v>615</v>
      </c>
      <c r="D194" s="330">
        <v>22468768140</v>
      </c>
      <c r="E194" s="188">
        <f>SUM('ADICIONES  2021'!C194:I194)</f>
        <v>0</v>
      </c>
      <c r="F194" s="41"/>
      <c r="G194" s="41"/>
      <c r="H194" s="41"/>
      <c r="I194" s="41"/>
      <c r="J194" s="41"/>
      <c r="K194" s="128">
        <f t="shared" si="329"/>
        <v>22468768140</v>
      </c>
      <c r="L194" s="41">
        <v>1496322037</v>
      </c>
      <c r="M194" s="41">
        <v>1368196271</v>
      </c>
      <c r="N194" s="41">
        <v>1496322037</v>
      </c>
      <c r="O194" s="41">
        <v>1496322037</v>
      </c>
      <c r="P194" s="41">
        <v>1496322037</v>
      </c>
      <c r="Q194" s="409">
        <v>2992644074</v>
      </c>
      <c r="R194" s="128">
        <f t="shared" si="337"/>
        <v>10346128493</v>
      </c>
      <c r="S194" s="41">
        <v>1496322037</v>
      </c>
      <c r="T194" s="41"/>
      <c r="U194" s="41"/>
      <c r="V194" s="41"/>
      <c r="W194" s="41"/>
      <c r="X194" s="41"/>
      <c r="Y194" s="41"/>
      <c r="Z194" s="41"/>
      <c r="AA194" s="128">
        <f t="shared" si="353"/>
        <v>1496322037</v>
      </c>
      <c r="AB194" s="128">
        <f t="shared" si="339"/>
        <v>11842450530</v>
      </c>
      <c r="AC194" s="175">
        <f t="shared" si="340"/>
        <v>0.5270627413221417</v>
      </c>
    </row>
    <row r="195" spans="1:29" ht="28.5" x14ac:dyDescent="0.2">
      <c r="A195" s="396">
        <v>1</v>
      </c>
      <c r="B195" s="76" t="s">
        <v>616</v>
      </c>
      <c r="C195" s="77" t="s">
        <v>617</v>
      </c>
      <c r="D195" s="330">
        <v>4054780119</v>
      </c>
      <c r="E195" s="188">
        <f>SUM('ADICIONES  2021'!C195:I195)</f>
        <v>0</v>
      </c>
      <c r="F195" s="41"/>
      <c r="G195" s="41"/>
      <c r="H195" s="41"/>
      <c r="I195" s="41"/>
      <c r="J195" s="41"/>
      <c r="K195" s="128">
        <f t="shared" si="329"/>
        <v>4054780119</v>
      </c>
      <c r="L195" s="41">
        <v>310810247.91000003</v>
      </c>
      <c r="M195" s="41">
        <v>748103.54</v>
      </c>
      <c r="N195" s="41">
        <v>193782618.96000001</v>
      </c>
      <c r="O195" s="41">
        <v>332136724.69</v>
      </c>
      <c r="P195" s="41">
        <v>1372815004.46</v>
      </c>
      <c r="Q195" s="409">
        <v>108452205.05</v>
      </c>
      <c r="R195" s="128">
        <f t="shared" si="337"/>
        <v>2318744904.6100006</v>
      </c>
      <c r="S195" s="41">
        <v>994644824.33000004</v>
      </c>
      <c r="T195" s="41"/>
      <c r="U195" s="41"/>
      <c r="V195" s="41"/>
      <c r="W195" s="41"/>
      <c r="X195" s="41"/>
      <c r="Y195" s="41"/>
      <c r="Z195" s="41"/>
      <c r="AA195" s="128">
        <f t="shared" si="353"/>
        <v>994644824.33000004</v>
      </c>
      <c r="AB195" s="128">
        <f t="shared" si="339"/>
        <v>3313389728.9400005</v>
      </c>
      <c r="AC195" s="175">
        <f t="shared" si="340"/>
        <v>0.81715645033722739</v>
      </c>
    </row>
    <row r="196" spans="1:29" ht="14.25" x14ac:dyDescent="0.2">
      <c r="A196" s="396">
        <v>1</v>
      </c>
      <c r="B196" s="76" t="s">
        <v>618</v>
      </c>
      <c r="C196" s="77" t="s">
        <v>619</v>
      </c>
      <c r="D196" s="330">
        <v>1951573783</v>
      </c>
      <c r="E196" s="188">
        <f>SUM('ADICIONES  2021'!C196:I196)</f>
        <v>0</v>
      </c>
      <c r="F196" s="41"/>
      <c r="G196" s="41"/>
      <c r="H196" s="41"/>
      <c r="I196" s="41"/>
      <c r="J196" s="41"/>
      <c r="K196" s="128">
        <f t="shared" si="329"/>
        <v>1951573783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09">
        <v>0</v>
      </c>
      <c r="R196" s="128">
        <f t="shared" si="337"/>
        <v>0</v>
      </c>
      <c r="S196" s="41">
        <v>0</v>
      </c>
      <c r="T196" s="41"/>
      <c r="U196" s="41"/>
      <c r="V196" s="41"/>
      <c r="W196" s="41"/>
      <c r="X196" s="41"/>
      <c r="Y196" s="41"/>
      <c r="Z196" s="41"/>
      <c r="AA196" s="128">
        <f t="shared" si="353"/>
        <v>0</v>
      </c>
      <c r="AB196" s="128">
        <f t="shared" si="339"/>
        <v>0</v>
      </c>
      <c r="AC196" s="175">
        <f t="shared" si="340"/>
        <v>0</v>
      </c>
    </row>
    <row r="197" spans="1:29" x14ac:dyDescent="0.2">
      <c r="A197" s="396">
        <v>1</v>
      </c>
      <c r="B197" s="82" t="s">
        <v>620</v>
      </c>
      <c r="C197" s="154" t="s">
        <v>621</v>
      </c>
      <c r="D197" s="330">
        <v>9581208122</v>
      </c>
      <c r="E197" s="188">
        <f>SUM('ADICIONES  2021'!C197:I197)</f>
        <v>0</v>
      </c>
      <c r="F197" s="41"/>
      <c r="G197" s="41"/>
      <c r="H197" s="41"/>
      <c r="I197" s="41"/>
      <c r="J197" s="41"/>
      <c r="K197" s="128">
        <f t="shared" si="329"/>
        <v>9581208122</v>
      </c>
      <c r="L197" s="41">
        <v>0</v>
      </c>
      <c r="M197" s="41">
        <v>1166555049</v>
      </c>
      <c r="N197" s="41">
        <v>2261696042</v>
      </c>
      <c r="O197" s="41">
        <v>1130848021</v>
      </c>
      <c r="P197" s="41">
        <v>1130848021</v>
      </c>
      <c r="Q197" s="409">
        <v>1130848021</v>
      </c>
      <c r="R197" s="128">
        <f t="shared" si="337"/>
        <v>6820795154</v>
      </c>
      <c r="S197" s="41">
        <v>1130848021</v>
      </c>
      <c r="T197" s="41"/>
      <c r="U197" s="41"/>
      <c r="V197" s="41"/>
      <c r="W197" s="41"/>
      <c r="X197" s="41"/>
      <c r="Y197" s="41"/>
      <c r="Z197" s="41"/>
      <c r="AA197" s="128">
        <f t="shared" si="353"/>
        <v>1130848021</v>
      </c>
      <c r="AB197" s="128">
        <f t="shared" si="339"/>
        <v>7951643175</v>
      </c>
      <c r="AC197" s="175">
        <f t="shared" si="340"/>
        <v>0.82992072333151223</v>
      </c>
    </row>
    <row r="198" spans="1:29" hidden="1" x14ac:dyDescent="0.2">
      <c r="B198" s="82" t="s">
        <v>620</v>
      </c>
      <c r="C198" s="154" t="s">
        <v>621</v>
      </c>
      <c r="D198" s="330"/>
      <c r="E198" s="188">
        <f>SUM('ADICIONES  2021'!C198:I198)</f>
        <v>0</v>
      </c>
      <c r="F198" s="41"/>
      <c r="G198" s="41"/>
      <c r="H198" s="41"/>
      <c r="I198" s="41"/>
      <c r="J198" s="41"/>
      <c r="K198" s="128">
        <f t="shared" si="329"/>
        <v>0</v>
      </c>
      <c r="L198" s="41"/>
      <c r="M198" s="41"/>
      <c r="N198" s="41"/>
      <c r="O198" s="41"/>
      <c r="P198" s="41"/>
      <c r="Q198" s="409"/>
      <c r="R198" s="128">
        <f t="shared" si="337"/>
        <v>0</v>
      </c>
      <c r="S198" s="41"/>
      <c r="T198" s="41"/>
      <c r="U198" s="41"/>
      <c r="V198" s="41"/>
      <c r="W198" s="41"/>
      <c r="X198" s="41"/>
      <c r="Y198" s="41"/>
      <c r="Z198" s="41"/>
      <c r="AA198" s="128">
        <f t="shared" ref="AA198:AA199" si="459">SUM(S198:Z198)</f>
        <v>0</v>
      </c>
      <c r="AB198" s="128">
        <f t="shared" ref="AB198:AB199" si="460">+R198+AA198</f>
        <v>0</v>
      </c>
      <c r="AC198" s="175" t="e">
        <f t="shared" ref="AC198:AC199" si="461">+AB198/K198</f>
        <v>#DIV/0!</v>
      </c>
    </row>
    <row r="199" spans="1:29" ht="28.5" hidden="1" x14ac:dyDescent="0.2">
      <c r="B199" s="82" t="s">
        <v>1889</v>
      </c>
      <c r="C199" s="154" t="s">
        <v>1890</v>
      </c>
      <c r="D199" s="330"/>
      <c r="E199" s="188">
        <f>SUM('ADICIONES  2021'!C199:I199)</f>
        <v>0</v>
      </c>
      <c r="F199" s="41"/>
      <c r="G199" s="41"/>
      <c r="H199" s="41"/>
      <c r="I199" s="41"/>
      <c r="J199" s="41"/>
      <c r="K199" s="128">
        <f t="shared" si="329"/>
        <v>0</v>
      </c>
      <c r="L199" s="41"/>
      <c r="M199" s="41"/>
      <c r="N199" s="41"/>
      <c r="O199" s="41"/>
      <c r="P199" s="41"/>
      <c r="Q199" s="409"/>
      <c r="R199" s="128">
        <f t="shared" si="337"/>
        <v>0</v>
      </c>
      <c r="S199" s="41"/>
      <c r="T199" s="41"/>
      <c r="U199" s="41"/>
      <c r="V199" s="41"/>
      <c r="W199" s="41"/>
      <c r="X199" s="41"/>
      <c r="Y199" s="41"/>
      <c r="Z199" s="41"/>
      <c r="AA199" s="128">
        <f t="shared" si="459"/>
        <v>0</v>
      </c>
      <c r="AB199" s="128">
        <f t="shared" si="460"/>
        <v>0</v>
      </c>
      <c r="AC199" s="175" t="e">
        <f t="shared" si="461"/>
        <v>#DIV/0!</v>
      </c>
    </row>
    <row r="200" spans="1:29" s="63" customFormat="1" ht="15.75" x14ac:dyDescent="0.2">
      <c r="A200" s="397"/>
      <c r="B200" s="81" t="s">
        <v>622</v>
      </c>
      <c r="C200" s="79" t="s">
        <v>623</v>
      </c>
      <c r="D200" s="329">
        <f>+D201</f>
        <v>26607211000</v>
      </c>
      <c r="E200" s="187">
        <f>SUM('ADICIONES  2021'!C200:I200)</f>
        <v>0</v>
      </c>
      <c r="F200" s="223">
        <f t="shared" ref="F200:J201" si="462">+F201</f>
        <v>684211000</v>
      </c>
      <c r="G200" s="223">
        <f t="shared" si="462"/>
        <v>0</v>
      </c>
      <c r="H200" s="223">
        <f t="shared" si="462"/>
        <v>0</v>
      </c>
      <c r="I200" s="223">
        <f t="shared" si="462"/>
        <v>0</v>
      </c>
      <c r="J200" s="223">
        <f t="shared" si="462"/>
        <v>0</v>
      </c>
      <c r="K200" s="78">
        <f t="shared" si="329"/>
        <v>25923000000</v>
      </c>
      <c r="L200" s="223">
        <f t="shared" ref="L200:Q201" si="463">+L201</f>
        <v>2138137700</v>
      </c>
      <c r="M200" s="223">
        <f t="shared" si="463"/>
        <v>2332148877</v>
      </c>
      <c r="N200" s="223">
        <f t="shared" si="463"/>
        <v>2067713952</v>
      </c>
      <c r="O200" s="223">
        <f t="shared" si="463"/>
        <v>2146608857</v>
      </c>
      <c r="P200" s="223">
        <f t="shared" si="463"/>
        <v>2495200340</v>
      </c>
      <c r="Q200" s="407">
        <f t="shared" si="463"/>
        <v>2151327249</v>
      </c>
      <c r="R200" s="78">
        <f t="shared" si="337"/>
        <v>13331136975</v>
      </c>
      <c r="S200" s="223">
        <f t="shared" ref="S200:Z201" si="464">+S201</f>
        <v>1836998746</v>
      </c>
      <c r="T200" s="223">
        <f t="shared" si="464"/>
        <v>0</v>
      </c>
      <c r="U200" s="223">
        <f t="shared" si="464"/>
        <v>0</v>
      </c>
      <c r="V200" s="223">
        <f t="shared" si="464"/>
        <v>0</v>
      </c>
      <c r="W200" s="223">
        <f t="shared" si="464"/>
        <v>0</v>
      </c>
      <c r="X200" s="223">
        <f t="shared" si="464"/>
        <v>0</v>
      </c>
      <c r="Y200" s="223">
        <f t="shared" si="464"/>
        <v>0</v>
      </c>
      <c r="Z200" s="223">
        <f t="shared" si="464"/>
        <v>0</v>
      </c>
      <c r="AA200" s="78">
        <f t="shared" si="353"/>
        <v>1836998746</v>
      </c>
      <c r="AB200" s="78">
        <f t="shared" si="339"/>
        <v>15168135721</v>
      </c>
      <c r="AC200" s="174">
        <f t="shared" si="340"/>
        <v>0.58512269880029322</v>
      </c>
    </row>
    <row r="201" spans="1:29" s="63" customFormat="1" ht="15.75" x14ac:dyDescent="0.2">
      <c r="A201" s="397"/>
      <c r="B201" s="81" t="s">
        <v>624</v>
      </c>
      <c r="C201" s="79" t="s">
        <v>625</v>
      </c>
      <c r="D201" s="329">
        <f>+D202</f>
        <v>26607211000</v>
      </c>
      <c r="E201" s="187">
        <f>SUM('ADICIONES  2021'!C201:I201)</f>
        <v>0</v>
      </c>
      <c r="F201" s="223">
        <f t="shared" si="462"/>
        <v>684211000</v>
      </c>
      <c r="G201" s="223">
        <f t="shared" si="462"/>
        <v>0</v>
      </c>
      <c r="H201" s="223">
        <f t="shared" si="462"/>
        <v>0</v>
      </c>
      <c r="I201" s="223">
        <f t="shared" si="462"/>
        <v>0</v>
      </c>
      <c r="J201" s="223">
        <f t="shared" si="462"/>
        <v>0</v>
      </c>
      <c r="K201" s="78">
        <f t="shared" si="329"/>
        <v>25923000000</v>
      </c>
      <c r="L201" s="223">
        <f t="shared" si="463"/>
        <v>2138137700</v>
      </c>
      <c r="M201" s="223">
        <f t="shared" si="463"/>
        <v>2332148877</v>
      </c>
      <c r="N201" s="223">
        <f t="shared" si="463"/>
        <v>2067713952</v>
      </c>
      <c r="O201" s="223">
        <f t="shared" si="463"/>
        <v>2146608857</v>
      </c>
      <c r="P201" s="223">
        <f t="shared" si="463"/>
        <v>2495200340</v>
      </c>
      <c r="Q201" s="407">
        <f t="shared" si="463"/>
        <v>2151327249</v>
      </c>
      <c r="R201" s="78">
        <f t="shared" si="337"/>
        <v>13331136975</v>
      </c>
      <c r="S201" s="223">
        <f t="shared" si="464"/>
        <v>1836998746</v>
      </c>
      <c r="T201" s="223">
        <f t="shared" si="464"/>
        <v>0</v>
      </c>
      <c r="U201" s="223">
        <f t="shared" si="464"/>
        <v>0</v>
      </c>
      <c r="V201" s="223">
        <f t="shared" si="464"/>
        <v>0</v>
      </c>
      <c r="W201" s="223">
        <f t="shared" si="464"/>
        <v>0</v>
      </c>
      <c r="X201" s="223">
        <f t="shared" si="464"/>
        <v>0</v>
      </c>
      <c r="Y201" s="223">
        <f t="shared" si="464"/>
        <v>0</v>
      </c>
      <c r="Z201" s="223">
        <f t="shared" si="464"/>
        <v>0</v>
      </c>
      <c r="AA201" s="78">
        <f t="shared" si="353"/>
        <v>1836998746</v>
      </c>
      <c r="AB201" s="78">
        <f t="shared" si="339"/>
        <v>15168135721</v>
      </c>
      <c r="AC201" s="174">
        <f t="shared" si="340"/>
        <v>0.58512269880029322</v>
      </c>
    </row>
    <row r="202" spans="1:29" s="63" customFormat="1" ht="15.75" x14ac:dyDescent="0.2">
      <c r="A202" s="397">
        <v>1</v>
      </c>
      <c r="B202" s="81" t="s">
        <v>626</v>
      </c>
      <c r="C202" s="79" t="s">
        <v>627</v>
      </c>
      <c r="D202" s="329">
        <f>SUM(D203:D205)</f>
        <v>26607211000</v>
      </c>
      <c r="E202" s="187">
        <f>SUM('ADICIONES  2021'!C202:I202)</f>
        <v>0</v>
      </c>
      <c r="F202" s="223">
        <f t="shared" ref="F202:J202" si="465">SUM(F203:F205)</f>
        <v>684211000</v>
      </c>
      <c r="G202" s="223">
        <f t="shared" si="465"/>
        <v>0</v>
      </c>
      <c r="H202" s="223">
        <f t="shared" si="465"/>
        <v>0</v>
      </c>
      <c r="I202" s="223">
        <f t="shared" si="465"/>
        <v>0</v>
      </c>
      <c r="J202" s="223">
        <f t="shared" si="465"/>
        <v>0</v>
      </c>
      <c r="K202" s="78">
        <f t="shared" si="329"/>
        <v>25923000000</v>
      </c>
      <c r="L202" s="223">
        <f t="shared" ref="L202:Q202" si="466">SUM(L203:L205)</f>
        <v>2138137700</v>
      </c>
      <c r="M202" s="223">
        <f t="shared" si="466"/>
        <v>2332148877</v>
      </c>
      <c r="N202" s="223">
        <f t="shared" si="466"/>
        <v>2067713952</v>
      </c>
      <c r="O202" s="223">
        <f t="shared" si="466"/>
        <v>2146608857</v>
      </c>
      <c r="P202" s="223">
        <f t="shared" si="466"/>
        <v>2495200340</v>
      </c>
      <c r="Q202" s="407">
        <f t="shared" si="466"/>
        <v>2151327249</v>
      </c>
      <c r="R202" s="78">
        <f t="shared" si="337"/>
        <v>13331136975</v>
      </c>
      <c r="S202" s="223">
        <f t="shared" ref="S202:Z202" si="467">SUM(S203:S205)</f>
        <v>1836998746</v>
      </c>
      <c r="T202" s="223">
        <f t="shared" si="467"/>
        <v>0</v>
      </c>
      <c r="U202" s="223">
        <f t="shared" si="467"/>
        <v>0</v>
      </c>
      <c r="V202" s="223">
        <f t="shared" si="467"/>
        <v>0</v>
      </c>
      <c r="W202" s="223">
        <f t="shared" si="467"/>
        <v>0</v>
      </c>
      <c r="X202" s="223">
        <f t="shared" si="467"/>
        <v>0</v>
      </c>
      <c r="Y202" s="223">
        <f t="shared" si="467"/>
        <v>0</v>
      </c>
      <c r="Z202" s="223">
        <f t="shared" si="467"/>
        <v>0</v>
      </c>
      <c r="AA202" s="78">
        <f t="shared" si="353"/>
        <v>1836998746</v>
      </c>
      <c r="AB202" s="78">
        <f t="shared" si="339"/>
        <v>15168135721</v>
      </c>
      <c r="AC202" s="174">
        <f t="shared" si="340"/>
        <v>0.58512269880029322</v>
      </c>
    </row>
    <row r="203" spans="1:29" ht="14.25" x14ac:dyDescent="0.2">
      <c r="B203" s="76" t="s">
        <v>628</v>
      </c>
      <c r="C203" s="77" t="s">
        <v>629</v>
      </c>
      <c r="D203" s="334">
        <v>13000000000</v>
      </c>
      <c r="E203" s="188">
        <f>SUM('ADICIONES  2021'!C203:I203)</f>
        <v>0</v>
      </c>
      <c r="F203" s="128"/>
      <c r="G203" s="128"/>
      <c r="H203" s="128"/>
      <c r="I203" s="128"/>
      <c r="J203" s="128"/>
      <c r="K203" s="128">
        <f t="shared" si="329"/>
        <v>13000000000</v>
      </c>
      <c r="L203" s="128">
        <v>1069068850</v>
      </c>
      <c r="M203" s="128">
        <v>1166074438.5</v>
      </c>
      <c r="N203" s="128">
        <v>1033856976</v>
      </c>
      <c r="O203" s="128">
        <v>1073304428.5</v>
      </c>
      <c r="P203" s="128">
        <v>1247600170</v>
      </c>
      <c r="Q203" s="413">
        <v>1075663624.5</v>
      </c>
      <c r="R203" s="128">
        <f t="shared" si="337"/>
        <v>6665568487.5</v>
      </c>
      <c r="S203" s="128">
        <v>918499373</v>
      </c>
      <c r="T203" s="128"/>
      <c r="U203" s="128"/>
      <c r="V203" s="128"/>
      <c r="W203" s="128"/>
      <c r="X203" s="128"/>
      <c r="Y203" s="128"/>
      <c r="Z203" s="128"/>
      <c r="AA203" s="128">
        <f t="shared" si="353"/>
        <v>918499373</v>
      </c>
      <c r="AB203" s="128">
        <f t="shared" si="339"/>
        <v>7584067860.5</v>
      </c>
      <c r="AC203" s="175">
        <v>0</v>
      </c>
    </row>
    <row r="204" spans="1:29" ht="28.5" hidden="1" x14ac:dyDescent="0.2">
      <c r="B204" s="76" t="s">
        <v>630</v>
      </c>
      <c r="C204" s="77" t="s">
        <v>631</v>
      </c>
      <c r="D204" s="334">
        <v>684211000</v>
      </c>
      <c r="E204" s="188">
        <f>SUM('ADICIONES  2021'!C204:I204)</f>
        <v>0</v>
      </c>
      <c r="F204" s="128">
        <v>684211000</v>
      </c>
      <c r="G204" s="128"/>
      <c r="H204" s="128"/>
      <c r="I204" s="128"/>
      <c r="J204" s="128"/>
      <c r="K204" s="128">
        <f t="shared" si="329"/>
        <v>0</v>
      </c>
      <c r="L204" s="128">
        <v>0</v>
      </c>
      <c r="M204" s="128">
        <v>0</v>
      </c>
      <c r="N204" s="128">
        <v>0</v>
      </c>
      <c r="O204" s="128">
        <v>0</v>
      </c>
      <c r="P204" s="128">
        <v>0</v>
      </c>
      <c r="Q204" s="413">
        <v>0</v>
      </c>
      <c r="R204" s="128">
        <f t="shared" si="337"/>
        <v>0</v>
      </c>
      <c r="S204" s="128">
        <v>0</v>
      </c>
      <c r="T204" s="128"/>
      <c r="U204" s="128"/>
      <c r="V204" s="128"/>
      <c r="W204" s="128"/>
      <c r="X204" s="128"/>
      <c r="Y204" s="128"/>
      <c r="Z204" s="128"/>
      <c r="AA204" s="128">
        <f t="shared" si="353"/>
        <v>0</v>
      </c>
      <c r="AB204" s="128">
        <f t="shared" si="339"/>
        <v>0</v>
      </c>
      <c r="AC204" s="175" t="e">
        <f t="shared" si="340"/>
        <v>#DIV/0!</v>
      </c>
    </row>
    <row r="205" spans="1:29" ht="14.25" x14ac:dyDescent="0.2">
      <c r="B205" s="76" t="s">
        <v>632</v>
      </c>
      <c r="C205" s="77" t="s">
        <v>633</v>
      </c>
      <c r="D205" s="334">
        <v>12923000000</v>
      </c>
      <c r="E205" s="188">
        <f>SUM('ADICIONES  2021'!C205:I205)</f>
        <v>0</v>
      </c>
      <c r="F205" s="128"/>
      <c r="G205" s="128"/>
      <c r="H205" s="128"/>
      <c r="I205" s="128"/>
      <c r="J205" s="128"/>
      <c r="K205" s="128">
        <f t="shared" si="329"/>
        <v>12923000000</v>
      </c>
      <c r="L205" s="128">
        <v>1069068850</v>
      </c>
      <c r="M205" s="128">
        <v>1166074438.5</v>
      </c>
      <c r="N205" s="128">
        <v>1033856976</v>
      </c>
      <c r="O205" s="128">
        <v>1073304428.5</v>
      </c>
      <c r="P205" s="128">
        <v>1247600170</v>
      </c>
      <c r="Q205" s="413">
        <v>1075663624.5</v>
      </c>
      <c r="R205" s="128">
        <f t="shared" si="337"/>
        <v>6665568487.5</v>
      </c>
      <c r="S205" s="128">
        <v>918499373</v>
      </c>
      <c r="T205" s="128"/>
      <c r="U205" s="128"/>
      <c r="V205" s="128"/>
      <c r="W205" s="128"/>
      <c r="X205" s="128"/>
      <c r="Y205" s="128"/>
      <c r="Z205" s="128"/>
      <c r="AA205" s="128">
        <f t="shared" si="353"/>
        <v>918499373</v>
      </c>
      <c r="AB205" s="128">
        <f t="shared" si="339"/>
        <v>7584067860.5</v>
      </c>
      <c r="AC205" s="175">
        <f t="shared" si="340"/>
        <v>0.58686588721659061</v>
      </c>
    </row>
    <row r="206" spans="1:29" s="63" customFormat="1" ht="31.5" x14ac:dyDescent="0.2">
      <c r="A206" s="397"/>
      <c r="B206" s="81" t="s">
        <v>634</v>
      </c>
      <c r="C206" s="79" t="s">
        <v>635</v>
      </c>
      <c r="D206" s="329">
        <f>+D207</f>
        <v>29546422654</v>
      </c>
      <c r="E206" s="187">
        <f>SUM('ADICIONES  2021'!C206:I206)</f>
        <v>0</v>
      </c>
      <c r="F206" s="223">
        <f t="shared" ref="F206:J206" si="468">+F207</f>
        <v>0</v>
      </c>
      <c r="G206" s="223">
        <f t="shared" si="468"/>
        <v>0</v>
      </c>
      <c r="H206" s="223">
        <f t="shared" si="468"/>
        <v>0</v>
      </c>
      <c r="I206" s="223">
        <f t="shared" si="468"/>
        <v>0</v>
      </c>
      <c r="J206" s="223">
        <f t="shared" si="468"/>
        <v>0</v>
      </c>
      <c r="K206" s="78">
        <f t="shared" ref="K206:K269" si="469">+D206+E206-F206+G206-H206</f>
        <v>29546422654</v>
      </c>
      <c r="L206" s="223">
        <f t="shared" ref="L206:Q206" si="470">+L207</f>
        <v>2689340356</v>
      </c>
      <c r="M206" s="223">
        <f t="shared" si="470"/>
        <v>3121740609</v>
      </c>
      <c r="N206" s="223">
        <f t="shared" si="470"/>
        <v>2232489239</v>
      </c>
      <c r="O206" s="223">
        <f t="shared" si="470"/>
        <v>2465264422</v>
      </c>
      <c r="P206" s="223">
        <f t="shared" si="470"/>
        <v>2281276903</v>
      </c>
      <c r="Q206" s="407">
        <f t="shared" si="470"/>
        <v>2326994969</v>
      </c>
      <c r="R206" s="78">
        <f t="shared" si="337"/>
        <v>15117106498</v>
      </c>
      <c r="S206" s="223">
        <f t="shared" ref="S206:Z206" si="471">+S207</f>
        <v>2575863018</v>
      </c>
      <c r="T206" s="223">
        <f t="shared" si="471"/>
        <v>0</v>
      </c>
      <c r="U206" s="223">
        <f t="shared" si="471"/>
        <v>0</v>
      </c>
      <c r="V206" s="223">
        <f t="shared" si="471"/>
        <v>0</v>
      </c>
      <c r="W206" s="223">
        <f t="shared" si="471"/>
        <v>0</v>
      </c>
      <c r="X206" s="223">
        <f t="shared" si="471"/>
        <v>0</v>
      </c>
      <c r="Y206" s="223">
        <f t="shared" si="471"/>
        <v>0</v>
      </c>
      <c r="Z206" s="223">
        <f t="shared" si="471"/>
        <v>0</v>
      </c>
      <c r="AA206" s="78">
        <f t="shared" si="353"/>
        <v>2575863018</v>
      </c>
      <c r="AB206" s="78">
        <f t="shared" si="339"/>
        <v>17692969516</v>
      </c>
      <c r="AC206" s="174">
        <f t="shared" si="340"/>
        <v>0.59881934686955152</v>
      </c>
    </row>
    <row r="207" spans="1:29" s="63" customFormat="1" ht="15.75" x14ac:dyDescent="0.2">
      <c r="A207" s="397"/>
      <c r="B207" s="81" t="s">
        <v>636</v>
      </c>
      <c r="C207" s="79" t="s">
        <v>637</v>
      </c>
      <c r="D207" s="329">
        <f>SUM(D208:D211)</f>
        <v>29546422654</v>
      </c>
      <c r="E207" s="187">
        <f>SUM('ADICIONES  2021'!C207:I207)</f>
        <v>0</v>
      </c>
      <c r="F207" s="223">
        <f t="shared" ref="F207:J207" si="472">SUM(F208:F211)</f>
        <v>0</v>
      </c>
      <c r="G207" s="223">
        <f t="shared" si="472"/>
        <v>0</v>
      </c>
      <c r="H207" s="223">
        <f t="shared" si="472"/>
        <v>0</v>
      </c>
      <c r="I207" s="223">
        <f t="shared" si="472"/>
        <v>0</v>
      </c>
      <c r="J207" s="223">
        <f t="shared" si="472"/>
        <v>0</v>
      </c>
      <c r="K207" s="78">
        <f t="shared" si="469"/>
        <v>29546422654</v>
      </c>
      <c r="L207" s="223">
        <f t="shared" ref="L207:Q207" si="473">SUM(L208:L211)</f>
        <v>2689340356</v>
      </c>
      <c r="M207" s="223">
        <f t="shared" si="473"/>
        <v>3121740609</v>
      </c>
      <c r="N207" s="223">
        <f t="shared" si="473"/>
        <v>2232489239</v>
      </c>
      <c r="O207" s="223">
        <f t="shared" si="473"/>
        <v>2465264422</v>
      </c>
      <c r="P207" s="223">
        <f t="shared" si="473"/>
        <v>2281276903</v>
      </c>
      <c r="Q207" s="407">
        <f t="shared" si="473"/>
        <v>2326994969</v>
      </c>
      <c r="R207" s="78">
        <f t="shared" si="337"/>
        <v>15117106498</v>
      </c>
      <c r="S207" s="223">
        <f t="shared" ref="S207:Z207" si="474">SUM(S208:S211)</f>
        <v>2575863018</v>
      </c>
      <c r="T207" s="223">
        <f t="shared" si="474"/>
        <v>0</v>
      </c>
      <c r="U207" s="223">
        <f t="shared" si="474"/>
        <v>0</v>
      </c>
      <c r="V207" s="223">
        <f t="shared" si="474"/>
        <v>0</v>
      </c>
      <c r="W207" s="223">
        <f t="shared" si="474"/>
        <v>0</v>
      </c>
      <c r="X207" s="223">
        <f t="shared" si="474"/>
        <v>0</v>
      </c>
      <c r="Y207" s="223">
        <f t="shared" si="474"/>
        <v>0</v>
      </c>
      <c r="Z207" s="223">
        <f t="shared" si="474"/>
        <v>0</v>
      </c>
      <c r="AA207" s="78">
        <f t="shared" si="353"/>
        <v>2575863018</v>
      </c>
      <c r="AB207" s="78">
        <f t="shared" si="339"/>
        <v>17692969516</v>
      </c>
      <c r="AC207" s="174">
        <f t="shared" si="340"/>
        <v>0.59881934686955152</v>
      </c>
    </row>
    <row r="208" spans="1:29" ht="14.25" x14ac:dyDescent="0.2">
      <c r="A208" s="396">
        <v>1</v>
      </c>
      <c r="B208" s="76" t="s">
        <v>638</v>
      </c>
      <c r="C208" s="77" t="s">
        <v>639</v>
      </c>
      <c r="D208" s="330">
        <v>2000000000</v>
      </c>
      <c r="E208" s="188">
        <f>SUM('ADICIONES  2021'!C208:I208)</f>
        <v>0</v>
      </c>
      <c r="F208" s="41"/>
      <c r="G208" s="41"/>
      <c r="H208" s="41"/>
      <c r="I208" s="41"/>
      <c r="J208" s="41"/>
      <c r="K208" s="128">
        <f t="shared" si="469"/>
        <v>2000000000</v>
      </c>
      <c r="L208" s="41">
        <v>0</v>
      </c>
      <c r="M208" s="41">
        <v>250391108</v>
      </c>
      <c r="N208" s="41">
        <v>7595746</v>
      </c>
      <c r="O208" s="41">
        <v>7749123</v>
      </c>
      <c r="P208" s="41">
        <v>7239528</v>
      </c>
      <c r="Q208" s="409">
        <v>7940102</v>
      </c>
      <c r="R208" s="128">
        <f t="shared" ref="R208:R272" si="475">SUM(L208:Q208)</f>
        <v>280915607</v>
      </c>
      <c r="S208" s="41">
        <v>11152333</v>
      </c>
      <c r="T208" s="41"/>
      <c r="U208" s="41"/>
      <c r="V208" s="41"/>
      <c r="W208" s="41"/>
      <c r="X208" s="41"/>
      <c r="Y208" s="41"/>
      <c r="Z208" s="41"/>
      <c r="AA208" s="128">
        <f t="shared" si="353"/>
        <v>11152333</v>
      </c>
      <c r="AB208" s="128">
        <f t="shared" ref="AB208:AB272" si="476">+R208+AA208</f>
        <v>292067940</v>
      </c>
      <c r="AC208" s="175">
        <f t="shared" si="340"/>
        <v>0.14603397000000001</v>
      </c>
    </row>
    <row r="209" spans="1:29" ht="28.5" x14ac:dyDescent="0.2">
      <c r="A209" s="396">
        <v>1</v>
      </c>
      <c r="B209" s="76" t="s">
        <v>640</v>
      </c>
      <c r="C209" s="77" t="s">
        <v>641</v>
      </c>
      <c r="D209" s="330">
        <v>13813301332</v>
      </c>
      <c r="E209" s="188">
        <f>SUM('ADICIONES  2021'!C209:I209)</f>
        <v>0</v>
      </c>
      <c r="F209" s="41"/>
      <c r="G209" s="41"/>
      <c r="H209" s="41"/>
      <c r="I209" s="41"/>
      <c r="J209" s="41"/>
      <c r="K209" s="128">
        <f t="shared" si="469"/>
        <v>13813301332</v>
      </c>
      <c r="L209" s="41">
        <v>0</v>
      </c>
      <c r="M209" s="41">
        <v>0</v>
      </c>
      <c r="N209" s="41">
        <v>0</v>
      </c>
      <c r="O209" s="41">
        <v>0</v>
      </c>
      <c r="P209" s="41">
        <v>0</v>
      </c>
      <c r="Q209" s="409">
        <v>0</v>
      </c>
      <c r="R209" s="128">
        <f t="shared" si="475"/>
        <v>0</v>
      </c>
      <c r="S209" s="41">
        <v>0</v>
      </c>
      <c r="T209" s="41"/>
      <c r="U209" s="41"/>
      <c r="V209" s="41"/>
      <c r="W209" s="41"/>
      <c r="X209" s="41"/>
      <c r="Y209" s="41"/>
      <c r="Z209" s="41"/>
      <c r="AA209" s="128">
        <f t="shared" si="353"/>
        <v>0</v>
      </c>
      <c r="AB209" s="128">
        <f t="shared" si="476"/>
        <v>0</v>
      </c>
      <c r="AC209" s="175">
        <f t="shared" si="340"/>
        <v>0</v>
      </c>
    </row>
    <row r="210" spans="1:29" ht="28.5" x14ac:dyDescent="0.2">
      <c r="A210" s="396">
        <v>1</v>
      </c>
      <c r="B210" s="76" t="s">
        <v>642</v>
      </c>
      <c r="C210" s="77" t="s">
        <v>643</v>
      </c>
      <c r="D210" s="330">
        <v>7046121322</v>
      </c>
      <c r="E210" s="188">
        <f>SUM('ADICIONES  2021'!C210:I210)</f>
        <v>0</v>
      </c>
      <c r="F210" s="41"/>
      <c r="G210" s="41"/>
      <c r="H210" s="41"/>
      <c r="I210" s="41"/>
      <c r="J210" s="41"/>
      <c r="K210" s="128">
        <f t="shared" si="469"/>
        <v>7046121322</v>
      </c>
      <c r="L210" s="41">
        <v>1914493529</v>
      </c>
      <c r="M210" s="41">
        <v>1914493529</v>
      </c>
      <c r="N210" s="41">
        <v>1914493529</v>
      </c>
      <c r="O210" s="41">
        <v>1914493529</v>
      </c>
      <c r="P210" s="41">
        <v>1914493529</v>
      </c>
      <c r="Q210" s="409">
        <v>1914493529</v>
      </c>
      <c r="R210" s="128">
        <f t="shared" si="475"/>
        <v>11486961174</v>
      </c>
      <c r="S210" s="41">
        <v>1973761499</v>
      </c>
      <c r="T210" s="41"/>
      <c r="U210" s="41"/>
      <c r="V210" s="41"/>
      <c r="W210" s="41"/>
      <c r="X210" s="41"/>
      <c r="Y210" s="41"/>
      <c r="Z210" s="41"/>
      <c r="AA210" s="128">
        <f t="shared" si="353"/>
        <v>1973761499</v>
      </c>
      <c r="AB210" s="128">
        <f t="shared" si="476"/>
        <v>13460722673</v>
      </c>
      <c r="AC210" s="175">
        <f t="shared" si="340"/>
        <v>1.9103733895372743</v>
      </c>
    </row>
    <row r="211" spans="1:29" s="63" customFormat="1" ht="15.75" x14ac:dyDescent="0.2">
      <c r="A211" s="397"/>
      <c r="B211" s="81" t="s">
        <v>644</v>
      </c>
      <c r="C211" s="101" t="s">
        <v>645</v>
      </c>
      <c r="D211" s="329">
        <f>SUM(D212:D214)</f>
        <v>6687000000</v>
      </c>
      <c r="E211" s="187">
        <f>SUM('ADICIONES  2021'!C211:I211)</f>
        <v>0</v>
      </c>
      <c r="F211" s="223">
        <f t="shared" ref="F211:J211" si="477">SUM(F212:F214)</f>
        <v>0</v>
      </c>
      <c r="G211" s="223">
        <f t="shared" si="477"/>
        <v>0</v>
      </c>
      <c r="H211" s="223">
        <f t="shared" si="477"/>
        <v>0</v>
      </c>
      <c r="I211" s="223">
        <f t="shared" si="477"/>
        <v>0</v>
      </c>
      <c r="J211" s="223">
        <f t="shared" si="477"/>
        <v>0</v>
      </c>
      <c r="K211" s="78">
        <f t="shared" si="469"/>
        <v>6687000000</v>
      </c>
      <c r="L211" s="223">
        <f t="shared" ref="L211:Q211" si="478">SUM(L212:L214)</f>
        <v>774846827</v>
      </c>
      <c r="M211" s="223">
        <f t="shared" si="478"/>
        <v>956855972</v>
      </c>
      <c r="N211" s="223">
        <f t="shared" si="478"/>
        <v>310399964</v>
      </c>
      <c r="O211" s="223">
        <f t="shared" si="478"/>
        <v>543021770</v>
      </c>
      <c r="P211" s="223">
        <f t="shared" si="478"/>
        <v>359543846</v>
      </c>
      <c r="Q211" s="407">
        <f t="shared" si="478"/>
        <v>404561338</v>
      </c>
      <c r="R211" s="78">
        <f t="shared" si="475"/>
        <v>3349229717</v>
      </c>
      <c r="S211" s="223">
        <f t="shared" ref="S211:Z211" si="479">SUM(S212:S214)</f>
        <v>590949186</v>
      </c>
      <c r="T211" s="223">
        <f t="shared" si="479"/>
        <v>0</v>
      </c>
      <c r="U211" s="223">
        <f t="shared" si="479"/>
        <v>0</v>
      </c>
      <c r="V211" s="223">
        <f t="shared" si="479"/>
        <v>0</v>
      </c>
      <c r="W211" s="223">
        <f t="shared" si="479"/>
        <v>0</v>
      </c>
      <c r="X211" s="223">
        <f t="shared" si="479"/>
        <v>0</v>
      </c>
      <c r="Y211" s="223">
        <f t="shared" si="479"/>
        <v>0</v>
      </c>
      <c r="Z211" s="223">
        <f t="shared" si="479"/>
        <v>0</v>
      </c>
      <c r="AA211" s="78">
        <f t="shared" si="353"/>
        <v>590949186</v>
      </c>
      <c r="AB211" s="78">
        <f t="shared" si="476"/>
        <v>3940178903</v>
      </c>
      <c r="AC211" s="174">
        <f t="shared" ref="AC211:AC284" si="480">+AB211/K211</f>
        <v>0.58922968491102135</v>
      </c>
    </row>
    <row r="212" spans="1:29" ht="14.25" x14ac:dyDescent="0.2">
      <c r="A212" s="396">
        <v>1</v>
      </c>
      <c r="B212" s="76" t="s">
        <v>646</v>
      </c>
      <c r="C212" s="77" t="s">
        <v>647</v>
      </c>
      <c r="D212" s="334">
        <v>4100000000</v>
      </c>
      <c r="E212" s="188">
        <f>SUM('ADICIONES  2021'!C212:I212)</f>
        <v>0</v>
      </c>
      <c r="F212" s="128"/>
      <c r="G212" s="128"/>
      <c r="H212" s="128"/>
      <c r="I212" s="128"/>
      <c r="J212" s="128"/>
      <c r="K212" s="128">
        <f t="shared" si="469"/>
        <v>4100000000</v>
      </c>
      <c r="L212" s="128">
        <v>323158015</v>
      </c>
      <c r="M212" s="128">
        <v>641354900</v>
      </c>
      <c r="N212" s="128">
        <v>76236793</v>
      </c>
      <c r="O212" s="128">
        <v>382579570</v>
      </c>
      <c r="P212" s="128">
        <v>232838443</v>
      </c>
      <c r="Q212" s="413">
        <v>225772422</v>
      </c>
      <c r="R212" s="128">
        <f t="shared" si="475"/>
        <v>1881940143</v>
      </c>
      <c r="S212" s="128">
        <v>322677630</v>
      </c>
      <c r="T212" s="128"/>
      <c r="U212" s="128"/>
      <c r="V212" s="128"/>
      <c r="W212" s="128"/>
      <c r="X212" s="128"/>
      <c r="Y212" s="128"/>
      <c r="Z212" s="128"/>
      <c r="AA212" s="128">
        <f t="shared" si="353"/>
        <v>322677630</v>
      </c>
      <c r="AB212" s="128">
        <f t="shared" si="476"/>
        <v>2204617773</v>
      </c>
      <c r="AC212" s="175">
        <f t="shared" si="480"/>
        <v>0.5377116519512195</v>
      </c>
    </row>
    <row r="213" spans="1:29" ht="14.25" x14ac:dyDescent="0.2">
      <c r="A213" s="396">
        <v>1</v>
      </c>
      <c r="B213" s="76" t="s">
        <v>648</v>
      </c>
      <c r="C213" s="77" t="s">
        <v>649</v>
      </c>
      <c r="D213" s="334">
        <v>57000000</v>
      </c>
      <c r="E213" s="188">
        <f>SUM('ADICIONES  2021'!C213:I213)</f>
        <v>0</v>
      </c>
      <c r="F213" s="128"/>
      <c r="G213" s="128"/>
      <c r="H213" s="128"/>
      <c r="I213" s="128"/>
      <c r="J213" s="128"/>
      <c r="K213" s="128">
        <f t="shared" si="469"/>
        <v>57000000</v>
      </c>
      <c r="L213" s="128">
        <v>1760508</v>
      </c>
      <c r="M213" s="128">
        <v>170172</v>
      </c>
      <c r="N213" s="128">
        <v>510968</v>
      </c>
      <c r="O213" s="128">
        <v>5800</v>
      </c>
      <c r="P213" s="128">
        <v>43240</v>
      </c>
      <c r="Q213" s="413">
        <v>5772168</v>
      </c>
      <c r="R213" s="128">
        <f t="shared" si="475"/>
        <v>8262856</v>
      </c>
      <c r="S213" s="128">
        <v>490100</v>
      </c>
      <c r="T213" s="128"/>
      <c r="U213" s="128"/>
      <c r="V213" s="128"/>
      <c r="W213" s="128"/>
      <c r="X213" s="128"/>
      <c r="Y213" s="128"/>
      <c r="Z213" s="128"/>
      <c r="AA213" s="128">
        <f t="shared" ref="AA213:AA277" si="481">SUM(S213:Z213)</f>
        <v>490100</v>
      </c>
      <c r="AB213" s="128">
        <f t="shared" si="476"/>
        <v>8752956</v>
      </c>
      <c r="AC213" s="175">
        <f t="shared" si="480"/>
        <v>0.15356063157894737</v>
      </c>
    </row>
    <row r="214" spans="1:29" ht="14.25" x14ac:dyDescent="0.2">
      <c r="A214" s="396">
        <v>1</v>
      </c>
      <c r="B214" s="76" t="s">
        <v>650</v>
      </c>
      <c r="C214" s="77" t="s">
        <v>651</v>
      </c>
      <c r="D214" s="330">
        <v>2530000000</v>
      </c>
      <c r="E214" s="188">
        <f>SUM('ADICIONES  2021'!C214:I214)</f>
        <v>0</v>
      </c>
      <c r="F214" s="41"/>
      <c r="G214" s="41"/>
      <c r="H214" s="41"/>
      <c r="I214" s="41"/>
      <c r="J214" s="41"/>
      <c r="K214" s="128">
        <f t="shared" si="469"/>
        <v>2530000000</v>
      </c>
      <c r="L214" s="41">
        <v>449928304</v>
      </c>
      <c r="M214" s="41">
        <v>315330900</v>
      </c>
      <c r="N214" s="41">
        <v>233652203</v>
      </c>
      <c r="O214" s="41">
        <v>160436400</v>
      </c>
      <c r="P214" s="41">
        <v>126662163</v>
      </c>
      <c r="Q214" s="409">
        <v>173016748</v>
      </c>
      <c r="R214" s="128">
        <f t="shared" si="475"/>
        <v>1459026718</v>
      </c>
      <c r="S214" s="41">
        <v>267781456</v>
      </c>
      <c r="T214" s="41"/>
      <c r="U214" s="41"/>
      <c r="V214" s="41"/>
      <c r="W214" s="41"/>
      <c r="X214" s="41"/>
      <c r="Y214" s="41"/>
      <c r="Z214" s="41"/>
      <c r="AA214" s="128">
        <f t="shared" si="481"/>
        <v>267781456</v>
      </c>
      <c r="AB214" s="128">
        <f t="shared" si="476"/>
        <v>1726808174</v>
      </c>
      <c r="AC214" s="175">
        <f t="shared" si="480"/>
        <v>0.68253287509881422</v>
      </c>
    </row>
    <row r="215" spans="1:29" s="63" customFormat="1" ht="15.75" x14ac:dyDescent="0.2">
      <c r="A215" s="397"/>
      <c r="B215" s="81" t="s">
        <v>652</v>
      </c>
      <c r="C215" s="79" t="s">
        <v>653</v>
      </c>
      <c r="D215" s="329">
        <f>+D216</f>
        <v>10000000000</v>
      </c>
      <c r="E215" s="187">
        <f>SUM('ADICIONES  2021'!C215:I215)</f>
        <v>0</v>
      </c>
      <c r="F215" s="223">
        <f t="shared" ref="F215:J215" si="482">+F216</f>
        <v>0</v>
      </c>
      <c r="G215" s="223">
        <f t="shared" si="482"/>
        <v>0</v>
      </c>
      <c r="H215" s="223">
        <f t="shared" si="482"/>
        <v>0</v>
      </c>
      <c r="I215" s="223">
        <f t="shared" si="482"/>
        <v>0</v>
      </c>
      <c r="J215" s="223">
        <f t="shared" si="482"/>
        <v>0</v>
      </c>
      <c r="K215" s="78">
        <f t="shared" si="469"/>
        <v>10000000000</v>
      </c>
      <c r="L215" s="223">
        <f t="shared" ref="L215:Q215" si="483">+L216</f>
        <v>0</v>
      </c>
      <c r="M215" s="223">
        <f t="shared" si="483"/>
        <v>47932431.990000002</v>
      </c>
      <c r="N215" s="223">
        <f t="shared" si="483"/>
        <v>77133104.739999995</v>
      </c>
      <c r="O215" s="223">
        <f t="shared" si="483"/>
        <v>0</v>
      </c>
      <c r="P215" s="223">
        <f t="shared" si="483"/>
        <v>0</v>
      </c>
      <c r="Q215" s="407">
        <f t="shared" si="483"/>
        <v>874307344.50999999</v>
      </c>
      <c r="R215" s="78">
        <f t="shared" si="475"/>
        <v>999372881.24000001</v>
      </c>
      <c r="S215" s="223">
        <f t="shared" ref="S215:Z215" si="484">+S216</f>
        <v>0</v>
      </c>
      <c r="T215" s="223">
        <f t="shared" si="484"/>
        <v>0</v>
      </c>
      <c r="U215" s="223">
        <f t="shared" si="484"/>
        <v>0</v>
      </c>
      <c r="V215" s="223">
        <f t="shared" si="484"/>
        <v>0</v>
      </c>
      <c r="W215" s="223">
        <f t="shared" si="484"/>
        <v>0</v>
      </c>
      <c r="X215" s="223">
        <f t="shared" si="484"/>
        <v>0</v>
      </c>
      <c r="Y215" s="223">
        <f t="shared" si="484"/>
        <v>0</v>
      </c>
      <c r="Z215" s="223">
        <f t="shared" si="484"/>
        <v>0</v>
      </c>
      <c r="AA215" s="78">
        <f t="shared" si="481"/>
        <v>0</v>
      </c>
      <c r="AB215" s="78">
        <f t="shared" si="476"/>
        <v>999372881.24000001</v>
      </c>
      <c r="AC215" s="174">
        <f t="shared" si="480"/>
        <v>9.9937288124000004E-2</v>
      </c>
    </row>
    <row r="216" spans="1:29" s="63" customFormat="1" ht="15.75" x14ac:dyDescent="0.2">
      <c r="A216" s="397"/>
      <c r="B216" s="81" t="s">
        <v>654</v>
      </c>
      <c r="C216" s="79" t="s">
        <v>655</v>
      </c>
      <c r="D216" s="329">
        <f>SUM(D217:D218)</f>
        <v>10000000000</v>
      </c>
      <c r="E216" s="187">
        <f>SUM('ADICIONES  2021'!C216:I216)</f>
        <v>0</v>
      </c>
      <c r="F216" s="223">
        <f t="shared" ref="F216:J216" si="485">SUM(F217:F218)</f>
        <v>0</v>
      </c>
      <c r="G216" s="223">
        <f t="shared" si="485"/>
        <v>0</v>
      </c>
      <c r="H216" s="223">
        <f t="shared" si="485"/>
        <v>0</v>
      </c>
      <c r="I216" s="223">
        <f t="shared" si="485"/>
        <v>0</v>
      </c>
      <c r="J216" s="223">
        <f t="shared" si="485"/>
        <v>0</v>
      </c>
      <c r="K216" s="78">
        <f t="shared" si="469"/>
        <v>10000000000</v>
      </c>
      <c r="L216" s="223">
        <f t="shared" ref="L216:Q216" si="486">SUM(L217:L218)</f>
        <v>0</v>
      </c>
      <c r="M216" s="223">
        <f t="shared" si="486"/>
        <v>47932431.990000002</v>
      </c>
      <c r="N216" s="223">
        <f t="shared" si="486"/>
        <v>77133104.739999995</v>
      </c>
      <c r="O216" s="223">
        <f t="shared" si="486"/>
        <v>0</v>
      </c>
      <c r="P216" s="223">
        <f t="shared" si="486"/>
        <v>0</v>
      </c>
      <c r="Q216" s="407">
        <f t="shared" si="486"/>
        <v>874307344.50999999</v>
      </c>
      <c r="R216" s="78">
        <f t="shared" si="475"/>
        <v>999372881.24000001</v>
      </c>
      <c r="S216" s="223">
        <f t="shared" ref="S216:Z216" si="487">SUM(S217:S218)</f>
        <v>0</v>
      </c>
      <c r="T216" s="223">
        <f t="shared" si="487"/>
        <v>0</v>
      </c>
      <c r="U216" s="223">
        <f t="shared" si="487"/>
        <v>0</v>
      </c>
      <c r="V216" s="223">
        <f t="shared" si="487"/>
        <v>0</v>
      </c>
      <c r="W216" s="223">
        <f t="shared" si="487"/>
        <v>0</v>
      </c>
      <c r="X216" s="223">
        <f t="shared" si="487"/>
        <v>0</v>
      </c>
      <c r="Y216" s="223">
        <f t="shared" si="487"/>
        <v>0</v>
      </c>
      <c r="Z216" s="223">
        <f t="shared" si="487"/>
        <v>0</v>
      </c>
      <c r="AA216" s="78">
        <f t="shared" si="481"/>
        <v>0</v>
      </c>
      <c r="AB216" s="78">
        <f t="shared" si="476"/>
        <v>999372881.24000001</v>
      </c>
      <c r="AC216" s="174">
        <f t="shared" si="480"/>
        <v>9.9937288124000004E-2</v>
      </c>
    </row>
    <row r="217" spans="1:29" ht="14.25" x14ac:dyDescent="0.2">
      <c r="A217" s="396">
        <v>1</v>
      </c>
      <c r="B217" s="76" t="s">
        <v>656</v>
      </c>
      <c r="C217" s="77" t="s">
        <v>657</v>
      </c>
      <c r="D217" s="330">
        <v>0</v>
      </c>
      <c r="E217" s="188">
        <f>SUM('ADICIONES  2021'!C217:I217)</f>
        <v>0</v>
      </c>
      <c r="F217" s="41"/>
      <c r="G217" s="41"/>
      <c r="H217" s="41"/>
      <c r="I217" s="41"/>
      <c r="J217" s="41"/>
      <c r="K217" s="128">
        <f t="shared" si="469"/>
        <v>0</v>
      </c>
      <c r="L217" s="41">
        <v>0</v>
      </c>
      <c r="M217" s="41">
        <v>47932431.990000002</v>
      </c>
      <c r="N217" s="41">
        <v>77133104.739999995</v>
      </c>
      <c r="O217" s="41">
        <v>0</v>
      </c>
      <c r="P217" s="41"/>
      <c r="Q217" s="409">
        <v>874307344.50999999</v>
      </c>
      <c r="R217" s="128">
        <f t="shared" si="475"/>
        <v>999372881.24000001</v>
      </c>
      <c r="S217" s="41">
        <v>0</v>
      </c>
      <c r="T217" s="41"/>
      <c r="U217" s="41"/>
      <c r="V217" s="41"/>
      <c r="W217" s="41"/>
      <c r="X217" s="41"/>
      <c r="Y217" s="41"/>
      <c r="Z217" s="41"/>
      <c r="AA217" s="128">
        <f t="shared" si="481"/>
        <v>0</v>
      </c>
      <c r="AB217" s="128">
        <f t="shared" si="476"/>
        <v>999372881.24000001</v>
      </c>
      <c r="AC217" s="175">
        <v>0</v>
      </c>
    </row>
    <row r="218" spans="1:29" ht="28.5" x14ac:dyDescent="0.2">
      <c r="A218" s="396">
        <v>1</v>
      </c>
      <c r="B218" s="76" t="s">
        <v>658</v>
      </c>
      <c r="C218" s="77" t="s">
        <v>659</v>
      </c>
      <c r="D218" s="330">
        <v>10000000000</v>
      </c>
      <c r="E218" s="188">
        <f>SUM('ADICIONES  2021'!C218:I218)</f>
        <v>0</v>
      </c>
      <c r="F218" s="128"/>
      <c r="G218" s="128"/>
      <c r="H218" s="128"/>
      <c r="I218" s="128"/>
      <c r="J218" s="128"/>
      <c r="K218" s="128">
        <f t="shared" si="469"/>
        <v>10000000000</v>
      </c>
      <c r="L218" s="128">
        <v>0</v>
      </c>
      <c r="M218" s="128">
        <v>0</v>
      </c>
      <c r="N218" s="128">
        <v>0</v>
      </c>
      <c r="O218" s="128">
        <v>0</v>
      </c>
      <c r="P218" s="128"/>
      <c r="Q218" s="413">
        <v>0</v>
      </c>
      <c r="R218" s="128">
        <f t="shared" si="475"/>
        <v>0</v>
      </c>
      <c r="S218" s="128">
        <v>0</v>
      </c>
      <c r="T218" s="128"/>
      <c r="U218" s="128"/>
      <c r="V218" s="128"/>
      <c r="W218" s="128"/>
      <c r="X218" s="128"/>
      <c r="Y218" s="128"/>
      <c r="Z218" s="128"/>
      <c r="AA218" s="128">
        <f t="shared" si="481"/>
        <v>0</v>
      </c>
      <c r="AB218" s="128">
        <f t="shared" si="476"/>
        <v>0</v>
      </c>
      <c r="AC218" s="175">
        <f t="shared" si="480"/>
        <v>0</v>
      </c>
    </row>
    <row r="219" spans="1:29" s="63" customFormat="1" ht="35.25" customHeight="1" x14ac:dyDescent="0.2">
      <c r="A219" s="397"/>
      <c r="B219" s="81" t="s">
        <v>660</v>
      </c>
      <c r="C219" s="79" t="s">
        <v>661</v>
      </c>
      <c r="D219" s="329">
        <f>+D220</f>
        <v>10852525000</v>
      </c>
      <c r="E219" s="187">
        <f>SUM('ADICIONES  2021'!C219:I219)</f>
        <v>0</v>
      </c>
      <c r="F219" s="223">
        <f t="shared" ref="F219:J221" si="488">+F220</f>
        <v>0</v>
      </c>
      <c r="G219" s="223">
        <f t="shared" si="488"/>
        <v>0</v>
      </c>
      <c r="H219" s="223">
        <f t="shared" si="488"/>
        <v>0</v>
      </c>
      <c r="I219" s="223">
        <f t="shared" si="488"/>
        <v>0</v>
      </c>
      <c r="J219" s="223">
        <f t="shared" si="488"/>
        <v>0</v>
      </c>
      <c r="K219" s="78">
        <f t="shared" si="469"/>
        <v>10852525000</v>
      </c>
      <c r="L219" s="223">
        <f t="shared" ref="L219:Q221" si="489">+L220</f>
        <v>2049544273.3199999</v>
      </c>
      <c r="M219" s="223">
        <f t="shared" si="489"/>
        <v>284517805.75920004</v>
      </c>
      <c r="N219" s="223">
        <f t="shared" si="489"/>
        <v>1538455203.9090004</v>
      </c>
      <c r="O219" s="223">
        <f t="shared" si="489"/>
        <v>18575260.469999999</v>
      </c>
      <c r="P219" s="223">
        <f t="shared" si="489"/>
        <v>413440660.61999995</v>
      </c>
      <c r="Q219" s="407">
        <f t="shared" si="489"/>
        <v>639021396.77999997</v>
      </c>
      <c r="R219" s="78">
        <f t="shared" si="475"/>
        <v>4943554600.8582001</v>
      </c>
      <c r="S219" s="223">
        <f t="shared" ref="S219:Z221" si="490">+S220</f>
        <v>1695978999.0000002</v>
      </c>
      <c r="T219" s="223">
        <f t="shared" si="490"/>
        <v>0</v>
      </c>
      <c r="U219" s="223">
        <f t="shared" si="490"/>
        <v>0</v>
      </c>
      <c r="V219" s="223">
        <f t="shared" si="490"/>
        <v>0</v>
      </c>
      <c r="W219" s="223">
        <f t="shared" si="490"/>
        <v>0</v>
      </c>
      <c r="X219" s="223">
        <f t="shared" si="490"/>
        <v>0</v>
      </c>
      <c r="Y219" s="223">
        <f t="shared" si="490"/>
        <v>0</v>
      </c>
      <c r="Z219" s="223">
        <f t="shared" si="490"/>
        <v>0</v>
      </c>
      <c r="AA219" s="78">
        <f t="shared" si="481"/>
        <v>1695978999.0000002</v>
      </c>
      <c r="AB219" s="78">
        <f t="shared" si="476"/>
        <v>6639533599.8582001</v>
      </c>
      <c r="AC219" s="174">
        <f t="shared" si="480"/>
        <v>0.6117962040961159</v>
      </c>
    </row>
    <row r="220" spans="1:29" s="63" customFormat="1" ht="47.25" x14ac:dyDescent="0.2">
      <c r="A220" s="397">
        <v>1</v>
      </c>
      <c r="B220" s="81" t="s">
        <v>662</v>
      </c>
      <c r="C220" s="79" t="s">
        <v>663</v>
      </c>
      <c r="D220" s="329">
        <f>+D221</f>
        <v>10852525000</v>
      </c>
      <c r="E220" s="187">
        <f>SUM('ADICIONES  2021'!C220:I220)</f>
        <v>0</v>
      </c>
      <c r="F220" s="223">
        <f t="shared" si="488"/>
        <v>0</v>
      </c>
      <c r="G220" s="223">
        <f t="shared" si="488"/>
        <v>0</v>
      </c>
      <c r="H220" s="223">
        <f t="shared" si="488"/>
        <v>0</v>
      </c>
      <c r="I220" s="223">
        <f t="shared" si="488"/>
        <v>0</v>
      </c>
      <c r="J220" s="223">
        <f t="shared" si="488"/>
        <v>0</v>
      </c>
      <c r="K220" s="78">
        <f t="shared" si="469"/>
        <v>10852525000</v>
      </c>
      <c r="L220" s="223">
        <f t="shared" si="489"/>
        <v>2049544273.3199999</v>
      </c>
      <c r="M220" s="223">
        <f t="shared" si="489"/>
        <v>284517805.75920004</v>
      </c>
      <c r="N220" s="223">
        <f t="shared" si="489"/>
        <v>1538455203.9090004</v>
      </c>
      <c r="O220" s="223">
        <f t="shared" si="489"/>
        <v>18575260.469999999</v>
      </c>
      <c r="P220" s="223">
        <f t="shared" si="489"/>
        <v>413440660.61999995</v>
      </c>
      <c r="Q220" s="407">
        <f t="shared" si="489"/>
        <v>639021396.77999997</v>
      </c>
      <c r="R220" s="78">
        <f t="shared" si="475"/>
        <v>4943554600.8582001</v>
      </c>
      <c r="S220" s="223">
        <f t="shared" si="490"/>
        <v>1695978999.0000002</v>
      </c>
      <c r="T220" s="223">
        <f t="shared" si="490"/>
        <v>0</v>
      </c>
      <c r="U220" s="223">
        <f t="shared" si="490"/>
        <v>0</v>
      </c>
      <c r="V220" s="223">
        <f t="shared" si="490"/>
        <v>0</v>
      </c>
      <c r="W220" s="223">
        <f t="shared" si="490"/>
        <v>0</v>
      </c>
      <c r="X220" s="223">
        <f t="shared" si="490"/>
        <v>0</v>
      </c>
      <c r="Y220" s="223">
        <f t="shared" si="490"/>
        <v>0</v>
      </c>
      <c r="Z220" s="223">
        <f t="shared" si="490"/>
        <v>0</v>
      </c>
      <c r="AA220" s="78">
        <f t="shared" si="481"/>
        <v>1695978999.0000002</v>
      </c>
      <c r="AB220" s="78">
        <f t="shared" si="476"/>
        <v>6639533599.8582001</v>
      </c>
      <c r="AC220" s="174">
        <f t="shared" si="480"/>
        <v>0.6117962040961159</v>
      </c>
    </row>
    <row r="221" spans="1:29" s="63" customFormat="1" ht="47.25" x14ac:dyDescent="0.2">
      <c r="A221" s="397"/>
      <c r="B221" s="81" t="s">
        <v>664</v>
      </c>
      <c r="C221" s="79" t="s">
        <v>665</v>
      </c>
      <c r="D221" s="329">
        <f>+D222</f>
        <v>10852525000</v>
      </c>
      <c r="E221" s="187">
        <f>SUM('ADICIONES  2021'!C221:I221)</f>
        <v>0</v>
      </c>
      <c r="F221" s="223">
        <f t="shared" si="488"/>
        <v>0</v>
      </c>
      <c r="G221" s="223">
        <f t="shared" si="488"/>
        <v>0</v>
      </c>
      <c r="H221" s="223">
        <f t="shared" si="488"/>
        <v>0</v>
      </c>
      <c r="I221" s="223">
        <f t="shared" si="488"/>
        <v>0</v>
      </c>
      <c r="J221" s="223">
        <f t="shared" si="488"/>
        <v>0</v>
      </c>
      <c r="K221" s="78">
        <f t="shared" si="469"/>
        <v>10852525000</v>
      </c>
      <c r="L221" s="223">
        <f t="shared" si="489"/>
        <v>2049544273.3199999</v>
      </c>
      <c r="M221" s="223">
        <f t="shared" si="489"/>
        <v>284517805.75920004</v>
      </c>
      <c r="N221" s="223">
        <f t="shared" si="489"/>
        <v>1538455203.9090004</v>
      </c>
      <c r="O221" s="223">
        <f t="shared" si="489"/>
        <v>18575260.469999999</v>
      </c>
      <c r="P221" s="223">
        <f t="shared" si="489"/>
        <v>413440660.61999995</v>
      </c>
      <c r="Q221" s="407">
        <f t="shared" si="489"/>
        <v>639021396.77999997</v>
      </c>
      <c r="R221" s="78">
        <f t="shared" si="475"/>
        <v>4943554600.8582001</v>
      </c>
      <c r="S221" s="223">
        <f t="shared" si="490"/>
        <v>1695978999.0000002</v>
      </c>
      <c r="T221" s="223">
        <f t="shared" si="490"/>
        <v>0</v>
      </c>
      <c r="U221" s="223">
        <f t="shared" si="490"/>
        <v>0</v>
      </c>
      <c r="V221" s="223">
        <f t="shared" si="490"/>
        <v>0</v>
      </c>
      <c r="W221" s="223">
        <f t="shared" si="490"/>
        <v>0</v>
      </c>
      <c r="X221" s="223">
        <f t="shared" si="490"/>
        <v>0</v>
      </c>
      <c r="Y221" s="223">
        <f t="shared" si="490"/>
        <v>0</v>
      </c>
      <c r="Z221" s="223">
        <f t="shared" si="490"/>
        <v>0</v>
      </c>
      <c r="AA221" s="78">
        <f t="shared" si="481"/>
        <v>1695978999.0000002</v>
      </c>
      <c r="AB221" s="78">
        <f t="shared" si="476"/>
        <v>6639533599.8582001</v>
      </c>
      <c r="AC221" s="174">
        <f t="shared" si="480"/>
        <v>0.6117962040961159</v>
      </c>
    </row>
    <row r="222" spans="1:29" s="63" customFormat="1" ht="31.5" x14ac:dyDescent="0.2">
      <c r="A222" s="397"/>
      <c r="B222" s="81" t="s">
        <v>666</v>
      </c>
      <c r="C222" s="79" t="s">
        <v>667</v>
      </c>
      <c r="D222" s="329">
        <f>+D223+D234</f>
        <v>10852525000</v>
      </c>
      <c r="E222" s="187">
        <f>SUM('ADICIONES  2021'!C222:I222)</f>
        <v>0</v>
      </c>
      <c r="F222" s="223">
        <f t="shared" ref="F222:J222" si="491">+F223+F234</f>
        <v>0</v>
      </c>
      <c r="G222" s="223">
        <f t="shared" si="491"/>
        <v>0</v>
      </c>
      <c r="H222" s="223">
        <f t="shared" si="491"/>
        <v>0</v>
      </c>
      <c r="I222" s="223">
        <f t="shared" si="491"/>
        <v>0</v>
      </c>
      <c r="J222" s="223">
        <f t="shared" si="491"/>
        <v>0</v>
      </c>
      <c r="K222" s="78">
        <f t="shared" si="469"/>
        <v>10852525000</v>
      </c>
      <c r="L222" s="223">
        <f t="shared" ref="L222:Q222" si="492">+L223+L234</f>
        <v>2049544273.3199999</v>
      </c>
      <c r="M222" s="223">
        <f t="shared" si="492"/>
        <v>284517805.75920004</v>
      </c>
      <c r="N222" s="223">
        <f t="shared" si="492"/>
        <v>1538455203.9090004</v>
      </c>
      <c r="O222" s="223">
        <f t="shared" si="492"/>
        <v>18575260.469999999</v>
      </c>
      <c r="P222" s="223">
        <f t="shared" si="492"/>
        <v>413440660.61999995</v>
      </c>
      <c r="Q222" s="407">
        <f t="shared" si="492"/>
        <v>639021396.77999997</v>
      </c>
      <c r="R222" s="78">
        <f t="shared" si="475"/>
        <v>4943554600.8582001</v>
      </c>
      <c r="S222" s="223">
        <f t="shared" ref="S222:Z222" si="493">+S223+S234</f>
        <v>1695978999.0000002</v>
      </c>
      <c r="T222" s="223">
        <f t="shared" si="493"/>
        <v>0</v>
      </c>
      <c r="U222" s="223">
        <f t="shared" si="493"/>
        <v>0</v>
      </c>
      <c r="V222" s="223">
        <f t="shared" si="493"/>
        <v>0</v>
      </c>
      <c r="W222" s="223">
        <f t="shared" si="493"/>
        <v>0</v>
      </c>
      <c r="X222" s="223">
        <f t="shared" si="493"/>
        <v>0</v>
      </c>
      <c r="Y222" s="223">
        <f t="shared" si="493"/>
        <v>0</v>
      </c>
      <c r="Z222" s="223">
        <f t="shared" si="493"/>
        <v>0</v>
      </c>
      <c r="AA222" s="78">
        <f t="shared" si="481"/>
        <v>1695978999.0000002</v>
      </c>
      <c r="AB222" s="78">
        <f t="shared" si="476"/>
        <v>6639533599.8582001</v>
      </c>
      <c r="AC222" s="174">
        <f t="shared" si="480"/>
        <v>0.6117962040961159</v>
      </c>
    </row>
    <row r="223" spans="1:29" s="63" customFormat="1" ht="47.25" x14ac:dyDescent="0.2">
      <c r="A223" s="397"/>
      <c r="B223" s="81" t="s">
        <v>668</v>
      </c>
      <c r="C223" s="79" t="s">
        <v>669</v>
      </c>
      <c r="D223" s="329">
        <f>SUM(D224:D233)</f>
        <v>7804967500</v>
      </c>
      <c r="E223" s="187">
        <f>SUM('ADICIONES  2021'!C223:I223)</f>
        <v>0</v>
      </c>
      <c r="F223" s="78"/>
      <c r="G223" s="78"/>
      <c r="H223" s="78"/>
      <c r="I223" s="78"/>
      <c r="J223" s="78"/>
      <c r="K223" s="78">
        <f t="shared" si="469"/>
        <v>7804967500</v>
      </c>
      <c r="L223" s="223">
        <f t="shared" ref="L223:S223" si="494">SUM(L224:L233)</f>
        <v>2049544273.3199999</v>
      </c>
      <c r="M223" s="223">
        <f t="shared" si="494"/>
        <v>284517805.75920004</v>
      </c>
      <c r="N223" s="223">
        <f t="shared" si="494"/>
        <v>1538455203.9090004</v>
      </c>
      <c r="O223" s="223">
        <f t="shared" si="494"/>
        <v>18575260.469999999</v>
      </c>
      <c r="P223" s="223">
        <f t="shared" si="494"/>
        <v>413440660.61999995</v>
      </c>
      <c r="Q223" s="407">
        <f t="shared" si="494"/>
        <v>639021396.77999997</v>
      </c>
      <c r="R223" s="78">
        <f t="shared" si="475"/>
        <v>4943554600.8582001</v>
      </c>
      <c r="S223" s="223">
        <f t="shared" si="494"/>
        <v>1695978999.0000002</v>
      </c>
      <c r="T223" s="223"/>
      <c r="U223" s="223"/>
      <c r="V223" s="223"/>
      <c r="W223" s="223"/>
      <c r="X223" s="223"/>
      <c r="Y223" s="223"/>
      <c r="Z223" s="223"/>
      <c r="AA223" s="223">
        <f t="shared" si="481"/>
        <v>1695978999.0000002</v>
      </c>
      <c r="AB223" s="78">
        <f t="shared" si="476"/>
        <v>6639533599.8582001</v>
      </c>
      <c r="AC223" s="174">
        <f t="shared" si="480"/>
        <v>0.85068049288587044</v>
      </c>
    </row>
    <row r="224" spans="1:29" ht="42.75" hidden="1" x14ac:dyDescent="0.2">
      <c r="B224" s="76" t="s">
        <v>670</v>
      </c>
      <c r="C224" s="77" t="s">
        <v>279</v>
      </c>
      <c r="D224" s="330"/>
      <c r="E224" s="188">
        <f>SUM('ADICIONES  2021'!C224:I224)</f>
        <v>0</v>
      </c>
      <c r="F224" s="41">
        <f>+F223*0%</f>
        <v>0</v>
      </c>
      <c r="G224" s="41">
        <f t="shared" ref="G224:J224" si="495">+G223*0%</f>
        <v>0</v>
      </c>
      <c r="H224" s="41">
        <f t="shared" si="495"/>
        <v>0</v>
      </c>
      <c r="I224" s="41">
        <f t="shared" si="495"/>
        <v>0</v>
      </c>
      <c r="J224" s="41">
        <f t="shared" si="495"/>
        <v>0</v>
      </c>
      <c r="K224" s="128">
        <f t="shared" si="469"/>
        <v>0</v>
      </c>
      <c r="L224" s="41">
        <f>1211239200*0%</f>
        <v>0</v>
      </c>
      <c r="M224" s="41">
        <f>322089552*0%</f>
        <v>0</v>
      </c>
      <c r="N224" s="41">
        <f>1741614540*0%</f>
        <v>0</v>
      </c>
      <c r="O224" s="41">
        <f>21028200*0%</f>
        <v>0</v>
      </c>
      <c r="P224" s="41">
        <f>468037200*0%</f>
        <v>0</v>
      </c>
      <c r="Q224" s="409">
        <f>723406800*0%</f>
        <v>0</v>
      </c>
      <c r="R224" s="128">
        <f t="shared" si="475"/>
        <v>0</v>
      </c>
      <c r="S224" s="41">
        <f>1919940000*0%</f>
        <v>0</v>
      </c>
      <c r="T224" s="41">
        <f t="shared" ref="T224:Z224" si="496">+T223*0%</f>
        <v>0</v>
      </c>
      <c r="U224" s="41">
        <f t="shared" si="496"/>
        <v>0</v>
      </c>
      <c r="V224" s="41">
        <f t="shared" si="496"/>
        <v>0</v>
      </c>
      <c r="W224" s="41">
        <f t="shared" si="496"/>
        <v>0</v>
      </c>
      <c r="X224" s="41">
        <f t="shared" si="496"/>
        <v>0</v>
      </c>
      <c r="Y224" s="41">
        <f t="shared" si="496"/>
        <v>0</v>
      </c>
      <c r="Z224" s="41">
        <f t="shared" si="496"/>
        <v>0</v>
      </c>
      <c r="AA224" s="128">
        <f t="shared" si="481"/>
        <v>0</v>
      </c>
      <c r="AB224" s="128">
        <f t="shared" si="476"/>
        <v>0</v>
      </c>
      <c r="AC224" s="175" t="e">
        <f t="shared" si="480"/>
        <v>#DIV/0!</v>
      </c>
    </row>
    <row r="225" spans="1:29" ht="42.75" hidden="1" x14ac:dyDescent="0.2">
      <c r="B225" s="76" t="s">
        <v>671</v>
      </c>
      <c r="C225" s="77" t="s">
        <v>280</v>
      </c>
      <c r="D225" s="330">
        <v>0</v>
      </c>
      <c r="E225" s="188">
        <f>SUM('ADICIONES  2021'!C225:I225)</f>
        <v>0</v>
      </c>
      <c r="F225" s="41">
        <f>+F223*0%</f>
        <v>0</v>
      </c>
      <c r="G225" s="41">
        <f t="shared" ref="G225:J225" si="497">+G223*0%</f>
        <v>0</v>
      </c>
      <c r="H225" s="41">
        <f t="shared" si="497"/>
        <v>0</v>
      </c>
      <c r="I225" s="41">
        <f t="shared" si="497"/>
        <v>0</v>
      </c>
      <c r="J225" s="41">
        <f t="shared" si="497"/>
        <v>0</v>
      </c>
      <c r="K225" s="128">
        <f t="shared" si="469"/>
        <v>0</v>
      </c>
      <c r="L225" s="41">
        <f>1211239200*0%</f>
        <v>0</v>
      </c>
      <c r="M225" s="41">
        <f>322089552*0%</f>
        <v>0</v>
      </c>
      <c r="N225" s="41">
        <f>1741614540*0%</f>
        <v>0</v>
      </c>
      <c r="O225" s="41">
        <f>21028200*0%</f>
        <v>0</v>
      </c>
      <c r="P225" s="41">
        <f>468037200*0%</f>
        <v>0</v>
      </c>
      <c r="Q225" s="409">
        <f>723406800*0%</f>
        <v>0</v>
      </c>
      <c r="R225" s="128">
        <f t="shared" si="475"/>
        <v>0</v>
      </c>
      <c r="S225" s="41">
        <f>1919940000*0%</f>
        <v>0</v>
      </c>
      <c r="T225" s="41">
        <f t="shared" ref="T225:Z225" si="498">+T223*0%</f>
        <v>0</v>
      </c>
      <c r="U225" s="41">
        <f t="shared" si="498"/>
        <v>0</v>
      </c>
      <c r="V225" s="41">
        <f t="shared" si="498"/>
        <v>0</v>
      </c>
      <c r="W225" s="41">
        <f t="shared" si="498"/>
        <v>0</v>
      </c>
      <c r="X225" s="41">
        <f t="shared" si="498"/>
        <v>0</v>
      </c>
      <c r="Y225" s="41">
        <f t="shared" si="498"/>
        <v>0</v>
      </c>
      <c r="Z225" s="41">
        <f t="shared" si="498"/>
        <v>0</v>
      </c>
      <c r="AA225" s="128">
        <f t="shared" si="481"/>
        <v>0</v>
      </c>
      <c r="AB225" s="128">
        <f t="shared" si="476"/>
        <v>0</v>
      </c>
      <c r="AC225" s="175" t="e">
        <f t="shared" si="480"/>
        <v>#DIV/0!</v>
      </c>
    </row>
    <row r="226" spans="1:29" ht="42.75" x14ac:dyDescent="0.2">
      <c r="B226" s="76" t="s">
        <v>672</v>
      </c>
      <c r="C226" s="77" t="s">
        <v>673</v>
      </c>
      <c r="D226" s="330">
        <v>939032499.99999976</v>
      </c>
      <c r="E226" s="188">
        <f>SUM('ADICIONES  2021'!C226:I226)</f>
        <v>0</v>
      </c>
      <c r="F226" s="41">
        <f>+F223*11.665%</f>
        <v>0</v>
      </c>
      <c r="G226" s="41">
        <f t="shared" ref="G226:J226" si="499">+G223*11.665%</f>
        <v>0</v>
      </c>
      <c r="H226" s="41">
        <f t="shared" si="499"/>
        <v>0</v>
      </c>
      <c r="I226" s="41">
        <f t="shared" si="499"/>
        <v>0</v>
      </c>
      <c r="J226" s="41">
        <f t="shared" si="499"/>
        <v>0</v>
      </c>
      <c r="K226" s="128">
        <f t="shared" si="469"/>
        <v>939032499.99999976</v>
      </c>
      <c r="L226" s="41">
        <f>1211239200*11.665%</f>
        <v>141291052.67999998</v>
      </c>
      <c r="M226" s="41">
        <f>322089552*11.665%</f>
        <v>37571746.240799993</v>
      </c>
      <c r="N226" s="41">
        <f>1741614540*11.665%</f>
        <v>203159336.09099999</v>
      </c>
      <c r="O226" s="41">
        <f>21028200*11.665%</f>
        <v>2452939.5299999998</v>
      </c>
      <c r="P226" s="41">
        <f>468037200*11.665%</f>
        <v>54596539.379999995</v>
      </c>
      <c r="Q226" s="409">
        <f>723406800*11.665%</f>
        <v>84385403.219999999</v>
      </c>
      <c r="R226" s="128">
        <f t="shared" si="475"/>
        <v>523457017.14179993</v>
      </c>
      <c r="S226" s="41">
        <f>1919940000*11.665%</f>
        <v>223961000.99999997</v>
      </c>
      <c r="T226" s="41">
        <f t="shared" ref="T226:Z226" si="500">+T223*11.665%</f>
        <v>0</v>
      </c>
      <c r="U226" s="41">
        <f t="shared" si="500"/>
        <v>0</v>
      </c>
      <c r="V226" s="41">
        <f t="shared" si="500"/>
        <v>0</v>
      </c>
      <c r="W226" s="41">
        <f t="shared" si="500"/>
        <v>0</v>
      </c>
      <c r="X226" s="41">
        <f t="shared" si="500"/>
        <v>0</v>
      </c>
      <c r="Y226" s="41">
        <f t="shared" si="500"/>
        <v>0</v>
      </c>
      <c r="Z226" s="41">
        <f t="shared" si="500"/>
        <v>0</v>
      </c>
      <c r="AA226" s="128">
        <f t="shared" si="481"/>
        <v>223961000.99999997</v>
      </c>
      <c r="AB226" s="128">
        <f t="shared" si="476"/>
        <v>747418018.14179993</v>
      </c>
      <c r="AC226" s="175">
        <f t="shared" si="480"/>
        <v>0.795944781614907</v>
      </c>
    </row>
    <row r="227" spans="1:29" ht="42.75" x14ac:dyDescent="0.2">
      <c r="B227" s="76" t="s">
        <v>674</v>
      </c>
      <c r="C227" s="77" t="s">
        <v>675</v>
      </c>
      <c r="D227" s="330">
        <v>694000000</v>
      </c>
      <c r="E227" s="188">
        <f>SUM('ADICIONES  2021'!C227:I227)</f>
        <v>0</v>
      </c>
      <c r="F227" s="41">
        <f>+F223*0%</f>
        <v>0</v>
      </c>
      <c r="G227" s="41">
        <f t="shared" ref="G227:J227" si="501">+G223*0%</f>
        <v>0</v>
      </c>
      <c r="H227" s="41">
        <f t="shared" si="501"/>
        <v>0</v>
      </c>
      <c r="I227" s="41">
        <f t="shared" si="501"/>
        <v>0</v>
      </c>
      <c r="J227" s="41">
        <f t="shared" si="501"/>
        <v>0</v>
      </c>
      <c r="K227" s="128">
        <f t="shared" si="469"/>
        <v>694000000</v>
      </c>
      <c r="L227" s="41">
        <v>979596126</v>
      </c>
      <c r="M227" s="41">
        <v>0</v>
      </c>
      <c r="N227" s="41">
        <v>0</v>
      </c>
      <c r="O227" s="41"/>
      <c r="P227" s="41"/>
      <c r="Q227" s="409"/>
      <c r="R227" s="128">
        <f t="shared" si="475"/>
        <v>979596126</v>
      </c>
      <c r="S227" s="41"/>
      <c r="T227" s="41"/>
      <c r="U227" s="41"/>
      <c r="V227" s="41"/>
      <c r="W227" s="41"/>
      <c r="X227" s="41"/>
      <c r="Y227" s="41"/>
      <c r="Z227" s="41"/>
      <c r="AA227" s="128">
        <f t="shared" si="481"/>
        <v>0</v>
      </c>
      <c r="AB227" s="128">
        <f t="shared" si="476"/>
        <v>979596126</v>
      </c>
      <c r="AC227" s="175">
        <v>0</v>
      </c>
    </row>
    <row r="228" spans="1:29" ht="42.75" x14ac:dyDescent="0.2">
      <c r="B228" s="76" t="s">
        <v>676</v>
      </c>
      <c r="C228" s="77" t="s">
        <v>677</v>
      </c>
      <c r="D228" s="330">
        <v>4890066193.0966997</v>
      </c>
      <c r="E228" s="188">
        <f>SUM('ADICIONES  2021'!C228:I228)</f>
        <v>0</v>
      </c>
      <c r="F228" s="41">
        <f>+F223*60.7461638894%</f>
        <v>0</v>
      </c>
      <c r="G228" s="41">
        <f t="shared" ref="G228:J228" si="502">+G223*60.7461638894%</f>
        <v>0</v>
      </c>
      <c r="H228" s="41">
        <f t="shared" si="502"/>
        <v>0</v>
      </c>
      <c r="I228" s="41">
        <f t="shared" si="502"/>
        <v>0</v>
      </c>
      <c r="J228" s="41">
        <f t="shared" si="502"/>
        <v>0</v>
      </c>
      <c r="K228" s="128">
        <f t="shared" si="469"/>
        <v>4890066193.0966997</v>
      </c>
      <c r="L228" s="41">
        <f>1211239200*60.7461638894%</f>
        <v>735781349.52465749</v>
      </c>
      <c r="M228" s="41">
        <f>322089552*60.7461638894%</f>
        <v>195657047.12855425</v>
      </c>
      <c r="N228" s="41">
        <f>1741614540*60.7461638894%</f>
        <v>1057964022.79002</v>
      </c>
      <c r="O228" s="41">
        <f>21028200*60.7461638894%</f>
        <v>12773824.834990812</v>
      </c>
      <c r="P228" s="41">
        <f>468037200*60.7461638894%</f>
        <v>284314644.57535887</v>
      </c>
      <c r="Q228" s="409">
        <f>723406800*60.7461638894%</f>
        <v>439441880.31506413</v>
      </c>
      <c r="R228" s="128">
        <f t="shared" si="475"/>
        <v>2725932769.1686454</v>
      </c>
      <c r="S228" s="41">
        <f>1919940000*60.7461638894%</f>
        <v>1166289898.9781466</v>
      </c>
      <c r="T228" s="41">
        <f t="shared" ref="T228:Z228" si="503">+T223*60.7461638894%</f>
        <v>0</v>
      </c>
      <c r="U228" s="41">
        <f t="shared" si="503"/>
        <v>0</v>
      </c>
      <c r="V228" s="41">
        <f t="shared" si="503"/>
        <v>0</v>
      </c>
      <c r="W228" s="41">
        <f t="shared" si="503"/>
        <v>0</v>
      </c>
      <c r="X228" s="41">
        <f t="shared" si="503"/>
        <v>0</v>
      </c>
      <c r="Y228" s="41">
        <f t="shared" si="503"/>
        <v>0</v>
      </c>
      <c r="Z228" s="41">
        <f t="shared" si="503"/>
        <v>0</v>
      </c>
      <c r="AA228" s="128">
        <f t="shared" si="481"/>
        <v>1166289898.9781466</v>
      </c>
      <c r="AB228" s="128">
        <f t="shared" si="476"/>
        <v>3892222668.1467919</v>
      </c>
      <c r="AC228" s="175">
        <v>0</v>
      </c>
    </row>
    <row r="229" spans="1:29" ht="28.5" x14ac:dyDescent="0.2">
      <c r="B229" s="76" t="s">
        <v>678</v>
      </c>
      <c r="C229" s="77" t="s">
        <v>679</v>
      </c>
      <c r="D229" s="330">
        <v>6171935</v>
      </c>
      <c r="E229" s="188">
        <f>SUM('ADICIONES  2021'!C229:I229)</f>
        <v>0</v>
      </c>
      <c r="F229" s="41">
        <f>+F223*0.07667%</f>
        <v>0</v>
      </c>
      <c r="G229" s="41">
        <f t="shared" ref="G229:J229" si="504">+G223*0.07667%</f>
        <v>0</v>
      </c>
      <c r="H229" s="41">
        <f t="shared" si="504"/>
        <v>0</v>
      </c>
      <c r="I229" s="41">
        <f t="shared" si="504"/>
        <v>0</v>
      </c>
      <c r="J229" s="41">
        <f t="shared" si="504"/>
        <v>0</v>
      </c>
      <c r="K229" s="128">
        <f t="shared" si="469"/>
        <v>6171935</v>
      </c>
      <c r="L229" s="41">
        <f>1211239200*0.07667%</f>
        <v>928657.09464000002</v>
      </c>
      <c r="M229" s="41">
        <f>322089552*0.07667%</f>
        <v>246946.05951840003</v>
      </c>
      <c r="N229" s="41">
        <f>1741614540*0.07667%</f>
        <v>1335295.867818</v>
      </c>
      <c r="O229" s="41">
        <f>21028200*0.07667%</f>
        <v>16122.320940000001</v>
      </c>
      <c r="P229" s="41">
        <f>468037200*0.07667%</f>
        <v>358844.12124000001</v>
      </c>
      <c r="Q229" s="409">
        <f>723406800*0.07667%</f>
        <v>554635.99355999997</v>
      </c>
      <c r="R229" s="128">
        <f t="shared" si="475"/>
        <v>3440501.4577164003</v>
      </c>
      <c r="S229" s="41">
        <f>1919940000*0.07667%</f>
        <v>1472017.9980000001</v>
      </c>
      <c r="T229" s="41">
        <f t="shared" ref="T229:Z229" si="505">+T223*0.07667%</f>
        <v>0</v>
      </c>
      <c r="U229" s="41">
        <f t="shared" si="505"/>
        <v>0</v>
      </c>
      <c r="V229" s="41">
        <f t="shared" si="505"/>
        <v>0</v>
      </c>
      <c r="W229" s="41">
        <f t="shared" si="505"/>
        <v>0</v>
      </c>
      <c r="X229" s="41">
        <f t="shared" si="505"/>
        <v>0</v>
      </c>
      <c r="Y229" s="41">
        <f t="shared" si="505"/>
        <v>0</v>
      </c>
      <c r="Z229" s="41">
        <f t="shared" si="505"/>
        <v>0</v>
      </c>
      <c r="AA229" s="128">
        <f t="shared" si="481"/>
        <v>1472017.9980000001</v>
      </c>
      <c r="AB229" s="128">
        <f t="shared" si="476"/>
        <v>4912519.4557164004</v>
      </c>
      <c r="AC229" s="175">
        <f t="shared" si="480"/>
        <v>0.79594478161490689</v>
      </c>
    </row>
    <row r="230" spans="1:29" ht="14.25" x14ac:dyDescent="0.2">
      <c r="B230" s="76" t="s">
        <v>680</v>
      </c>
      <c r="C230" s="77" t="s">
        <v>282</v>
      </c>
      <c r="D230" s="330">
        <v>616576306.5</v>
      </c>
      <c r="E230" s="188">
        <f>SUM('ADICIONES  2021'!C230:I230)</f>
        <v>0</v>
      </c>
      <c r="F230" s="41">
        <f>+F223*7.659333%</f>
        <v>0</v>
      </c>
      <c r="G230" s="41">
        <f t="shared" ref="G230:J230" si="506">+G223*7.659333%</f>
        <v>0</v>
      </c>
      <c r="H230" s="41">
        <f t="shared" si="506"/>
        <v>0</v>
      </c>
      <c r="I230" s="41">
        <f t="shared" si="506"/>
        <v>0</v>
      </c>
      <c r="J230" s="41">
        <f t="shared" si="506"/>
        <v>0</v>
      </c>
      <c r="K230" s="128">
        <f t="shared" si="469"/>
        <v>616576306.5</v>
      </c>
      <c r="L230" s="41">
        <f>1211239200*7.659333%</f>
        <v>92772843.754536003</v>
      </c>
      <c r="M230" s="41">
        <f>322089552*7.659333%</f>
        <v>24669911.34588816</v>
      </c>
      <c r="N230" s="41">
        <f>1741614540*7.659333%</f>
        <v>133396057.1950182</v>
      </c>
      <c r="O230" s="41">
        <f>21028200*7.659333%</f>
        <v>1610619.8619059999</v>
      </c>
      <c r="P230" s="41">
        <f>468037200*7.659333%</f>
        <v>35848527.711875997</v>
      </c>
      <c r="Q230" s="409">
        <f>723406800*7.659333%</f>
        <v>55408135.756644003</v>
      </c>
      <c r="R230" s="128">
        <f t="shared" si="475"/>
        <v>343706095.62586838</v>
      </c>
      <c r="S230" s="41">
        <f>1919940000*7.659333%</f>
        <v>147054598.0002</v>
      </c>
      <c r="T230" s="41">
        <f t="shared" ref="T230:Z230" si="507">+T223*7.659333%</f>
        <v>0</v>
      </c>
      <c r="U230" s="41">
        <f t="shared" si="507"/>
        <v>0</v>
      </c>
      <c r="V230" s="41">
        <f t="shared" si="507"/>
        <v>0</v>
      </c>
      <c r="W230" s="41">
        <f t="shared" si="507"/>
        <v>0</v>
      </c>
      <c r="X230" s="41">
        <f t="shared" si="507"/>
        <v>0</v>
      </c>
      <c r="Y230" s="41">
        <f t="shared" si="507"/>
        <v>0</v>
      </c>
      <c r="Z230" s="41">
        <f t="shared" si="507"/>
        <v>0</v>
      </c>
      <c r="AA230" s="128">
        <f t="shared" si="481"/>
        <v>147054598.0002</v>
      </c>
      <c r="AB230" s="128">
        <f t="shared" si="476"/>
        <v>490760693.62606835</v>
      </c>
      <c r="AC230" s="175">
        <f t="shared" si="480"/>
        <v>0.79594478161490678</v>
      </c>
    </row>
    <row r="231" spans="1:29" ht="28.5" x14ac:dyDescent="0.2">
      <c r="B231" s="76" t="s">
        <v>681</v>
      </c>
      <c r="C231" s="77" t="s">
        <v>283</v>
      </c>
      <c r="D231" s="330">
        <v>110983735.17</v>
      </c>
      <c r="E231" s="188">
        <f>SUM('ADICIONES  2021'!C231:I231)</f>
        <v>0</v>
      </c>
      <c r="F231" s="41">
        <f>+F223*1.37867994%</f>
        <v>0</v>
      </c>
      <c r="G231" s="41">
        <f t="shared" ref="G231:J231" si="508">+G223*1.37867994%</f>
        <v>0</v>
      </c>
      <c r="H231" s="41">
        <f t="shared" si="508"/>
        <v>0</v>
      </c>
      <c r="I231" s="41">
        <f t="shared" si="508"/>
        <v>0</v>
      </c>
      <c r="J231" s="41">
        <f t="shared" si="508"/>
        <v>0</v>
      </c>
      <c r="K231" s="128">
        <f t="shared" si="469"/>
        <v>110983735.17</v>
      </c>
      <c r="L231" s="41">
        <f>1211239200*1.37867994%</f>
        <v>16699111.875816481</v>
      </c>
      <c r="M231" s="41">
        <f>322089552*1.37867994%</f>
        <v>4440584.0422598692</v>
      </c>
      <c r="N231" s="41">
        <f>1741614540*1.37867994%</f>
        <v>24011290.295103278</v>
      </c>
      <c r="O231" s="41">
        <f>21028200*1.37867994%</f>
        <v>289911.57514308003</v>
      </c>
      <c r="P231" s="41">
        <f>468037200*1.37867994%</f>
        <v>6452734.9881376801</v>
      </c>
      <c r="Q231" s="409">
        <f>723406800*1.37867994%</f>
        <v>9973464.4361959212</v>
      </c>
      <c r="R231" s="128">
        <f t="shared" si="475"/>
        <v>61867097.212656304</v>
      </c>
      <c r="S231" s="41">
        <f>1919940000*1.37867994%</f>
        <v>26469827.640036002</v>
      </c>
      <c r="T231" s="41">
        <f t="shared" ref="T231:Z231" si="509">+T223*1.37867994%</f>
        <v>0</v>
      </c>
      <c r="U231" s="41">
        <f t="shared" si="509"/>
        <v>0</v>
      </c>
      <c r="V231" s="41">
        <f t="shared" si="509"/>
        <v>0</v>
      </c>
      <c r="W231" s="41">
        <f t="shared" si="509"/>
        <v>0</v>
      </c>
      <c r="X231" s="41">
        <f t="shared" si="509"/>
        <v>0</v>
      </c>
      <c r="Y231" s="41">
        <f t="shared" si="509"/>
        <v>0</v>
      </c>
      <c r="Z231" s="41">
        <f t="shared" si="509"/>
        <v>0</v>
      </c>
      <c r="AA231" s="128">
        <f t="shared" si="481"/>
        <v>26469827.640036002</v>
      </c>
      <c r="AB231" s="128">
        <f t="shared" si="476"/>
        <v>88336924.852692306</v>
      </c>
      <c r="AC231" s="175">
        <f t="shared" si="480"/>
        <v>0.79594478161490678</v>
      </c>
    </row>
    <row r="232" spans="1:29" ht="42.75" x14ac:dyDescent="0.2">
      <c r="B232" s="76" t="s">
        <v>682</v>
      </c>
      <c r="C232" s="77" t="s">
        <v>683</v>
      </c>
      <c r="D232" s="330">
        <v>54382030.2333</v>
      </c>
      <c r="E232" s="188">
        <f>SUM('ADICIONES  2021'!C232:I232)</f>
        <v>0</v>
      </c>
      <c r="F232" s="41">
        <f>+F223*0.6755531706%</f>
        <v>0</v>
      </c>
      <c r="G232" s="41">
        <f t="shared" ref="G232:J232" si="510">+G223*0.6755531706%</f>
        <v>0</v>
      </c>
      <c r="H232" s="41">
        <f t="shared" si="510"/>
        <v>0</v>
      </c>
      <c r="I232" s="41">
        <f t="shared" si="510"/>
        <v>0</v>
      </c>
      <c r="J232" s="41">
        <f t="shared" si="510"/>
        <v>0</v>
      </c>
      <c r="K232" s="128">
        <f t="shared" si="469"/>
        <v>54382030.2333</v>
      </c>
      <c r="L232" s="41">
        <f>1211239200*0.6755531706%</f>
        <v>8182564.8191500753</v>
      </c>
      <c r="M232" s="41">
        <f>322089552*0.6755531706%</f>
        <v>2175886.1807073359</v>
      </c>
      <c r="N232" s="41">
        <f>1741614540*0.6755531706%</f>
        <v>11765532.244600605</v>
      </c>
      <c r="O232" s="41">
        <f>21028200*0.6755531706%</f>
        <v>142056.67182010922</v>
      </c>
      <c r="P232" s="41">
        <f>468037200*0.6755531706%</f>
        <v>3161840.1441874634</v>
      </c>
      <c r="Q232" s="409">
        <f>723406800*0.6755531706%</f>
        <v>4886997.5737360008</v>
      </c>
      <c r="R232" s="128">
        <f t="shared" si="475"/>
        <v>30314877.63420159</v>
      </c>
      <c r="S232" s="41">
        <f>1919940000*0.6755531706%</f>
        <v>12970215.54361764</v>
      </c>
      <c r="T232" s="41">
        <f t="shared" ref="T232:Z232" si="511">+T223*0.6755531706%</f>
        <v>0</v>
      </c>
      <c r="U232" s="41">
        <f t="shared" si="511"/>
        <v>0</v>
      </c>
      <c r="V232" s="41">
        <f t="shared" si="511"/>
        <v>0</v>
      </c>
      <c r="W232" s="41">
        <f t="shared" si="511"/>
        <v>0</v>
      </c>
      <c r="X232" s="41">
        <f t="shared" si="511"/>
        <v>0</v>
      </c>
      <c r="Y232" s="41">
        <f t="shared" si="511"/>
        <v>0</v>
      </c>
      <c r="Z232" s="41">
        <f t="shared" si="511"/>
        <v>0</v>
      </c>
      <c r="AA232" s="128">
        <f t="shared" si="481"/>
        <v>12970215.54361764</v>
      </c>
      <c r="AB232" s="128">
        <f t="shared" si="476"/>
        <v>43285093.17781923</v>
      </c>
      <c r="AC232" s="175">
        <f t="shared" si="480"/>
        <v>0.79594478161490678</v>
      </c>
    </row>
    <row r="233" spans="1:29" ht="28.5" x14ac:dyDescent="0.2">
      <c r="B233" s="76" t="s">
        <v>684</v>
      </c>
      <c r="C233" s="77" t="s">
        <v>685</v>
      </c>
      <c r="D233" s="330">
        <v>493754800</v>
      </c>
      <c r="E233" s="188">
        <f>SUM('ADICIONES  2021'!C233:I233)</f>
        <v>0</v>
      </c>
      <c r="F233" s="41">
        <f>+F223*6.1336%</f>
        <v>0</v>
      </c>
      <c r="G233" s="41">
        <f t="shared" ref="G233:J233" si="512">+G223*6.1336%</f>
        <v>0</v>
      </c>
      <c r="H233" s="41">
        <f t="shared" si="512"/>
        <v>0</v>
      </c>
      <c r="I233" s="41">
        <f t="shared" si="512"/>
        <v>0</v>
      </c>
      <c r="J233" s="41">
        <f t="shared" si="512"/>
        <v>0</v>
      </c>
      <c r="K233" s="128">
        <f t="shared" si="469"/>
        <v>493754800</v>
      </c>
      <c r="L233" s="41">
        <f>1211239200*6.1336%</f>
        <v>74292567.571199998</v>
      </c>
      <c r="M233" s="41">
        <f>322089552*6.1336%</f>
        <v>19755684.761472002</v>
      </c>
      <c r="N233" s="41">
        <f>1741614540*6.1336%</f>
        <v>106823669.42544</v>
      </c>
      <c r="O233" s="41">
        <f>21028200*6.1336%</f>
        <v>1289785.6751999999</v>
      </c>
      <c r="P233" s="41">
        <f>468037200*6.1336%</f>
        <v>28707529.699200001</v>
      </c>
      <c r="Q233" s="409">
        <f>723406800*6.1336%</f>
        <v>44370879.484800003</v>
      </c>
      <c r="R233" s="128">
        <f t="shared" si="475"/>
        <v>275240116.61731201</v>
      </c>
      <c r="S233" s="41">
        <f>1919940000*6.1336%</f>
        <v>117761439.84</v>
      </c>
      <c r="T233" s="41">
        <f t="shared" ref="T233:Z233" si="513">+T223*6.1336%</f>
        <v>0</v>
      </c>
      <c r="U233" s="41">
        <f t="shared" si="513"/>
        <v>0</v>
      </c>
      <c r="V233" s="41">
        <f t="shared" si="513"/>
        <v>0</v>
      </c>
      <c r="W233" s="41">
        <f t="shared" si="513"/>
        <v>0</v>
      </c>
      <c r="X233" s="41">
        <f t="shared" si="513"/>
        <v>0</v>
      </c>
      <c r="Y233" s="41">
        <f t="shared" si="513"/>
        <v>0</v>
      </c>
      <c r="Z233" s="41">
        <f t="shared" si="513"/>
        <v>0</v>
      </c>
      <c r="AA233" s="128">
        <f t="shared" si="481"/>
        <v>117761439.84</v>
      </c>
      <c r="AB233" s="128">
        <f t="shared" si="476"/>
        <v>393001556.45731199</v>
      </c>
      <c r="AC233" s="175">
        <f t="shared" si="480"/>
        <v>0.79594478161490678</v>
      </c>
    </row>
    <row r="234" spans="1:29" s="63" customFormat="1" ht="47.25" x14ac:dyDescent="0.2">
      <c r="A234" s="397"/>
      <c r="B234" s="81" t="s">
        <v>686</v>
      </c>
      <c r="C234" s="79" t="s">
        <v>687</v>
      </c>
      <c r="D234" s="329">
        <f>SUM(D235:D244)</f>
        <v>3047557500</v>
      </c>
      <c r="E234" s="187">
        <f>SUM('ADICIONES  2021'!C234:I234)</f>
        <v>0</v>
      </c>
      <c r="F234" s="223"/>
      <c r="G234" s="223"/>
      <c r="H234" s="223"/>
      <c r="I234" s="223"/>
      <c r="J234" s="223"/>
      <c r="K234" s="78">
        <f t="shared" si="469"/>
        <v>3047557500</v>
      </c>
      <c r="L234" s="223">
        <v>0</v>
      </c>
      <c r="M234" s="223">
        <v>0</v>
      </c>
      <c r="N234" s="223">
        <v>0</v>
      </c>
      <c r="O234" s="223">
        <v>0</v>
      </c>
      <c r="P234" s="223">
        <v>0</v>
      </c>
      <c r="Q234" s="407"/>
      <c r="R234" s="78">
        <f t="shared" si="475"/>
        <v>0</v>
      </c>
      <c r="S234" s="223"/>
      <c r="T234" s="223"/>
      <c r="U234" s="223"/>
      <c r="V234" s="223"/>
      <c r="W234" s="223"/>
      <c r="X234" s="223"/>
      <c r="Y234" s="223"/>
      <c r="Z234" s="223"/>
      <c r="AA234" s="78">
        <f t="shared" si="481"/>
        <v>0</v>
      </c>
      <c r="AB234" s="78">
        <f t="shared" si="476"/>
        <v>0</v>
      </c>
      <c r="AC234" s="174">
        <f t="shared" si="480"/>
        <v>0</v>
      </c>
    </row>
    <row r="235" spans="1:29" ht="42.75" hidden="1" x14ac:dyDescent="0.2">
      <c r="B235" s="76" t="s">
        <v>688</v>
      </c>
      <c r="C235" s="77" t="s">
        <v>279</v>
      </c>
      <c r="D235" s="330"/>
      <c r="E235" s="188">
        <f>SUM('ADICIONES  2021'!C235:I235)</f>
        <v>0</v>
      </c>
      <c r="F235" s="41">
        <f>+F234*0%</f>
        <v>0</v>
      </c>
      <c r="G235" s="41">
        <f t="shared" ref="G235:J235" si="514">+G234*0%</f>
        <v>0</v>
      </c>
      <c r="H235" s="41">
        <f t="shared" si="514"/>
        <v>0</v>
      </c>
      <c r="I235" s="41">
        <f t="shared" si="514"/>
        <v>0</v>
      </c>
      <c r="J235" s="41">
        <f t="shared" si="514"/>
        <v>0</v>
      </c>
      <c r="K235" s="128">
        <f t="shared" si="469"/>
        <v>0</v>
      </c>
      <c r="L235" s="41">
        <f t="shared" ref="L235:Q235" si="515">+L234*0%</f>
        <v>0</v>
      </c>
      <c r="M235" s="41">
        <f t="shared" si="515"/>
        <v>0</v>
      </c>
      <c r="N235" s="41">
        <f t="shared" si="515"/>
        <v>0</v>
      </c>
      <c r="O235" s="41">
        <f t="shared" si="515"/>
        <v>0</v>
      </c>
      <c r="P235" s="41">
        <f t="shared" si="515"/>
        <v>0</v>
      </c>
      <c r="Q235" s="409">
        <f t="shared" si="515"/>
        <v>0</v>
      </c>
      <c r="R235" s="128">
        <f t="shared" si="475"/>
        <v>0</v>
      </c>
      <c r="S235" s="41">
        <f t="shared" ref="S235:Z235" si="516">+S234*0%</f>
        <v>0</v>
      </c>
      <c r="T235" s="41">
        <f t="shared" si="516"/>
        <v>0</v>
      </c>
      <c r="U235" s="41">
        <f t="shared" si="516"/>
        <v>0</v>
      </c>
      <c r="V235" s="41">
        <f t="shared" si="516"/>
        <v>0</v>
      </c>
      <c r="W235" s="41">
        <f t="shared" si="516"/>
        <v>0</v>
      </c>
      <c r="X235" s="41">
        <f t="shared" si="516"/>
        <v>0</v>
      </c>
      <c r="Y235" s="41">
        <f t="shared" si="516"/>
        <v>0</v>
      </c>
      <c r="Z235" s="41">
        <f t="shared" si="516"/>
        <v>0</v>
      </c>
      <c r="AA235" s="128">
        <f t="shared" si="481"/>
        <v>0</v>
      </c>
      <c r="AB235" s="128">
        <f t="shared" si="476"/>
        <v>0</v>
      </c>
      <c r="AC235" s="175" t="e">
        <f t="shared" si="480"/>
        <v>#DIV/0!</v>
      </c>
    </row>
    <row r="236" spans="1:29" ht="42.75" hidden="1" x14ac:dyDescent="0.2">
      <c r="B236" s="76" t="s">
        <v>689</v>
      </c>
      <c r="C236" s="77" t="s">
        <v>280</v>
      </c>
      <c r="D236" s="330">
        <v>0</v>
      </c>
      <c r="E236" s="188">
        <f>SUM('ADICIONES  2021'!C236:I236)</f>
        <v>0</v>
      </c>
      <c r="F236" s="41">
        <f>+F234*0%</f>
        <v>0</v>
      </c>
      <c r="G236" s="41">
        <f t="shared" ref="G236:J236" si="517">+G234*0%</f>
        <v>0</v>
      </c>
      <c r="H236" s="41">
        <f t="shared" si="517"/>
        <v>0</v>
      </c>
      <c r="I236" s="41">
        <f t="shared" si="517"/>
        <v>0</v>
      </c>
      <c r="J236" s="41">
        <f t="shared" si="517"/>
        <v>0</v>
      </c>
      <c r="K236" s="128">
        <f t="shared" si="469"/>
        <v>0</v>
      </c>
      <c r="L236" s="41">
        <f t="shared" ref="L236:Q236" si="518">+L234*0%</f>
        <v>0</v>
      </c>
      <c r="M236" s="41">
        <f t="shared" si="518"/>
        <v>0</v>
      </c>
      <c r="N236" s="41">
        <f t="shared" si="518"/>
        <v>0</v>
      </c>
      <c r="O236" s="41">
        <f t="shared" si="518"/>
        <v>0</v>
      </c>
      <c r="P236" s="41">
        <f t="shared" si="518"/>
        <v>0</v>
      </c>
      <c r="Q236" s="409">
        <f t="shared" si="518"/>
        <v>0</v>
      </c>
      <c r="R236" s="128">
        <f t="shared" si="475"/>
        <v>0</v>
      </c>
      <c r="S236" s="41">
        <f t="shared" ref="S236:Z236" si="519">+S234*0%</f>
        <v>0</v>
      </c>
      <c r="T236" s="41">
        <f t="shared" si="519"/>
        <v>0</v>
      </c>
      <c r="U236" s="41">
        <f t="shared" si="519"/>
        <v>0</v>
      </c>
      <c r="V236" s="41">
        <f t="shared" si="519"/>
        <v>0</v>
      </c>
      <c r="W236" s="41">
        <f t="shared" si="519"/>
        <v>0</v>
      </c>
      <c r="X236" s="41">
        <f t="shared" si="519"/>
        <v>0</v>
      </c>
      <c r="Y236" s="41">
        <f t="shared" si="519"/>
        <v>0</v>
      </c>
      <c r="Z236" s="41">
        <f t="shared" si="519"/>
        <v>0</v>
      </c>
      <c r="AA236" s="128">
        <f t="shared" si="481"/>
        <v>0</v>
      </c>
      <c r="AB236" s="128">
        <f t="shared" si="476"/>
        <v>0</v>
      </c>
      <c r="AC236" s="175" t="e">
        <f t="shared" si="480"/>
        <v>#DIV/0!</v>
      </c>
    </row>
    <row r="237" spans="1:29" ht="42.75" x14ac:dyDescent="0.2">
      <c r="B237" s="76" t="s">
        <v>690</v>
      </c>
      <c r="C237" s="77" t="s">
        <v>673</v>
      </c>
      <c r="D237" s="330">
        <v>402442499.99999994</v>
      </c>
      <c r="E237" s="188">
        <f>SUM('ADICIONES  2021'!C237:I237)</f>
        <v>0</v>
      </c>
      <c r="F237" s="41">
        <f>+F234*11.665%</f>
        <v>0</v>
      </c>
      <c r="G237" s="41">
        <f t="shared" ref="G237:J237" si="520">+G234*11.665%</f>
        <v>0</v>
      </c>
      <c r="H237" s="41">
        <f t="shared" si="520"/>
        <v>0</v>
      </c>
      <c r="I237" s="41">
        <f t="shared" si="520"/>
        <v>0</v>
      </c>
      <c r="J237" s="41">
        <f t="shared" si="520"/>
        <v>0</v>
      </c>
      <c r="K237" s="128">
        <f t="shared" si="469"/>
        <v>402442499.99999994</v>
      </c>
      <c r="L237" s="41">
        <f t="shared" ref="L237:Q237" si="521">+L234*11.665%</f>
        <v>0</v>
      </c>
      <c r="M237" s="41">
        <f t="shared" si="521"/>
        <v>0</v>
      </c>
      <c r="N237" s="41">
        <f t="shared" si="521"/>
        <v>0</v>
      </c>
      <c r="O237" s="41">
        <f t="shared" si="521"/>
        <v>0</v>
      </c>
      <c r="P237" s="41">
        <f t="shared" si="521"/>
        <v>0</v>
      </c>
      <c r="Q237" s="409">
        <f t="shared" si="521"/>
        <v>0</v>
      </c>
      <c r="R237" s="128">
        <f t="shared" si="475"/>
        <v>0</v>
      </c>
      <c r="S237" s="41">
        <f t="shared" ref="S237:Z237" si="522">+S234*11.665%</f>
        <v>0</v>
      </c>
      <c r="T237" s="41">
        <f t="shared" si="522"/>
        <v>0</v>
      </c>
      <c r="U237" s="41">
        <f t="shared" si="522"/>
        <v>0</v>
      </c>
      <c r="V237" s="41">
        <f t="shared" si="522"/>
        <v>0</v>
      </c>
      <c r="W237" s="41">
        <f t="shared" si="522"/>
        <v>0</v>
      </c>
      <c r="X237" s="41">
        <f t="shared" si="522"/>
        <v>0</v>
      </c>
      <c r="Y237" s="41">
        <f t="shared" si="522"/>
        <v>0</v>
      </c>
      <c r="Z237" s="41">
        <f t="shared" si="522"/>
        <v>0</v>
      </c>
      <c r="AA237" s="128">
        <f t="shared" si="481"/>
        <v>0</v>
      </c>
      <c r="AB237" s="128">
        <f t="shared" si="476"/>
        <v>0</v>
      </c>
      <c r="AC237" s="175">
        <f t="shared" si="480"/>
        <v>0</v>
      </c>
    </row>
    <row r="238" spans="1:29" ht="42.75" hidden="1" x14ac:dyDescent="0.2">
      <c r="B238" s="76" t="s">
        <v>691</v>
      </c>
      <c r="C238" s="77" t="s">
        <v>675</v>
      </c>
      <c r="D238" s="330">
        <v>0</v>
      </c>
      <c r="E238" s="188">
        <f>SUM('ADICIONES  2021'!C238:I238)</f>
        <v>0</v>
      </c>
      <c r="F238" s="41">
        <f>+F234*0%</f>
        <v>0</v>
      </c>
      <c r="G238" s="41">
        <f t="shared" ref="G238:J238" si="523">+G234*0%</f>
        <v>0</v>
      </c>
      <c r="H238" s="41">
        <f t="shared" si="523"/>
        <v>0</v>
      </c>
      <c r="I238" s="41">
        <f t="shared" si="523"/>
        <v>0</v>
      </c>
      <c r="J238" s="41">
        <f t="shared" si="523"/>
        <v>0</v>
      </c>
      <c r="K238" s="128">
        <f t="shared" si="469"/>
        <v>0</v>
      </c>
      <c r="L238" s="41">
        <f t="shared" ref="L238:Q238" si="524">+L234*0%</f>
        <v>0</v>
      </c>
      <c r="M238" s="41">
        <f t="shared" si="524"/>
        <v>0</v>
      </c>
      <c r="N238" s="41">
        <f t="shared" si="524"/>
        <v>0</v>
      </c>
      <c r="O238" s="41">
        <f t="shared" si="524"/>
        <v>0</v>
      </c>
      <c r="P238" s="41">
        <f t="shared" si="524"/>
        <v>0</v>
      </c>
      <c r="Q238" s="409">
        <f t="shared" si="524"/>
        <v>0</v>
      </c>
      <c r="R238" s="128">
        <f t="shared" si="475"/>
        <v>0</v>
      </c>
      <c r="S238" s="41">
        <f t="shared" ref="S238:Z238" si="525">+S234*0%</f>
        <v>0</v>
      </c>
      <c r="T238" s="41">
        <f t="shared" si="525"/>
        <v>0</v>
      </c>
      <c r="U238" s="41">
        <f t="shared" si="525"/>
        <v>0</v>
      </c>
      <c r="V238" s="41">
        <f t="shared" si="525"/>
        <v>0</v>
      </c>
      <c r="W238" s="41">
        <f t="shared" si="525"/>
        <v>0</v>
      </c>
      <c r="X238" s="41">
        <f t="shared" si="525"/>
        <v>0</v>
      </c>
      <c r="Y238" s="41">
        <f t="shared" si="525"/>
        <v>0</v>
      </c>
      <c r="Z238" s="41">
        <f t="shared" si="525"/>
        <v>0</v>
      </c>
      <c r="AA238" s="128">
        <f t="shared" si="481"/>
        <v>0</v>
      </c>
      <c r="AB238" s="128">
        <f t="shared" si="476"/>
        <v>0</v>
      </c>
      <c r="AC238" s="175" t="e">
        <f t="shared" si="480"/>
        <v>#DIV/0!</v>
      </c>
    </row>
    <row r="239" spans="1:29" ht="28.5" x14ac:dyDescent="0.2">
      <c r="B239" s="76" t="s">
        <v>692</v>
      </c>
      <c r="C239" s="77" t="s">
        <v>281</v>
      </c>
      <c r="D239" s="330">
        <v>2095742654.1842999</v>
      </c>
      <c r="E239" s="188">
        <f>SUM('ADICIONES  2021'!C239:I239)</f>
        <v>0</v>
      </c>
      <c r="F239" s="41">
        <f>+F234*60.7461638894%</f>
        <v>0</v>
      </c>
      <c r="G239" s="41">
        <f t="shared" ref="G239:J239" si="526">+G234*60.7461638894%</f>
        <v>0</v>
      </c>
      <c r="H239" s="41">
        <f t="shared" si="526"/>
        <v>0</v>
      </c>
      <c r="I239" s="41">
        <f t="shared" si="526"/>
        <v>0</v>
      </c>
      <c r="J239" s="41">
        <f t="shared" si="526"/>
        <v>0</v>
      </c>
      <c r="K239" s="128">
        <f t="shared" si="469"/>
        <v>2095742654.1842999</v>
      </c>
      <c r="L239" s="41">
        <f t="shared" ref="L239:Q239" si="527">+L234*60.7461638894%</f>
        <v>0</v>
      </c>
      <c r="M239" s="41">
        <f t="shared" si="527"/>
        <v>0</v>
      </c>
      <c r="N239" s="41">
        <f t="shared" si="527"/>
        <v>0</v>
      </c>
      <c r="O239" s="41">
        <f t="shared" si="527"/>
        <v>0</v>
      </c>
      <c r="P239" s="41">
        <f t="shared" si="527"/>
        <v>0</v>
      </c>
      <c r="Q239" s="409">
        <f t="shared" si="527"/>
        <v>0</v>
      </c>
      <c r="R239" s="128">
        <f t="shared" si="475"/>
        <v>0</v>
      </c>
      <c r="S239" s="41">
        <f t="shared" ref="S239:Z239" si="528">+S234*60.7461638894%</f>
        <v>0</v>
      </c>
      <c r="T239" s="41">
        <f t="shared" si="528"/>
        <v>0</v>
      </c>
      <c r="U239" s="41">
        <f t="shared" si="528"/>
        <v>0</v>
      </c>
      <c r="V239" s="41">
        <f t="shared" si="528"/>
        <v>0</v>
      </c>
      <c r="W239" s="41">
        <f t="shared" si="528"/>
        <v>0</v>
      </c>
      <c r="X239" s="41">
        <f t="shared" si="528"/>
        <v>0</v>
      </c>
      <c r="Y239" s="41">
        <f t="shared" si="528"/>
        <v>0</v>
      </c>
      <c r="Z239" s="41">
        <f t="shared" si="528"/>
        <v>0</v>
      </c>
      <c r="AA239" s="128">
        <f t="shared" si="481"/>
        <v>0</v>
      </c>
      <c r="AB239" s="128">
        <f t="shared" si="476"/>
        <v>0</v>
      </c>
      <c r="AC239" s="175">
        <f t="shared" si="480"/>
        <v>0</v>
      </c>
    </row>
    <row r="240" spans="1:29" ht="28.5" x14ac:dyDescent="0.2">
      <c r="B240" s="76" t="s">
        <v>693</v>
      </c>
      <c r="C240" s="77" t="s">
        <v>679</v>
      </c>
      <c r="D240" s="330">
        <v>2645115</v>
      </c>
      <c r="E240" s="188">
        <f>SUM('ADICIONES  2021'!C240:I240)</f>
        <v>0</v>
      </c>
      <c r="F240" s="41">
        <f>+F234*0.07667%</f>
        <v>0</v>
      </c>
      <c r="G240" s="41">
        <f t="shared" ref="G240:J240" si="529">+G234*0.07667%</f>
        <v>0</v>
      </c>
      <c r="H240" s="41">
        <f t="shared" si="529"/>
        <v>0</v>
      </c>
      <c r="I240" s="41">
        <f t="shared" si="529"/>
        <v>0</v>
      </c>
      <c r="J240" s="41">
        <f t="shared" si="529"/>
        <v>0</v>
      </c>
      <c r="K240" s="128">
        <f t="shared" si="469"/>
        <v>2645115</v>
      </c>
      <c r="L240" s="41">
        <f t="shared" ref="L240:Q240" si="530">+L234*0.07667%</f>
        <v>0</v>
      </c>
      <c r="M240" s="41">
        <f t="shared" si="530"/>
        <v>0</v>
      </c>
      <c r="N240" s="41">
        <f t="shared" si="530"/>
        <v>0</v>
      </c>
      <c r="O240" s="41">
        <f t="shared" si="530"/>
        <v>0</v>
      </c>
      <c r="P240" s="41">
        <f t="shared" si="530"/>
        <v>0</v>
      </c>
      <c r="Q240" s="409">
        <f t="shared" si="530"/>
        <v>0</v>
      </c>
      <c r="R240" s="128">
        <f t="shared" si="475"/>
        <v>0</v>
      </c>
      <c r="S240" s="41">
        <f t="shared" ref="S240:Z240" si="531">+S234*0.07667%</f>
        <v>0</v>
      </c>
      <c r="T240" s="41">
        <f t="shared" si="531"/>
        <v>0</v>
      </c>
      <c r="U240" s="41">
        <f t="shared" si="531"/>
        <v>0</v>
      </c>
      <c r="V240" s="41">
        <f t="shared" si="531"/>
        <v>0</v>
      </c>
      <c r="W240" s="41">
        <f t="shared" si="531"/>
        <v>0</v>
      </c>
      <c r="X240" s="41">
        <f t="shared" si="531"/>
        <v>0</v>
      </c>
      <c r="Y240" s="41">
        <f t="shared" si="531"/>
        <v>0</v>
      </c>
      <c r="Z240" s="41">
        <f t="shared" si="531"/>
        <v>0</v>
      </c>
      <c r="AA240" s="128">
        <f t="shared" si="481"/>
        <v>0</v>
      </c>
      <c r="AB240" s="128">
        <f t="shared" si="476"/>
        <v>0</v>
      </c>
      <c r="AC240" s="175">
        <f t="shared" si="480"/>
        <v>0</v>
      </c>
    </row>
    <row r="241" spans="1:29" ht="14.25" x14ac:dyDescent="0.2">
      <c r="B241" s="76" t="s">
        <v>694</v>
      </c>
      <c r="C241" s="77" t="s">
        <v>282</v>
      </c>
      <c r="D241" s="330">
        <v>264246988.5</v>
      </c>
      <c r="E241" s="188">
        <f>SUM('ADICIONES  2021'!C241:I241)</f>
        <v>0</v>
      </c>
      <c r="F241" s="41">
        <f>+F234*7.659333%</f>
        <v>0</v>
      </c>
      <c r="G241" s="41">
        <f t="shared" ref="G241:J241" si="532">+G234*7.659333%</f>
        <v>0</v>
      </c>
      <c r="H241" s="41">
        <f t="shared" si="532"/>
        <v>0</v>
      </c>
      <c r="I241" s="41">
        <f t="shared" si="532"/>
        <v>0</v>
      </c>
      <c r="J241" s="41">
        <f t="shared" si="532"/>
        <v>0</v>
      </c>
      <c r="K241" s="128">
        <f t="shared" si="469"/>
        <v>264246988.5</v>
      </c>
      <c r="L241" s="41">
        <f t="shared" ref="L241:Q241" si="533">+L234*7.659333%</f>
        <v>0</v>
      </c>
      <c r="M241" s="41">
        <f t="shared" si="533"/>
        <v>0</v>
      </c>
      <c r="N241" s="41">
        <f t="shared" si="533"/>
        <v>0</v>
      </c>
      <c r="O241" s="41">
        <f t="shared" si="533"/>
        <v>0</v>
      </c>
      <c r="P241" s="41">
        <f t="shared" si="533"/>
        <v>0</v>
      </c>
      <c r="Q241" s="409">
        <f t="shared" si="533"/>
        <v>0</v>
      </c>
      <c r="R241" s="128">
        <f t="shared" si="475"/>
        <v>0</v>
      </c>
      <c r="S241" s="41">
        <f t="shared" ref="S241:Z241" si="534">+S234*7.659333%</f>
        <v>0</v>
      </c>
      <c r="T241" s="41">
        <f t="shared" si="534"/>
        <v>0</v>
      </c>
      <c r="U241" s="41">
        <f t="shared" si="534"/>
        <v>0</v>
      </c>
      <c r="V241" s="41">
        <f t="shared" si="534"/>
        <v>0</v>
      </c>
      <c r="W241" s="41">
        <f t="shared" si="534"/>
        <v>0</v>
      </c>
      <c r="X241" s="41">
        <f t="shared" si="534"/>
        <v>0</v>
      </c>
      <c r="Y241" s="41">
        <f t="shared" si="534"/>
        <v>0</v>
      </c>
      <c r="Z241" s="41">
        <f t="shared" si="534"/>
        <v>0</v>
      </c>
      <c r="AA241" s="128">
        <f t="shared" si="481"/>
        <v>0</v>
      </c>
      <c r="AB241" s="128">
        <f t="shared" si="476"/>
        <v>0</v>
      </c>
      <c r="AC241" s="175">
        <f t="shared" si="480"/>
        <v>0</v>
      </c>
    </row>
    <row r="242" spans="1:29" ht="28.5" x14ac:dyDescent="0.2">
      <c r="B242" s="76" t="s">
        <v>695</v>
      </c>
      <c r="C242" s="77" t="s">
        <v>283</v>
      </c>
      <c r="D242" s="330">
        <v>47564457.93</v>
      </c>
      <c r="E242" s="188">
        <f>SUM('ADICIONES  2021'!C242:I242)</f>
        <v>0</v>
      </c>
      <c r="F242" s="41">
        <f>+F234*1.37867994%</f>
        <v>0</v>
      </c>
      <c r="G242" s="41">
        <f t="shared" ref="G242:J242" si="535">+G234*1.37867994%</f>
        <v>0</v>
      </c>
      <c r="H242" s="41">
        <f t="shared" si="535"/>
        <v>0</v>
      </c>
      <c r="I242" s="41">
        <f t="shared" si="535"/>
        <v>0</v>
      </c>
      <c r="J242" s="41">
        <f t="shared" si="535"/>
        <v>0</v>
      </c>
      <c r="K242" s="128">
        <f t="shared" si="469"/>
        <v>47564457.93</v>
      </c>
      <c r="L242" s="41">
        <f t="shared" ref="L242:Q242" si="536">+L234*1.37867994%</f>
        <v>0</v>
      </c>
      <c r="M242" s="41">
        <f t="shared" si="536"/>
        <v>0</v>
      </c>
      <c r="N242" s="41">
        <f t="shared" si="536"/>
        <v>0</v>
      </c>
      <c r="O242" s="41">
        <f t="shared" si="536"/>
        <v>0</v>
      </c>
      <c r="P242" s="41">
        <f t="shared" si="536"/>
        <v>0</v>
      </c>
      <c r="Q242" s="409">
        <f t="shared" si="536"/>
        <v>0</v>
      </c>
      <c r="R242" s="128">
        <f t="shared" si="475"/>
        <v>0</v>
      </c>
      <c r="S242" s="41">
        <f t="shared" ref="S242:Z242" si="537">+S234*1.37867994%</f>
        <v>0</v>
      </c>
      <c r="T242" s="41">
        <f t="shared" si="537"/>
        <v>0</v>
      </c>
      <c r="U242" s="41">
        <f t="shared" si="537"/>
        <v>0</v>
      </c>
      <c r="V242" s="41">
        <f t="shared" si="537"/>
        <v>0</v>
      </c>
      <c r="W242" s="41">
        <f t="shared" si="537"/>
        <v>0</v>
      </c>
      <c r="X242" s="41">
        <f t="shared" si="537"/>
        <v>0</v>
      </c>
      <c r="Y242" s="41">
        <f t="shared" si="537"/>
        <v>0</v>
      </c>
      <c r="Z242" s="41">
        <f t="shared" si="537"/>
        <v>0</v>
      </c>
      <c r="AA242" s="128">
        <f t="shared" si="481"/>
        <v>0</v>
      </c>
      <c r="AB242" s="128">
        <f t="shared" si="476"/>
        <v>0</v>
      </c>
      <c r="AC242" s="175">
        <f t="shared" si="480"/>
        <v>0</v>
      </c>
    </row>
    <row r="243" spans="1:29" ht="42.75" x14ac:dyDescent="0.2">
      <c r="B243" s="76" t="s">
        <v>696</v>
      </c>
      <c r="C243" s="77" t="s">
        <v>683</v>
      </c>
      <c r="D243" s="330">
        <v>23306584.385700002</v>
      </c>
      <c r="E243" s="188">
        <f>SUM('ADICIONES  2021'!C243:I243)</f>
        <v>0</v>
      </c>
      <c r="F243" s="41">
        <f>+F234*0.6755531706%</f>
        <v>0</v>
      </c>
      <c r="G243" s="41">
        <f t="shared" ref="G243:J243" si="538">+G234*0.6755531706%</f>
        <v>0</v>
      </c>
      <c r="H243" s="41">
        <f t="shared" si="538"/>
        <v>0</v>
      </c>
      <c r="I243" s="41">
        <f t="shared" si="538"/>
        <v>0</v>
      </c>
      <c r="J243" s="41">
        <f t="shared" si="538"/>
        <v>0</v>
      </c>
      <c r="K243" s="128">
        <f t="shared" si="469"/>
        <v>23306584.385700002</v>
      </c>
      <c r="L243" s="41">
        <f t="shared" ref="L243:Q243" si="539">+L234*0.6755531706%</f>
        <v>0</v>
      </c>
      <c r="M243" s="41">
        <f t="shared" si="539"/>
        <v>0</v>
      </c>
      <c r="N243" s="41">
        <f t="shared" si="539"/>
        <v>0</v>
      </c>
      <c r="O243" s="41">
        <f t="shared" si="539"/>
        <v>0</v>
      </c>
      <c r="P243" s="41">
        <f t="shared" si="539"/>
        <v>0</v>
      </c>
      <c r="Q243" s="409">
        <f t="shared" si="539"/>
        <v>0</v>
      </c>
      <c r="R243" s="128">
        <f t="shared" si="475"/>
        <v>0</v>
      </c>
      <c r="S243" s="41">
        <f t="shared" ref="S243:Z243" si="540">+S234*0.6755531706%</f>
        <v>0</v>
      </c>
      <c r="T243" s="41">
        <f t="shared" si="540"/>
        <v>0</v>
      </c>
      <c r="U243" s="41">
        <f t="shared" si="540"/>
        <v>0</v>
      </c>
      <c r="V243" s="41">
        <f t="shared" si="540"/>
        <v>0</v>
      </c>
      <c r="W243" s="41">
        <f t="shared" si="540"/>
        <v>0</v>
      </c>
      <c r="X243" s="41">
        <f t="shared" si="540"/>
        <v>0</v>
      </c>
      <c r="Y243" s="41">
        <f t="shared" si="540"/>
        <v>0</v>
      </c>
      <c r="Z243" s="41">
        <f t="shared" si="540"/>
        <v>0</v>
      </c>
      <c r="AA243" s="128">
        <f t="shared" si="481"/>
        <v>0</v>
      </c>
      <c r="AB243" s="128">
        <f t="shared" si="476"/>
        <v>0</v>
      </c>
      <c r="AC243" s="175">
        <f t="shared" si="480"/>
        <v>0</v>
      </c>
    </row>
    <row r="244" spans="1:29" ht="28.5" x14ac:dyDescent="0.2">
      <c r="B244" s="76" t="s">
        <v>697</v>
      </c>
      <c r="C244" s="77" t="s">
        <v>685</v>
      </c>
      <c r="D244" s="330">
        <v>211609200</v>
      </c>
      <c r="E244" s="188">
        <f>SUM('ADICIONES  2021'!C244:I244)</f>
        <v>0</v>
      </c>
      <c r="F244" s="41">
        <f>+F234*6.1336%</f>
        <v>0</v>
      </c>
      <c r="G244" s="41">
        <f t="shared" ref="G244:J244" si="541">+G234*6.1336%</f>
        <v>0</v>
      </c>
      <c r="H244" s="41">
        <f t="shared" si="541"/>
        <v>0</v>
      </c>
      <c r="I244" s="41">
        <f t="shared" si="541"/>
        <v>0</v>
      </c>
      <c r="J244" s="41">
        <f t="shared" si="541"/>
        <v>0</v>
      </c>
      <c r="K244" s="128">
        <f t="shared" si="469"/>
        <v>211609200</v>
      </c>
      <c r="L244" s="41">
        <f t="shared" ref="L244:Q244" si="542">+L234*6.1336%</f>
        <v>0</v>
      </c>
      <c r="M244" s="41">
        <f t="shared" si="542"/>
        <v>0</v>
      </c>
      <c r="N244" s="41">
        <f t="shared" si="542"/>
        <v>0</v>
      </c>
      <c r="O244" s="41">
        <f t="shared" si="542"/>
        <v>0</v>
      </c>
      <c r="P244" s="41">
        <f t="shared" si="542"/>
        <v>0</v>
      </c>
      <c r="Q244" s="409">
        <f t="shared" si="542"/>
        <v>0</v>
      </c>
      <c r="R244" s="128">
        <f t="shared" si="475"/>
        <v>0</v>
      </c>
      <c r="S244" s="41">
        <f t="shared" ref="S244:Z244" si="543">+S234*6.1336%</f>
        <v>0</v>
      </c>
      <c r="T244" s="41">
        <f t="shared" si="543"/>
        <v>0</v>
      </c>
      <c r="U244" s="41">
        <f t="shared" si="543"/>
        <v>0</v>
      </c>
      <c r="V244" s="41">
        <f t="shared" si="543"/>
        <v>0</v>
      </c>
      <c r="W244" s="41">
        <f t="shared" si="543"/>
        <v>0</v>
      </c>
      <c r="X244" s="41">
        <f t="shared" si="543"/>
        <v>0</v>
      </c>
      <c r="Y244" s="41">
        <f t="shared" si="543"/>
        <v>0</v>
      </c>
      <c r="Z244" s="41">
        <f t="shared" si="543"/>
        <v>0</v>
      </c>
      <c r="AA244" s="128">
        <f t="shared" si="481"/>
        <v>0</v>
      </c>
      <c r="AB244" s="128">
        <f t="shared" si="476"/>
        <v>0</v>
      </c>
      <c r="AC244" s="175">
        <f t="shared" si="480"/>
        <v>0</v>
      </c>
    </row>
    <row r="245" spans="1:29" s="214" customFormat="1" ht="19.5" x14ac:dyDescent="0.2">
      <c r="A245" s="211">
        <v>1</v>
      </c>
      <c r="B245" s="212" t="s">
        <v>698</v>
      </c>
      <c r="C245" s="213" t="s">
        <v>85</v>
      </c>
      <c r="D245" s="360">
        <f>+D252+D340+D566+D246+D249+D572+D329+D335+D650</f>
        <v>124388897000</v>
      </c>
      <c r="E245" s="306">
        <f>SUM('ADICIONES  2021'!C245:I245)</f>
        <v>324396293021.59991</v>
      </c>
      <c r="F245" s="361">
        <f>+F252+F340+F566+F246+F249+F572+F329+F335+F650</f>
        <v>1950062900</v>
      </c>
      <c r="G245" s="361">
        <f>+G252+G340+G566+G246+G249+G572+G329+G335+G650</f>
        <v>0</v>
      </c>
      <c r="H245" s="361">
        <f>+H252+H340+H566+H246+H249+H572+H329+H335+H650</f>
        <v>2500000000</v>
      </c>
      <c r="I245" s="361">
        <f>+I252+I340+I566+I246+I249+I572+I329+I335+I650</f>
        <v>0</v>
      </c>
      <c r="J245" s="361">
        <f>+J252+J340+J566+J246+J249+J572+J329+J335+J650</f>
        <v>0</v>
      </c>
      <c r="K245" s="206">
        <f t="shared" si="469"/>
        <v>444335127121.59991</v>
      </c>
      <c r="L245" s="361">
        <f t="shared" ref="L245:Q245" si="544">+L252+L340+L566+L246+L249+L572+L329+L335+L650</f>
        <v>434962185.77999991</v>
      </c>
      <c r="M245" s="361">
        <f t="shared" si="544"/>
        <v>599361430.99000013</v>
      </c>
      <c r="N245" s="361">
        <f t="shared" si="544"/>
        <v>8071853555.3299999</v>
      </c>
      <c r="O245" s="361">
        <f t="shared" si="544"/>
        <v>818757609.36999989</v>
      </c>
      <c r="P245" s="361">
        <f t="shared" si="544"/>
        <v>145307816836.19998</v>
      </c>
      <c r="Q245" s="414">
        <f t="shared" si="544"/>
        <v>15022756802.869999</v>
      </c>
      <c r="R245" s="206">
        <f t="shared" si="475"/>
        <v>170255508420.53998</v>
      </c>
      <c r="S245" s="361">
        <f t="shared" ref="S245:Z245" si="545">+S252+S340+S566+S246+S249+S572+S329+S335+S650</f>
        <v>537808084.79999995</v>
      </c>
      <c r="T245" s="361">
        <f t="shared" si="545"/>
        <v>0</v>
      </c>
      <c r="U245" s="361">
        <f t="shared" si="545"/>
        <v>0</v>
      </c>
      <c r="V245" s="361">
        <f t="shared" si="545"/>
        <v>0</v>
      </c>
      <c r="W245" s="361">
        <f t="shared" si="545"/>
        <v>0</v>
      </c>
      <c r="X245" s="361">
        <f t="shared" si="545"/>
        <v>0</v>
      </c>
      <c r="Y245" s="361">
        <f t="shared" si="545"/>
        <v>0</v>
      </c>
      <c r="Z245" s="361">
        <f t="shared" si="545"/>
        <v>0</v>
      </c>
      <c r="AA245" s="206">
        <f t="shared" si="481"/>
        <v>537808084.79999995</v>
      </c>
      <c r="AB245" s="206">
        <f t="shared" si="476"/>
        <v>170793316505.33997</v>
      </c>
      <c r="AC245" s="207">
        <f t="shared" si="480"/>
        <v>0.38437950564867102</v>
      </c>
    </row>
    <row r="246" spans="1:29" s="63" customFormat="1" ht="19.5" hidden="1" x14ac:dyDescent="0.2">
      <c r="A246" s="397"/>
      <c r="B246" s="81" t="s">
        <v>699</v>
      </c>
      <c r="C246" s="79" t="s">
        <v>700</v>
      </c>
      <c r="D246" s="362">
        <f t="shared" ref="D246:S247" si="546">+D247</f>
        <v>0</v>
      </c>
      <c r="E246" s="187">
        <f>SUM('ADICIONES  2021'!C246:I246)</f>
        <v>0</v>
      </c>
      <c r="F246" s="363">
        <f t="shared" si="546"/>
        <v>0</v>
      </c>
      <c r="G246" s="363">
        <f t="shared" si="546"/>
        <v>0</v>
      </c>
      <c r="H246" s="363">
        <f t="shared" si="546"/>
        <v>0</v>
      </c>
      <c r="I246" s="363">
        <f t="shared" si="546"/>
        <v>0</v>
      </c>
      <c r="J246" s="363">
        <f t="shared" si="546"/>
        <v>0</v>
      </c>
      <c r="K246" s="78">
        <f t="shared" si="469"/>
        <v>0</v>
      </c>
      <c r="L246" s="363">
        <f t="shared" si="546"/>
        <v>0</v>
      </c>
      <c r="M246" s="363">
        <f t="shared" si="546"/>
        <v>0</v>
      </c>
      <c r="N246" s="363">
        <f t="shared" si="546"/>
        <v>0</v>
      </c>
      <c r="O246" s="363">
        <f t="shared" si="546"/>
        <v>0</v>
      </c>
      <c r="P246" s="363">
        <f t="shared" si="546"/>
        <v>0</v>
      </c>
      <c r="Q246" s="415">
        <f t="shared" si="546"/>
        <v>0</v>
      </c>
      <c r="R246" s="78">
        <f t="shared" si="475"/>
        <v>0</v>
      </c>
      <c r="S246" s="363">
        <f t="shared" si="546"/>
        <v>0</v>
      </c>
      <c r="T246" s="363">
        <f t="shared" ref="S246:Z247" si="547">+T247</f>
        <v>0</v>
      </c>
      <c r="U246" s="363">
        <f t="shared" si="547"/>
        <v>0</v>
      </c>
      <c r="V246" s="363">
        <f t="shared" si="547"/>
        <v>0</v>
      </c>
      <c r="W246" s="363">
        <f t="shared" si="547"/>
        <v>0</v>
      </c>
      <c r="X246" s="363">
        <f t="shared" si="547"/>
        <v>0</v>
      </c>
      <c r="Y246" s="363">
        <f t="shared" si="547"/>
        <v>0</v>
      </c>
      <c r="Z246" s="363">
        <f t="shared" si="547"/>
        <v>0</v>
      </c>
      <c r="AA246" s="78">
        <f t="shared" si="481"/>
        <v>0</v>
      </c>
      <c r="AB246" s="78">
        <f t="shared" si="476"/>
        <v>0</v>
      </c>
      <c r="AC246" s="174" t="e">
        <f t="shared" si="480"/>
        <v>#DIV/0!</v>
      </c>
    </row>
    <row r="247" spans="1:29" s="63" customFormat="1" ht="31.5" hidden="1" x14ac:dyDescent="0.2">
      <c r="A247" s="397"/>
      <c r="B247" s="81" t="s">
        <v>701</v>
      </c>
      <c r="C247" s="79" t="s">
        <v>702</v>
      </c>
      <c r="D247" s="362">
        <f t="shared" si="546"/>
        <v>0</v>
      </c>
      <c r="E247" s="187">
        <f>SUM('ADICIONES  2021'!C247:I247)</f>
        <v>0</v>
      </c>
      <c r="F247" s="363">
        <f t="shared" si="546"/>
        <v>0</v>
      </c>
      <c r="G247" s="363">
        <f t="shared" si="546"/>
        <v>0</v>
      </c>
      <c r="H247" s="363">
        <f t="shared" si="546"/>
        <v>0</v>
      </c>
      <c r="I247" s="363">
        <f t="shared" si="546"/>
        <v>0</v>
      </c>
      <c r="J247" s="363">
        <f t="shared" si="546"/>
        <v>0</v>
      </c>
      <c r="K247" s="78">
        <f t="shared" si="469"/>
        <v>0</v>
      </c>
      <c r="L247" s="363">
        <f t="shared" si="546"/>
        <v>0</v>
      </c>
      <c r="M247" s="363">
        <f t="shared" si="546"/>
        <v>0</v>
      </c>
      <c r="N247" s="363">
        <f t="shared" si="546"/>
        <v>0</v>
      </c>
      <c r="O247" s="363">
        <f t="shared" si="546"/>
        <v>0</v>
      </c>
      <c r="P247" s="363">
        <f t="shared" si="546"/>
        <v>0</v>
      </c>
      <c r="Q247" s="415">
        <f t="shared" si="546"/>
        <v>0</v>
      </c>
      <c r="R247" s="78">
        <f t="shared" si="475"/>
        <v>0</v>
      </c>
      <c r="S247" s="363">
        <f t="shared" si="547"/>
        <v>0</v>
      </c>
      <c r="T247" s="363">
        <f t="shared" si="547"/>
        <v>0</v>
      </c>
      <c r="U247" s="363">
        <f t="shared" si="547"/>
        <v>0</v>
      </c>
      <c r="V247" s="363">
        <f t="shared" si="547"/>
        <v>0</v>
      </c>
      <c r="W247" s="363">
        <f t="shared" si="547"/>
        <v>0</v>
      </c>
      <c r="X247" s="363">
        <f t="shared" si="547"/>
        <v>0</v>
      </c>
      <c r="Y247" s="363">
        <f t="shared" si="547"/>
        <v>0</v>
      </c>
      <c r="Z247" s="363">
        <f t="shared" si="547"/>
        <v>0</v>
      </c>
      <c r="AA247" s="78">
        <f t="shared" si="481"/>
        <v>0</v>
      </c>
      <c r="AB247" s="78">
        <f t="shared" si="476"/>
        <v>0</v>
      </c>
      <c r="AC247" s="174" t="e">
        <f t="shared" si="480"/>
        <v>#DIV/0!</v>
      </c>
    </row>
    <row r="248" spans="1:29" ht="14.25" hidden="1" x14ac:dyDescent="0.2">
      <c r="A248" s="396">
        <v>1</v>
      </c>
      <c r="B248" s="76" t="s">
        <v>703</v>
      </c>
      <c r="C248" s="77" t="s">
        <v>262</v>
      </c>
      <c r="D248" s="330">
        <v>0</v>
      </c>
      <c r="E248" s="188">
        <f>SUM('ADICIONES  2021'!C248:I248)</f>
        <v>0</v>
      </c>
      <c r="F248" s="41"/>
      <c r="G248" s="41"/>
      <c r="H248" s="41"/>
      <c r="I248" s="41"/>
      <c r="J248" s="41"/>
      <c r="K248" s="128">
        <f t="shared" si="469"/>
        <v>0</v>
      </c>
      <c r="L248" s="41"/>
      <c r="M248" s="41"/>
      <c r="N248" s="41"/>
      <c r="O248" s="41"/>
      <c r="P248" s="41"/>
      <c r="Q248" s="409"/>
      <c r="R248" s="128">
        <f t="shared" si="475"/>
        <v>0</v>
      </c>
      <c r="S248" s="41"/>
      <c r="T248" s="41"/>
      <c r="U248" s="41"/>
      <c r="V248" s="41"/>
      <c r="W248" s="41"/>
      <c r="X248" s="41"/>
      <c r="Y248" s="41"/>
      <c r="Z248" s="41"/>
      <c r="AA248" s="128">
        <f t="shared" si="481"/>
        <v>0</v>
      </c>
      <c r="AB248" s="128">
        <f t="shared" si="476"/>
        <v>0</v>
      </c>
      <c r="AC248" s="175" t="e">
        <f t="shared" si="480"/>
        <v>#DIV/0!</v>
      </c>
    </row>
    <row r="249" spans="1:29" s="63" customFormat="1" ht="31.5" x14ac:dyDescent="0.2">
      <c r="A249" s="397"/>
      <c r="B249" s="81" t="s">
        <v>704</v>
      </c>
      <c r="C249" s="79" t="s">
        <v>705</v>
      </c>
      <c r="D249" s="329">
        <f>+D250</f>
        <v>33000000000</v>
      </c>
      <c r="E249" s="187">
        <f>SUM('ADICIONES  2021'!C249:I249)</f>
        <v>0</v>
      </c>
      <c r="F249" s="402">
        <f t="shared" ref="F249:J250" si="548">+F250</f>
        <v>1950062900</v>
      </c>
      <c r="G249" s="223">
        <f t="shared" si="548"/>
        <v>0</v>
      </c>
      <c r="H249" s="223">
        <f t="shared" si="548"/>
        <v>0</v>
      </c>
      <c r="I249" s="223">
        <f t="shared" si="548"/>
        <v>0</v>
      </c>
      <c r="J249" s="223">
        <f t="shared" si="548"/>
        <v>0</v>
      </c>
      <c r="K249" s="78">
        <f t="shared" si="469"/>
        <v>31049937100</v>
      </c>
      <c r="L249" s="223">
        <f t="shared" ref="L249:Q250" si="549">+L250</f>
        <v>0</v>
      </c>
      <c r="M249" s="223">
        <f t="shared" si="549"/>
        <v>0</v>
      </c>
      <c r="N249" s="223">
        <f t="shared" si="549"/>
        <v>0</v>
      </c>
      <c r="O249" s="223">
        <f t="shared" si="549"/>
        <v>0</v>
      </c>
      <c r="P249" s="223">
        <f t="shared" si="549"/>
        <v>0</v>
      </c>
      <c r="Q249" s="407">
        <f t="shared" si="549"/>
        <v>14592787518</v>
      </c>
      <c r="R249" s="78">
        <f t="shared" si="475"/>
        <v>14592787518</v>
      </c>
      <c r="S249" s="223">
        <f t="shared" ref="S249:Z250" si="550">+S250</f>
        <v>0</v>
      </c>
      <c r="T249" s="223">
        <f t="shared" si="550"/>
        <v>0</v>
      </c>
      <c r="U249" s="223">
        <f t="shared" si="550"/>
        <v>0</v>
      </c>
      <c r="V249" s="223">
        <f t="shared" si="550"/>
        <v>0</v>
      </c>
      <c r="W249" s="223">
        <f t="shared" si="550"/>
        <v>0</v>
      </c>
      <c r="X249" s="223">
        <f t="shared" si="550"/>
        <v>0</v>
      </c>
      <c r="Y249" s="223">
        <f t="shared" si="550"/>
        <v>0</v>
      </c>
      <c r="Z249" s="223">
        <f t="shared" si="550"/>
        <v>0</v>
      </c>
      <c r="AA249" s="78">
        <f t="shared" si="481"/>
        <v>0</v>
      </c>
      <c r="AB249" s="78">
        <f t="shared" si="476"/>
        <v>14592787518</v>
      </c>
      <c r="AC249" s="174">
        <f t="shared" si="480"/>
        <v>0.46997800578475246</v>
      </c>
    </row>
    <row r="250" spans="1:29" s="63" customFormat="1" ht="31.5" x14ac:dyDescent="0.2">
      <c r="A250" s="397"/>
      <c r="B250" s="81" t="s">
        <v>706</v>
      </c>
      <c r="C250" s="79" t="s">
        <v>702</v>
      </c>
      <c r="D250" s="329">
        <f>+D251</f>
        <v>33000000000</v>
      </c>
      <c r="E250" s="187">
        <f>SUM('ADICIONES  2021'!C250:I250)</f>
        <v>0</v>
      </c>
      <c r="F250" s="402">
        <f t="shared" si="548"/>
        <v>1950062900</v>
      </c>
      <c r="G250" s="223">
        <f t="shared" si="548"/>
        <v>0</v>
      </c>
      <c r="H250" s="223">
        <f t="shared" si="548"/>
        <v>0</v>
      </c>
      <c r="I250" s="223">
        <f t="shared" si="548"/>
        <v>0</v>
      </c>
      <c r="J250" s="223">
        <f t="shared" si="548"/>
        <v>0</v>
      </c>
      <c r="K250" s="78">
        <f t="shared" si="469"/>
        <v>31049937100</v>
      </c>
      <c r="L250" s="223">
        <f t="shared" si="549"/>
        <v>0</v>
      </c>
      <c r="M250" s="223">
        <f t="shared" si="549"/>
        <v>0</v>
      </c>
      <c r="N250" s="223">
        <f t="shared" si="549"/>
        <v>0</v>
      </c>
      <c r="O250" s="223">
        <f t="shared" si="549"/>
        <v>0</v>
      </c>
      <c r="P250" s="223">
        <f t="shared" si="549"/>
        <v>0</v>
      </c>
      <c r="Q250" s="407">
        <f t="shared" si="549"/>
        <v>14592787518</v>
      </c>
      <c r="R250" s="78">
        <f t="shared" si="475"/>
        <v>14592787518</v>
      </c>
      <c r="S250" s="223">
        <f t="shared" si="550"/>
        <v>0</v>
      </c>
      <c r="T250" s="223">
        <f t="shared" si="550"/>
        <v>0</v>
      </c>
      <c r="U250" s="223">
        <f t="shared" si="550"/>
        <v>0</v>
      </c>
      <c r="V250" s="223">
        <f t="shared" si="550"/>
        <v>0</v>
      </c>
      <c r="W250" s="223">
        <f t="shared" si="550"/>
        <v>0</v>
      </c>
      <c r="X250" s="223">
        <f t="shared" si="550"/>
        <v>0</v>
      </c>
      <c r="Y250" s="223">
        <f t="shared" si="550"/>
        <v>0</v>
      </c>
      <c r="Z250" s="223">
        <f t="shared" si="550"/>
        <v>0</v>
      </c>
      <c r="AA250" s="78">
        <f t="shared" si="481"/>
        <v>0</v>
      </c>
      <c r="AB250" s="78">
        <f t="shared" si="476"/>
        <v>14592787518</v>
      </c>
      <c r="AC250" s="174">
        <f t="shared" si="480"/>
        <v>0.46997800578475246</v>
      </c>
    </row>
    <row r="251" spans="1:29" ht="14.25" x14ac:dyDescent="0.2">
      <c r="A251" s="396">
        <v>1</v>
      </c>
      <c r="B251" s="76" t="s">
        <v>707</v>
      </c>
      <c r="C251" s="77" t="s">
        <v>103</v>
      </c>
      <c r="D251" s="330">
        <v>33000000000</v>
      </c>
      <c r="E251" s="188">
        <f>SUM('ADICIONES  2021'!C251:I251)</f>
        <v>0</v>
      </c>
      <c r="F251" s="128">
        <v>1950062900</v>
      </c>
      <c r="G251" s="128"/>
      <c r="H251" s="128"/>
      <c r="I251" s="128"/>
      <c r="J251" s="128"/>
      <c r="K251" s="128">
        <f t="shared" si="469"/>
        <v>31049937100</v>
      </c>
      <c r="L251" s="128"/>
      <c r="M251" s="128"/>
      <c r="N251" s="128"/>
      <c r="O251" s="128"/>
      <c r="P251" s="128"/>
      <c r="Q251" s="413">
        <v>14592787518</v>
      </c>
      <c r="R251" s="128">
        <f t="shared" si="475"/>
        <v>14592787518</v>
      </c>
      <c r="S251" s="128">
        <v>0</v>
      </c>
      <c r="T251" s="128"/>
      <c r="U251" s="128"/>
      <c r="V251" s="128"/>
      <c r="W251" s="128"/>
      <c r="X251" s="128"/>
      <c r="Y251" s="128"/>
      <c r="Z251" s="128"/>
      <c r="AA251" s="128">
        <f t="shared" si="481"/>
        <v>0</v>
      </c>
      <c r="AB251" s="128">
        <f t="shared" si="476"/>
        <v>14592787518</v>
      </c>
      <c r="AC251" s="175">
        <f t="shared" si="480"/>
        <v>0.46997800578475246</v>
      </c>
    </row>
    <row r="252" spans="1:29" s="63" customFormat="1" ht="15.75" x14ac:dyDescent="0.2">
      <c r="A252" s="397">
        <v>1</v>
      </c>
      <c r="B252" s="81" t="s">
        <v>708</v>
      </c>
      <c r="C252" s="79" t="s">
        <v>709</v>
      </c>
      <c r="D252" s="329">
        <f>+D253</f>
        <v>3771000000</v>
      </c>
      <c r="E252" s="187">
        <f>SUM('ADICIONES  2021'!C252:I252)</f>
        <v>16023764</v>
      </c>
      <c r="F252" s="223">
        <f t="shared" ref="F252:J252" si="551">+F253</f>
        <v>0</v>
      </c>
      <c r="G252" s="223">
        <f t="shared" si="551"/>
        <v>0</v>
      </c>
      <c r="H252" s="223">
        <f t="shared" si="551"/>
        <v>0</v>
      </c>
      <c r="I252" s="223">
        <f t="shared" si="551"/>
        <v>0</v>
      </c>
      <c r="J252" s="223">
        <f t="shared" si="551"/>
        <v>0</v>
      </c>
      <c r="K252" s="78">
        <f t="shared" si="469"/>
        <v>3787023764</v>
      </c>
      <c r="L252" s="223">
        <f t="shared" ref="L252:Q252" si="552">+L253</f>
        <v>434962185.77999991</v>
      </c>
      <c r="M252" s="223">
        <f t="shared" si="552"/>
        <v>597443201.72000015</v>
      </c>
      <c r="N252" s="223">
        <f t="shared" si="552"/>
        <v>384125907.50999999</v>
      </c>
      <c r="O252" s="223">
        <f t="shared" si="552"/>
        <v>373960205.21999997</v>
      </c>
      <c r="P252" s="223">
        <f t="shared" si="552"/>
        <v>367723316.88999999</v>
      </c>
      <c r="Q252" s="407">
        <f t="shared" si="552"/>
        <v>400645927.72999996</v>
      </c>
      <c r="R252" s="78">
        <f t="shared" si="475"/>
        <v>2558860744.8499999</v>
      </c>
      <c r="S252" s="223">
        <f t="shared" ref="S252:Z252" si="553">+S253</f>
        <v>402030484.00999999</v>
      </c>
      <c r="T252" s="223">
        <f t="shared" si="553"/>
        <v>0</v>
      </c>
      <c r="U252" s="223">
        <f t="shared" si="553"/>
        <v>0</v>
      </c>
      <c r="V252" s="223">
        <f t="shared" si="553"/>
        <v>0</v>
      </c>
      <c r="W252" s="223">
        <f t="shared" si="553"/>
        <v>0</v>
      </c>
      <c r="X252" s="223">
        <f t="shared" si="553"/>
        <v>0</v>
      </c>
      <c r="Y252" s="223">
        <f t="shared" si="553"/>
        <v>0</v>
      </c>
      <c r="Z252" s="223">
        <f t="shared" si="553"/>
        <v>0</v>
      </c>
      <c r="AA252" s="78">
        <f t="shared" si="481"/>
        <v>402030484.00999999</v>
      </c>
      <c r="AB252" s="78">
        <f t="shared" si="476"/>
        <v>2960891228.8599997</v>
      </c>
      <c r="AC252" s="174">
        <f t="shared" si="480"/>
        <v>0.78185176892911612</v>
      </c>
    </row>
    <row r="253" spans="1:29" s="63" customFormat="1" ht="15.75" x14ac:dyDescent="0.2">
      <c r="A253" s="397"/>
      <c r="B253" s="81" t="s">
        <v>710</v>
      </c>
      <c r="C253" s="79" t="s">
        <v>711</v>
      </c>
      <c r="D253" s="329">
        <f>+D254+D255+D256+D257+D258+D288+D289+D290+D291+D292+D293+D294+D296+D297+D298+D299+D300+D301+D302+D303+D304+D305+D306+D307+D308+D310+D311+D312+D313+D314+D315+D316+D317+D318+D319+D320+D321+D322+D323+D324+D325+D326+D295+D309+D332+D333+D327+D328</f>
        <v>3771000000</v>
      </c>
      <c r="E253" s="187">
        <f>SUM('ADICIONES  2021'!C253:I253)</f>
        <v>16023764</v>
      </c>
      <c r="F253" s="329">
        <f t="shared" ref="F253:J253" si="554">+F254+F255+F256+F257+F258+F288+F289+F290+F291+F292+F293+F294+F296+F297+F298+F299+F300+F301+F302+F303+F304+F305+F306+F307+F308+F310+F311+F312+F313+F314+F315+F316+F317+F318+F319+F320+F321+F322+F323+F324+F325+F326+F295+F309+F332+F333+F327+F328</f>
        <v>0</v>
      </c>
      <c r="G253" s="329">
        <f t="shared" si="554"/>
        <v>0</v>
      </c>
      <c r="H253" s="329">
        <f t="shared" si="554"/>
        <v>0</v>
      </c>
      <c r="I253" s="329">
        <f t="shared" si="554"/>
        <v>0</v>
      </c>
      <c r="J253" s="329">
        <f t="shared" si="554"/>
        <v>0</v>
      </c>
      <c r="K253" s="78">
        <f t="shared" si="469"/>
        <v>3787023764</v>
      </c>
      <c r="L253" s="329">
        <f t="shared" ref="L253:Q253" si="555">+L254+L255+L256+L257+L258+L288+L289+L290+L291+L292+L293+L294+L296+L297+L298+L299+L300+L301+L302+L303+L304+L305+L306+L307+L308+L310+L311+L312+L313+L314+L315+L316+L317+L318+L319+L320+L321+L322+L323+L324+L325+L326+L295+L309+L332+L333+L327+L328</f>
        <v>434962185.77999991</v>
      </c>
      <c r="M253" s="329">
        <f t="shared" si="555"/>
        <v>597443201.72000015</v>
      </c>
      <c r="N253" s="329">
        <f t="shared" si="555"/>
        <v>384125907.50999999</v>
      </c>
      <c r="O253" s="329">
        <f t="shared" si="555"/>
        <v>373960205.21999997</v>
      </c>
      <c r="P253" s="329">
        <f t="shared" si="555"/>
        <v>367723316.88999999</v>
      </c>
      <c r="Q253" s="416">
        <f t="shared" si="555"/>
        <v>400645927.72999996</v>
      </c>
      <c r="R253" s="78">
        <f t="shared" si="475"/>
        <v>2558860744.8499999</v>
      </c>
      <c r="S253" s="329">
        <f t="shared" ref="S253:Z253" si="556">+S254+S255+S256+S257+S258+S288+S289+S290+S291+S292+S293+S294+S296+S297+S298+S299+S300+S301+S302+S303+S304+S305+S306+S307+S308+S310+S311+S312+S313+S314+S315+S316+S317+S318+S319+S320+S321+S322+S323+S324+S325+S326+S295+S309+S332+S333+S327+S328</f>
        <v>402030484.00999999</v>
      </c>
      <c r="T253" s="329">
        <f t="shared" si="556"/>
        <v>0</v>
      </c>
      <c r="U253" s="329">
        <f t="shared" si="556"/>
        <v>0</v>
      </c>
      <c r="V253" s="329">
        <f t="shared" si="556"/>
        <v>0</v>
      </c>
      <c r="W253" s="329">
        <f t="shared" si="556"/>
        <v>0</v>
      </c>
      <c r="X253" s="329">
        <f t="shared" si="556"/>
        <v>0</v>
      </c>
      <c r="Y253" s="329">
        <f t="shared" si="556"/>
        <v>0</v>
      </c>
      <c r="Z253" s="329">
        <f t="shared" si="556"/>
        <v>0</v>
      </c>
      <c r="AA253" s="78">
        <f t="shared" si="481"/>
        <v>402030484.00999999</v>
      </c>
      <c r="AB253" s="78">
        <f t="shared" si="476"/>
        <v>2960891228.8599997</v>
      </c>
      <c r="AC253" s="174">
        <f t="shared" si="480"/>
        <v>0.78185176892911612</v>
      </c>
    </row>
    <row r="254" spans="1:29" ht="14.25" x14ac:dyDescent="0.2">
      <c r="A254" s="396">
        <v>1</v>
      </c>
      <c r="B254" s="76" t="s">
        <v>712</v>
      </c>
      <c r="C254" s="77" t="s">
        <v>86</v>
      </c>
      <c r="D254" s="334">
        <v>2100000000</v>
      </c>
      <c r="E254" s="188">
        <f>SUM('ADICIONES  2021'!C254:I254)</f>
        <v>0</v>
      </c>
      <c r="F254" s="128"/>
      <c r="G254" s="128"/>
      <c r="H254" s="128"/>
      <c r="I254" s="128"/>
      <c r="J254" s="128"/>
      <c r="K254" s="128">
        <f t="shared" si="469"/>
        <v>2100000000</v>
      </c>
      <c r="L254" s="128">
        <v>175120387.08000001</v>
      </c>
      <c r="M254" s="128">
        <v>388571902.63</v>
      </c>
      <c r="N254" s="128">
        <v>142431048.27000001</v>
      </c>
      <c r="O254" s="128">
        <v>156286912.09999999</v>
      </c>
      <c r="P254" s="128">
        <v>148813456.53999999</v>
      </c>
      <c r="Q254" s="413">
        <v>159961585.74000001</v>
      </c>
      <c r="R254" s="128">
        <f t="shared" si="475"/>
        <v>1171185292.3600001</v>
      </c>
      <c r="S254" s="128">
        <v>169760420.40000001</v>
      </c>
      <c r="T254" s="128"/>
      <c r="U254" s="128"/>
      <c r="V254" s="128"/>
      <c r="W254" s="128"/>
      <c r="X254" s="128"/>
      <c r="Y254" s="128"/>
      <c r="Z254" s="128"/>
      <c r="AA254" s="128">
        <f t="shared" si="481"/>
        <v>169760420.40000001</v>
      </c>
      <c r="AB254" s="128">
        <f t="shared" si="476"/>
        <v>1340945712.7600002</v>
      </c>
      <c r="AC254" s="175">
        <f t="shared" si="480"/>
        <v>0.63854557750476204</v>
      </c>
    </row>
    <row r="255" spans="1:29" ht="14.25" hidden="1" x14ac:dyDescent="0.2">
      <c r="A255" s="396">
        <v>1</v>
      </c>
      <c r="B255" s="76" t="s">
        <v>713</v>
      </c>
      <c r="C255" s="77" t="s">
        <v>326</v>
      </c>
      <c r="D255" s="330">
        <v>0</v>
      </c>
      <c r="E255" s="188">
        <f>SUM('ADICIONES  2021'!C255:I255)</f>
        <v>0</v>
      </c>
      <c r="F255" s="41"/>
      <c r="G255" s="41"/>
      <c r="H255" s="41"/>
      <c r="I255" s="41"/>
      <c r="J255" s="41"/>
      <c r="K255" s="128">
        <f t="shared" si="469"/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09">
        <v>0</v>
      </c>
      <c r="R255" s="128">
        <f t="shared" si="475"/>
        <v>0</v>
      </c>
      <c r="S255" s="41">
        <v>0</v>
      </c>
      <c r="T255" s="41"/>
      <c r="U255" s="41"/>
      <c r="V255" s="41"/>
      <c r="W255" s="41"/>
      <c r="X255" s="41"/>
      <c r="Y255" s="41"/>
      <c r="Z255" s="41"/>
      <c r="AA255" s="128">
        <f t="shared" si="481"/>
        <v>0</v>
      </c>
      <c r="AB255" s="128">
        <f t="shared" si="476"/>
        <v>0</v>
      </c>
      <c r="AC255" s="175" t="e">
        <f t="shared" si="480"/>
        <v>#DIV/0!</v>
      </c>
    </row>
    <row r="256" spans="1:29" ht="14.25" x14ac:dyDescent="0.2">
      <c r="A256" s="396">
        <v>1</v>
      </c>
      <c r="B256" s="76" t="s">
        <v>714</v>
      </c>
      <c r="C256" s="77" t="s">
        <v>236</v>
      </c>
      <c r="D256" s="330">
        <v>73000000</v>
      </c>
      <c r="E256" s="188">
        <f>SUM('ADICIONES  2021'!C256:I256)</f>
        <v>0</v>
      </c>
      <c r="F256" s="41"/>
      <c r="G256" s="41"/>
      <c r="H256" s="41"/>
      <c r="I256" s="41"/>
      <c r="J256" s="41"/>
      <c r="K256" s="128">
        <f t="shared" si="469"/>
        <v>73000000</v>
      </c>
      <c r="L256" s="41">
        <v>6987482</v>
      </c>
      <c r="M256" s="41">
        <v>5671345</v>
      </c>
      <c r="N256" s="41">
        <v>4816528</v>
      </c>
      <c r="O256" s="41">
        <v>7294834</v>
      </c>
      <c r="P256" s="41">
        <v>8719962</v>
      </c>
      <c r="Q256" s="409">
        <v>9197425</v>
      </c>
      <c r="R256" s="128">
        <f t="shared" si="475"/>
        <v>42687576</v>
      </c>
      <c r="S256" s="41">
        <v>9936876</v>
      </c>
      <c r="T256" s="41"/>
      <c r="U256" s="41"/>
      <c r="V256" s="41"/>
      <c r="W256" s="41"/>
      <c r="X256" s="41"/>
      <c r="Y256" s="41"/>
      <c r="Z256" s="41"/>
      <c r="AA256" s="128">
        <f t="shared" si="481"/>
        <v>9936876</v>
      </c>
      <c r="AB256" s="128">
        <f t="shared" si="476"/>
        <v>52624452</v>
      </c>
      <c r="AC256" s="175">
        <f t="shared" si="480"/>
        <v>0.720882904109589</v>
      </c>
    </row>
    <row r="257" spans="1:29" ht="14.25" x14ac:dyDescent="0.2">
      <c r="A257" s="396">
        <v>1</v>
      </c>
      <c r="B257" s="76" t="s">
        <v>715</v>
      </c>
      <c r="C257" s="77" t="s">
        <v>87</v>
      </c>
      <c r="D257" s="330">
        <v>105000000</v>
      </c>
      <c r="E257" s="188">
        <f>SUM('ADICIONES  2021'!C257:I257)</f>
        <v>0</v>
      </c>
      <c r="F257" s="41"/>
      <c r="G257" s="41"/>
      <c r="H257" s="41"/>
      <c r="I257" s="41"/>
      <c r="J257" s="41"/>
      <c r="K257" s="128">
        <f t="shared" si="469"/>
        <v>105000000</v>
      </c>
      <c r="L257" s="41">
        <v>23013718.350000001</v>
      </c>
      <c r="M257" s="41">
        <v>966086.54</v>
      </c>
      <c r="N257" s="41">
        <v>8438553.2899999991</v>
      </c>
      <c r="O257" s="41">
        <v>15110463.119999999</v>
      </c>
      <c r="P257" s="41">
        <v>9795690.7400000002</v>
      </c>
      <c r="Q257" s="409">
        <v>2578646.2000000002</v>
      </c>
      <c r="R257" s="128">
        <f t="shared" si="475"/>
        <v>59903158.240000002</v>
      </c>
      <c r="S257" s="41">
        <v>3705433.82</v>
      </c>
      <c r="T257" s="41"/>
      <c r="U257" s="41"/>
      <c r="V257" s="41"/>
      <c r="W257" s="41"/>
      <c r="X257" s="41"/>
      <c r="Y257" s="41"/>
      <c r="Z257" s="41"/>
      <c r="AA257" s="128">
        <f t="shared" si="481"/>
        <v>3705433.82</v>
      </c>
      <c r="AB257" s="128">
        <f t="shared" si="476"/>
        <v>63608592.060000002</v>
      </c>
      <c r="AC257" s="175">
        <f t="shared" si="480"/>
        <v>0.60579611485714291</v>
      </c>
    </row>
    <row r="258" spans="1:29" s="63" customFormat="1" ht="15.75" x14ac:dyDescent="0.2">
      <c r="A258" s="397">
        <v>1</v>
      </c>
      <c r="B258" s="81" t="s">
        <v>716</v>
      </c>
      <c r="C258" s="101" t="s">
        <v>717</v>
      </c>
      <c r="D258" s="329">
        <f>+D259+D264+D269+D273+D277+D283+D285</f>
        <v>1303000000</v>
      </c>
      <c r="E258" s="187">
        <f>SUM('ADICIONES  2021'!C258:I258)</f>
        <v>3756634</v>
      </c>
      <c r="F258" s="223">
        <f t="shared" ref="F258:J258" si="557">+F259+F264+F269+F273+F277+F283+F285</f>
        <v>0</v>
      </c>
      <c r="G258" s="223">
        <f t="shared" si="557"/>
        <v>0</v>
      </c>
      <c r="H258" s="223">
        <f t="shared" si="557"/>
        <v>0</v>
      </c>
      <c r="I258" s="223">
        <f t="shared" si="557"/>
        <v>0</v>
      </c>
      <c r="J258" s="223">
        <f t="shared" si="557"/>
        <v>0</v>
      </c>
      <c r="K258" s="78">
        <f t="shared" si="469"/>
        <v>1306756634</v>
      </c>
      <c r="L258" s="223">
        <f t="shared" ref="L258:Q258" si="558">+L259+L264+L269+L273+L277+L283+L285</f>
        <v>61525396.990000002</v>
      </c>
      <c r="M258" s="223">
        <f t="shared" si="558"/>
        <v>86693500.780000016</v>
      </c>
      <c r="N258" s="223">
        <f t="shared" si="558"/>
        <v>103585598.47</v>
      </c>
      <c r="O258" s="223">
        <f t="shared" si="558"/>
        <v>74271977.320000008</v>
      </c>
      <c r="P258" s="223">
        <f t="shared" si="558"/>
        <v>83217370.940000013</v>
      </c>
      <c r="Q258" s="407">
        <f t="shared" si="558"/>
        <v>102832314.13</v>
      </c>
      <c r="R258" s="78">
        <f t="shared" si="475"/>
        <v>512126158.63</v>
      </c>
      <c r="S258" s="223">
        <f t="shared" ref="S258:Z258" si="559">+S259+S264+S269+S273+S277+S283+S285</f>
        <v>79894510.569999993</v>
      </c>
      <c r="T258" s="223">
        <f t="shared" si="559"/>
        <v>0</v>
      </c>
      <c r="U258" s="223">
        <f t="shared" si="559"/>
        <v>0</v>
      </c>
      <c r="V258" s="223">
        <f t="shared" si="559"/>
        <v>0</v>
      </c>
      <c r="W258" s="223">
        <f t="shared" si="559"/>
        <v>0</v>
      </c>
      <c r="X258" s="223">
        <f t="shared" si="559"/>
        <v>0</v>
      </c>
      <c r="Y258" s="223">
        <f t="shared" si="559"/>
        <v>0</v>
      </c>
      <c r="Z258" s="223">
        <f t="shared" si="559"/>
        <v>0</v>
      </c>
      <c r="AA258" s="78">
        <f t="shared" si="481"/>
        <v>79894510.569999993</v>
      </c>
      <c r="AB258" s="78">
        <f t="shared" si="476"/>
        <v>592020669.20000005</v>
      </c>
      <c r="AC258" s="174">
        <f t="shared" si="480"/>
        <v>0.4530458493926422</v>
      </c>
    </row>
    <row r="259" spans="1:29" s="63" customFormat="1" ht="15.75" x14ac:dyDescent="0.2">
      <c r="A259" s="397">
        <v>1</v>
      </c>
      <c r="B259" s="81" t="s">
        <v>718</v>
      </c>
      <c r="C259" s="79" t="s">
        <v>719</v>
      </c>
      <c r="D259" s="332">
        <v>312000000</v>
      </c>
      <c r="E259" s="187">
        <f>SUM('ADICIONES  2021'!C259:I259)</f>
        <v>0</v>
      </c>
      <c r="F259" s="146"/>
      <c r="G259" s="146"/>
      <c r="H259" s="146"/>
      <c r="I259" s="146"/>
      <c r="J259" s="146"/>
      <c r="K259" s="78">
        <f t="shared" si="469"/>
        <v>312000000</v>
      </c>
      <c r="L259" s="146">
        <f>SUM(L260:L263)</f>
        <v>10264322.32</v>
      </c>
      <c r="M259" s="146">
        <f>SUM(M260:M263)</f>
        <v>35642555.920000002</v>
      </c>
      <c r="N259" s="146">
        <f t="shared" ref="N259:Q259" si="560">SUM(N260:N263)</f>
        <v>28360078.48</v>
      </c>
      <c r="O259" s="146">
        <f>SUM(O260:O263)</f>
        <v>6755244.5200000005</v>
      </c>
      <c r="P259" s="146">
        <f t="shared" si="560"/>
        <v>7448959.5</v>
      </c>
      <c r="Q259" s="411">
        <f t="shared" si="560"/>
        <v>30219662</v>
      </c>
      <c r="R259" s="78">
        <f t="shared" si="475"/>
        <v>118690822.73999999</v>
      </c>
      <c r="S259" s="146">
        <f t="shared" ref="S259:Z259" si="561">SUM(S260:S263)</f>
        <v>7913565.9900000012</v>
      </c>
      <c r="T259" s="146">
        <f t="shared" si="561"/>
        <v>0</v>
      </c>
      <c r="U259" s="146">
        <f t="shared" si="561"/>
        <v>0</v>
      </c>
      <c r="V259" s="146">
        <f t="shared" si="561"/>
        <v>0</v>
      </c>
      <c r="W259" s="146">
        <f t="shared" si="561"/>
        <v>0</v>
      </c>
      <c r="X259" s="146">
        <f t="shared" si="561"/>
        <v>0</v>
      </c>
      <c r="Y259" s="146">
        <f t="shared" si="561"/>
        <v>0</v>
      </c>
      <c r="Z259" s="146">
        <f t="shared" si="561"/>
        <v>0</v>
      </c>
      <c r="AA259" s="78">
        <f t="shared" si="481"/>
        <v>7913565.9900000012</v>
      </c>
      <c r="AB259" s="78">
        <f t="shared" si="476"/>
        <v>126604388.72999999</v>
      </c>
      <c r="AC259" s="174">
        <f t="shared" si="480"/>
        <v>0.40578329721153844</v>
      </c>
    </row>
    <row r="260" spans="1:29" ht="14.25" x14ac:dyDescent="0.2">
      <c r="B260" s="76" t="s">
        <v>720</v>
      </c>
      <c r="C260" s="77" t="s">
        <v>88</v>
      </c>
      <c r="D260" s="331">
        <f>+D259*60%</f>
        <v>187200000</v>
      </c>
      <c r="E260" s="188">
        <f>SUM('ADICIONES  2021'!C260:I260)</f>
        <v>0</v>
      </c>
      <c r="F260" s="218">
        <f t="shared" ref="F260:J260" si="562">+F259*60%</f>
        <v>0</v>
      </c>
      <c r="G260" s="218">
        <f t="shared" si="562"/>
        <v>0</v>
      </c>
      <c r="H260" s="218">
        <f t="shared" si="562"/>
        <v>0</v>
      </c>
      <c r="I260" s="218">
        <f t="shared" si="562"/>
        <v>0</v>
      </c>
      <c r="J260" s="218">
        <f t="shared" si="562"/>
        <v>0</v>
      </c>
      <c r="K260" s="128">
        <f t="shared" si="469"/>
        <v>187200000</v>
      </c>
      <c r="L260" s="218">
        <v>2077856.31</v>
      </c>
      <c r="M260" s="218">
        <v>1491042</v>
      </c>
      <c r="N260" s="218">
        <v>1047245.79</v>
      </c>
      <c r="O260" s="218">
        <v>582478.87</v>
      </c>
      <c r="P260" s="218">
        <v>709083.48</v>
      </c>
      <c r="Q260" s="410">
        <v>382749.47</v>
      </c>
      <c r="R260" s="128">
        <f t="shared" si="475"/>
        <v>6290455.919999999</v>
      </c>
      <c r="S260" s="218">
        <v>327441.65999999997</v>
      </c>
      <c r="T260" s="218"/>
      <c r="U260" s="218"/>
      <c r="V260" s="218"/>
      <c r="W260" s="218"/>
      <c r="X260" s="218"/>
      <c r="Y260" s="218"/>
      <c r="Z260" s="218"/>
      <c r="AA260" s="128">
        <f t="shared" si="481"/>
        <v>327441.65999999997</v>
      </c>
      <c r="AB260" s="128">
        <f t="shared" si="476"/>
        <v>6617897.5799999991</v>
      </c>
      <c r="AC260" s="175">
        <f t="shared" si="480"/>
        <v>3.5352016987179484E-2</v>
      </c>
    </row>
    <row r="261" spans="1:29" ht="14.25" x14ac:dyDescent="0.2">
      <c r="B261" s="76" t="s">
        <v>721</v>
      </c>
      <c r="C261" s="77" t="s">
        <v>89</v>
      </c>
      <c r="D261" s="331">
        <f>+D259*20%</f>
        <v>62400000</v>
      </c>
      <c r="E261" s="188">
        <f>SUM('ADICIONES  2021'!C261:I261)</f>
        <v>0</v>
      </c>
      <c r="F261" s="218">
        <f t="shared" ref="F261:J261" si="563">+F259*20%</f>
        <v>0</v>
      </c>
      <c r="G261" s="218">
        <f t="shared" si="563"/>
        <v>0</v>
      </c>
      <c r="H261" s="218">
        <f t="shared" si="563"/>
        <v>0</v>
      </c>
      <c r="I261" s="218">
        <f t="shared" si="563"/>
        <v>0</v>
      </c>
      <c r="J261" s="218">
        <f t="shared" si="563"/>
        <v>0</v>
      </c>
      <c r="K261" s="128">
        <f t="shared" si="469"/>
        <v>62400000</v>
      </c>
      <c r="L261" s="218">
        <v>1217836.5900000001</v>
      </c>
      <c r="M261" s="218">
        <v>1210966.52</v>
      </c>
      <c r="N261" s="218">
        <v>1283626.69</v>
      </c>
      <c r="O261" s="218">
        <v>870153.76</v>
      </c>
      <c r="P261" s="218">
        <v>1055190.0900000001</v>
      </c>
      <c r="Q261" s="410">
        <v>1200872.24</v>
      </c>
      <c r="R261" s="128">
        <f t="shared" si="475"/>
        <v>6838645.8900000006</v>
      </c>
      <c r="S261" s="218">
        <v>1259980.03</v>
      </c>
      <c r="T261" s="218"/>
      <c r="U261" s="218"/>
      <c r="V261" s="218"/>
      <c r="W261" s="218"/>
      <c r="X261" s="218"/>
      <c r="Y261" s="218"/>
      <c r="Z261" s="218"/>
      <c r="AA261" s="128">
        <f t="shared" si="481"/>
        <v>1259980.03</v>
      </c>
      <c r="AB261" s="128">
        <f t="shared" si="476"/>
        <v>8098625.9200000009</v>
      </c>
      <c r="AC261" s="175">
        <f t="shared" si="480"/>
        <v>0.1297856717948718</v>
      </c>
    </row>
    <row r="262" spans="1:29" ht="28.5" x14ac:dyDescent="0.2">
      <c r="B262" s="76" t="s">
        <v>722</v>
      </c>
      <c r="C262" s="77" t="s">
        <v>90</v>
      </c>
      <c r="D262" s="331">
        <f>+D259*10%</f>
        <v>31200000</v>
      </c>
      <c r="E262" s="188">
        <f>SUM('ADICIONES  2021'!C262:I262)</f>
        <v>0</v>
      </c>
      <c r="F262" s="218">
        <f t="shared" ref="F262:J262" si="564">+F259*10%</f>
        <v>0</v>
      </c>
      <c r="G262" s="218">
        <f t="shared" si="564"/>
        <v>0</v>
      </c>
      <c r="H262" s="218">
        <f t="shared" si="564"/>
        <v>0</v>
      </c>
      <c r="I262" s="218">
        <f t="shared" si="564"/>
        <v>0</v>
      </c>
      <c r="J262" s="218">
        <f t="shared" si="564"/>
        <v>0</v>
      </c>
      <c r="K262" s="128">
        <f t="shared" si="469"/>
        <v>31200000</v>
      </c>
      <c r="L262" s="218">
        <v>5704232.04</v>
      </c>
      <c r="M262" s="218">
        <v>32122807.399999999</v>
      </c>
      <c r="N262" s="218">
        <v>25190800.039999999</v>
      </c>
      <c r="O262" s="218">
        <v>4794907.07</v>
      </c>
      <c r="P262" s="218">
        <v>5166266.3499999996</v>
      </c>
      <c r="Q262" s="410">
        <v>27875825.710000001</v>
      </c>
      <c r="R262" s="128">
        <f t="shared" si="475"/>
        <v>100854838.60999998</v>
      </c>
      <c r="S262" s="218">
        <v>5690848.6900000004</v>
      </c>
      <c r="T262" s="218"/>
      <c r="U262" s="218"/>
      <c r="V262" s="218"/>
      <c r="W262" s="218"/>
      <c r="X262" s="218"/>
      <c r="Y262" s="218"/>
      <c r="Z262" s="218"/>
      <c r="AA262" s="128">
        <f t="shared" si="481"/>
        <v>5690848.6900000004</v>
      </c>
      <c r="AB262" s="128">
        <f t="shared" si="476"/>
        <v>106545687.29999998</v>
      </c>
      <c r="AC262" s="175">
        <f t="shared" si="480"/>
        <v>3.4149258749999993</v>
      </c>
    </row>
    <row r="263" spans="1:29" ht="28.5" x14ac:dyDescent="0.2">
      <c r="B263" s="157" t="s">
        <v>723</v>
      </c>
      <c r="C263" s="154" t="s">
        <v>237</v>
      </c>
      <c r="D263" s="331">
        <f>+D259*10%</f>
        <v>31200000</v>
      </c>
      <c r="E263" s="188">
        <f>SUM('ADICIONES  2021'!C263:I263)</f>
        <v>0</v>
      </c>
      <c r="F263" s="218">
        <f t="shared" ref="F263:J263" si="565">+F259*10%</f>
        <v>0</v>
      </c>
      <c r="G263" s="218">
        <f t="shared" si="565"/>
        <v>0</v>
      </c>
      <c r="H263" s="218">
        <f t="shared" si="565"/>
        <v>0</v>
      </c>
      <c r="I263" s="218">
        <f t="shared" si="565"/>
        <v>0</v>
      </c>
      <c r="J263" s="218">
        <f t="shared" si="565"/>
        <v>0</v>
      </c>
      <c r="K263" s="128">
        <f t="shared" si="469"/>
        <v>31200000</v>
      </c>
      <c r="L263" s="218">
        <v>1264397.3799999999</v>
      </c>
      <c r="M263" s="218">
        <v>817740</v>
      </c>
      <c r="N263" s="218">
        <v>838405.96</v>
      </c>
      <c r="O263" s="218">
        <v>507704.82</v>
      </c>
      <c r="P263" s="218">
        <v>518419.58</v>
      </c>
      <c r="Q263" s="410">
        <v>760214.58</v>
      </c>
      <c r="R263" s="128">
        <f t="shared" si="475"/>
        <v>4706882.3199999994</v>
      </c>
      <c r="S263" s="218">
        <v>635295.61</v>
      </c>
      <c r="T263" s="218"/>
      <c r="U263" s="218"/>
      <c r="V263" s="218"/>
      <c r="W263" s="218"/>
      <c r="X263" s="218"/>
      <c r="Y263" s="218"/>
      <c r="Z263" s="218"/>
      <c r="AA263" s="128">
        <f t="shared" si="481"/>
        <v>635295.61</v>
      </c>
      <c r="AB263" s="128">
        <f t="shared" si="476"/>
        <v>5342177.93</v>
      </c>
      <c r="AC263" s="175">
        <f t="shared" si="480"/>
        <v>0.17122365160256409</v>
      </c>
    </row>
    <row r="264" spans="1:29" s="63" customFormat="1" ht="15.75" x14ac:dyDescent="0.2">
      <c r="A264" s="397">
        <v>1</v>
      </c>
      <c r="B264" s="156" t="s">
        <v>724</v>
      </c>
      <c r="C264" s="101" t="s">
        <v>725</v>
      </c>
      <c r="D264" s="333">
        <v>390000000</v>
      </c>
      <c r="E264" s="187">
        <f>SUM('ADICIONES  2021'!C264:I264)</f>
        <v>0</v>
      </c>
      <c r="F264" s="78"/>
      <c r="G264" s="78"/>
      <c r="H264" s="78"/>
      <c r="I264" s="78"/>
      <c r="J264" s="78"/>
      <c r="K264" s="78">
        <f t="shared" si="469"/>
        <v>390000000</v>
      </c>
      <c r="L264" s="78">
        <v>19478318.98</v>
      </c>
      <c r="M264" s="78">
        <v>15660420.060000001</v>
      </c>
      <c r="N264" s="78">
        <v>19573378.280000001</v>
      </c>
      <c r="O264" s="78">
        <v>21366406.260000002</v>
      </c>
      <c r="P264" s="78">
        <v>23931895.629999999</v>
      </c>
      <c r="Q264" s="408">
        <v>24797073.350000001</v>
      </c>
      <c r="R264" s="78">
        <f t="shared" si="475"/>
        <v>124807492.56</v>
      </c>
      <c r="S264" s="78">
        <v>28057922.300000001</v>
      </c>
      <c r="T264" s="78"/>
      <c r="U264" s="78"/>
      <c r="V264" s="78"/>
      <c r="W264" s="78"/>
      <c r="X264" s="78"/>
      <c r="Y264" s="78"/>
      <c r="Z264" s="78"/>
      <c r="AA264" s="78">
        <f t="shared" si="481"/>
        <v>28057922.300000001</v>
      </c>
      <c r="AB264" s="78">
        <f t="shared" si="476"/>
        <v>152865414.86000001</v>
      </c>
      <c r="AC264" s="174">
        <f t="shared" si="480"/>
        <v>0.39196260220512824</v>
      </c>
    </row>
    <row r="265" spans="1:29" ht="28.5" x14ac:dyDescent="0.2">
      <c r="B265" s="157" t="s">
        <v>726</v>
      </c>
      <c r="C265" s="154" t="s">
        <v>91</v>
      </c>
      <c r="D265" s="331">
        <f>+D264*40%</f>
        <v>156000000</v>
      </c>
      <c r="E265" s="188">
        <f>SUM('ADICIONES  2021'!C265:I265)</f>
        <v>0</v>
      </c>
      <c r="F265" s="218">
        <f t="shared" ref="F265:J265" si="566">+F264*40%</f>
        <v>0</v>
      </c>
      <c r="G265" s="218">
        <f t="shared" si="566"/>
        <v>0</v>
      </c>
      <c r="H265" s="218">
        <f t="shared" si="566"/>
        <v>0</v>
      </c>
      <c r="I265" s="218">
        <f t="shared" si="566"/>
        <v>0</v>
      </c>
      <c r="J265" s="218">
        <f t="shared" si="566"/>
        <v>0</v>
      </c>
      <c r="K265" s="128">
        <f t="shared" si="469"/>
        <v>156000000</v>
      </c>
      <c r="L265" s="218">
        <f t="shared" ref="L265:Q265" si="567">+L264*40%</f>
        <v>7791327.5920000002</v>
      </c>
      <c r="M265" s="218">
        <f t="shared" si="567"/>
        <v>6264168.0240000002</v>
      </c>
      <c r="N265" s="218">
        <f t="shared" si="567"/>
        <v>7829351.3120000008</v>
      </c>
      <c r="O265" s="218">
        <f t="shared" si="567"/>
        <v>8546562.5040000007</v>
      </c>
      <c r="P265" s="218">
        <f t="shared" si="567"/>
        <v>9572758.2520000003</v>
      </c>
      <c r="Q265" s="410">
        <f t="shared" si="567"/>
        <v>9918829.3400000017</v>
      </c>
      <c r="R265" s="128">
        <f t="shared" si="475"/>
        <v>49922997.024000004</v>
      </c>
      <c r="S265" s="218">
        <f t="shared" ref="S265:Z265" si="568">+S264*40%</f>
        <v>11223168.920000002</v>
      </c>
      <c r="T265" s="218">
        <f t="shared" si="568"/>
        <v>0</v>
      </c>
      <c r="U265" s="218">
        <f t="shared" si="568"/>
        <v>0</v>
      </c>
      <c r="V265" s="218">
        <f t="shared" si="568"/>
        <v>0</v>
      </c>
      <c r="W265" s="218">
        <f t="shared" si="568"/>
        <v>0</v>
      </c>
      <c r="X265" s="218">
        <f t="shared" si="568"/>
        <v>0</v>
      </c>
      <c r="Y265" s="218">
        <f t="shared" si="568"/>
        <v>0</v>
      </c>
      <c r="Z265" s="218">
        <f t="shared" si="568"/>
        <v>0</v>
      </c>
      <c r="AA265" s="128">
        <f t="shared" si="481"/>
        <v>11223168.920000002</v>
      </c>
      <c r="AB265" s="128">
        <f t="shared" si="476"/>
        <v>61146165.944000006</v>
      </c>
      <c r="AC265" s="175">
        <f t="shared" si="480"/>
        <v>0.39196260220512824</v>
      </c>
    </row>
    <row r="266" spans="1:29" ht="28.5" x14ac:dyDescent="0.2">
      <c r="B266" s="157" t="s">
        <v>727</v>
      </c>
      <c r="C266" s="154" t="s">
        <v>92</v>
      </c>
      <c r="D266" s="331">
        <f>+D264*20%</f>
        <v>78000000</v>
      </c>
      <c r="E266" s="188">
        <f>SUM('ADICIONES  2021'!C266:I266)</f>
        <v>0</v>
      </c>
      <c r="F266" s="218">
        <f t="shared" ref="F266:J266" si="569">+F264*20%</f>
        <v>0</v>
      </c>
      <c r="G266" s="218">
        <f t="shared" si="569"/>
        <v>0</v>
      </c>
      <c r="H266" s="218">
        <f t="shared" si="569"/>
        <v>0</v>
      </c>
      <c r="I266" s="218">
        <f t="shared" si="569"/>
        <v>0</v>
      </c>
      <c r="J266" s="218">
        <f t="shared" si="569"/>
        <v>0</v>
      </c>
      <c r="K266" s="128">
        <f t="shared" si="469"/>
        <v>78000000</v>
      </c>
      <c r="L266" s="218">
        <f t="shared" ref="L266:Q266" si="570">+L264*20%</f>
        <v>3895663.7960000001</v>
      </c>
      <c r="M266" s="218">
        <f t="shared" si="570"/>
        <v>3132084.0120000001</v>
      </c>
      <c r="N266" s="218">
        <f t="shared" si="570"/>
        <v>3914675.6560000004</v>
      </c>
      <c r="O266" s="218">
        <f t="shared" si="570"/>
        <v>4273281.2520000003</v>
      </c>
      <c r="P266" s="218">
        <f t="shared" si="570"/>
        <v>4786379.1260000002</v>
      </c>
      <c r="Q266" s="410">
        <f t="shared" si="570"/>
        <v>4959414.6700000009</v>
      </c>
      <c r="R266" s="128">
        <f t="shared" si="475"/>
        <v>24961498.512000002</v>
      </c>
      <c r="S266" s="218">
        <f t="shared" ref="S266:Z266" si="571">+S264*20%</f>
        <v>5611584.4600000009</v>
      </c>
      <c r="T266" s="218">
        <f t="shared" si="571"/>
        <v>0</v>
      </c>
      <c r="U266" s="218">
        <f t="shared" si="571"/>
        <v>0</v>
      </c>
      <c r="V266" s="218">
        <f t="shared" si="571"/>
        <v>0</v>
      </c>
      <c r="W266" s="218">
        <f t="shared" si="571"/>
        <v>0</v>
      </c>
      <c r="X266" s="218">
        <f t="shared" si="571"/>
        <v>0</v>
      </c>
      <c r="Y266" s="218">
        <f t="shared" si="571"/>
        <v>0</v>
      </c>
      <c r="Z266" s="218">
        <f t="shared" si="571"/>
        <v>0</v>
      </c>
      <c r="AA266" s="128">
        <f t="shared" si="481"/>
        <v>5611584.4600000009</v>
      </c>
      <c r="AB266" s="128">
        <f t="shared" si="476"/>
        <v>30573082.972000003</v>
      </c>
      <c r="AC266" s="175">
        <f t="shared" si="480"/>
        <v>0.39196260220512824</v>
      </c>
    </row>
    <row r="267" spans="1:29" ht="28.5" x14ac:dyDescent="0.2">
      <c r="B267" s="157" t="s">
        <v>728</v>
      </c>
      <c r="C267" s="154" t="s">
        <v>93</v>
      </c>
      <c r="D267" s="331">
        <f>+D264*20%</f>
        <v>78000000</v>
      </c>
      <c r="E267" s="188">
        <f>SUM('ADICIONES  2021'!C267:I267)</f>
        <v>0</v>
      </c>
      <c r="F267" s="218">
        <f t="shared" ref="F267:J267" si="572">+F264*20%</f>
        <v>0</v>
      </c>
      <c r="G267" s="218">
        <f t="shared" si="572"/>
        <v>0</v>
      </c>
      <c r="H267" s="218">
        <f t="shared" si="572"/>
        <v>0</v>
      </c>
      <c r="I267" s="218">
        <f t="shared" si="572"/>
        <v>0</v>
      </c>
      <c r="J267" s="218">
        <f t="shared" si="572"/>
        <v>0</v>
      </c>
      <c r="K267" s="128">
        <f t="shared" si="469"/>
        <v>78000000</v>
      </c>
      <c r="L267" s="218">
        <f t="shared" ref="L267:Q267" si="573">+L264*20%</f>
        <v>3895663.7960000001</v>
      </c>
      <c r="M267" s="218">
        <f t="shared" si="573"/>
        <v>3132084.0120000001</v>
      </c>
      <c r="N267" s="218">
        <f t="shared" si="573"/>
        <v>3914675.6560000004</v>
      </c>
      <c r="O267" s="218">
        <f t="shared" si="573"/>
        <v>4273281.2520000003</v>
      </c>
      <c r="P267" s="218">
        <f t="shared" si="573"/>
        <v>4786379.1260000002</v>
      </c>
      <c r="Q267" s="410">
        <f t="shared" si="573"/>
        <v>4959414.6700000009</v>
      </c>
      <c r="R267" s="128">
        <f t="shared" si="475"/>
        <v>24961498.512000002</v>
      </c>
      <c r="S267" s="218">
        <f t="shared" ref="S267:Z267" si="574">+S264*20%</f>
        <v>5611584.4600000009</v>
      </c>
      <c r="T267" s="218">
        <f t="shared" si="574"/>
        <v>0</v>
      </c>
      <c r="U267" s="218">
        <f t="shared" si="574"/>
        <v>0</v>
      </c>
      <c r="V267" s="218">
        <f t="shared" si="574"/>
        <v>0</v>
      </c>
      <c r="W267" s="218">
        <f t="shared" si="574"/>
        <v>0</v>
      </c>
      <c r="X267" s="218">
        <f t="shared" si="574"/>
        <v>0</v>
      </c>
      <c r="Y267" s="218">
        <f t="shared" si="574"/>
        <v>0</v>
      </c>
      <c r="Z267" s="218">
        <f t="shared" si="574"/>
        <v>0</v>
      </c>
      <c r="AA267" s="128">
        <f t="shared" si="481"/>
        <v>5611584.4600000009</v>
      </c>
      <c r="AB267" s="128">
        <f t="shared" si="476"/>
        <v>30573082.972000003</v>
      </c>
      <c r="AC267" s="175">
        <f t="shared" si="480"/>
        <v>0.39196260220512824</v>
      </c>
    </row>
    <row r="268" spans="1:29" ht="14.25" x14ac:dyDescent="0.2">
      <c r="B268" s="157" t="s">
        <v>729</v>
      </c>
      <c r="C268" s="154" t="s">
        <v>94</v>
      </c>
      <c r="D268" s="331">
        <f>+D264*20%</f>
        <v>78000000</v>
      </c>
      <c r="E268" s="188">
        <f>SUM('ADICIONES  2021'!C268:I268)</f>
        <v>0</v>
      </c>
      <c r="F268" s="218">
        <f t="shared" ref="F268:J268" si="575">+F264*20%</f>
        <v>0</v>
      </c>
      <c r="G268" s="218">
        <f t="shared" si="575"/>
        <v>0</v>
      </c>
      <c r="H268" s="218">
        <f t="shared" si="575"/>
        <v>0</v>
      </c>
      <c r="I268" s="218">
        <f t="shared" si="575"/>
        <v>0</v>
      </c>
      <c r="J268" s="218">
        <f t="shared" si="575"/>
        <v>0</v>
      </c>
      <c r="K268" s="128">
        <f t="shared" si="469"/>
        <v>78000000</v>
      </c>
      <c r="L268" s="218">
        <f t="shared" ref="L268:Q268" si="576">+L264*20%</f>
        <v>3895663.7960000001</v>
      </c>
      <c r="M268" s="218">
        <f t="shared" si="576"/>
        <v>3132084.0120000001</v>
      </c>
      <c r="N268" s="218">
        <f t="shared" si="576"/>
        <v>3914675.6560000004</v>
      </c>
      <c r="O268" s="218">
        <f t="shared" si="576"/>
        <v>4273281.2520000003</v>
      </c>
      <c r="P268" s="218">
        <f t="shared" si="576"/>
        <v>4786379.1260000002</v>
      </c>
      <c r="Q268" s="410">
        <f t="shared" si="576"/>
        <v>4959414.6700000009</v>
      </c>
      <c r="R268" s="128">
        <f t="shared" si="475"/>
        <v>24961498.512000002</v>
      </c>
      <c r="S268" s="218">
        <f t="shared" ref="S268:Z268" si="577">+S264*20%</f>
        <v>5611584.4600000009</v>
      </c>
      <c r="T268" s="218">
        <f t="shared" si="577"/>
        <v>0</v>
      </c>
      <c r="U268" s="218">
        <f t="shared" si="577"/>
        <v>0</v>
      </c>
      <c r="V268" s="218">
        <f t="shared" si="577"/>
        <v>0</v>
      </c>
      <c r="W268" s="218">
        <f t="shared" si="577"/>
        <v>0</v>
      </c>
      <c r="X268" s="218">
        <f t="shared" si="577"/>
        <v>0</v>
      </c>
      <c r="Y268" s="218">
        <f t="shared" si="577"/>
        <v>0</v>
      </c>
      <c r="Z268" s="218">
        <f t="shared" si="577"/>
        <v>0</v>
      </c>
      <c r="AA268" s="128">
        <f t="shared" si="481"/>
        <v>5611584.4600000009</v>
      </c>
      <c r="AB268" s="128">
        <f t="shared" si="476"/>
        <v>30573082.972000003</v>
      </c>
      <c r="AC268" s="175">
        <f t="shared" si="480"/>
        <v>0.39196260220512824</v>
      </c>
    </row>
    <row r="269" spans="1:29" s="63" customFormat="1" ht="15.75" x14ac:dyDescent="0.2">
      <c r="A269" s="397">
        <v>1</v>
      </c>
      <c r="B269" s="156" t="s">
        <v>730</v>
      </c>
      <c r="C269" s="101" t="s">
        <v>731</v>
      </c>
      <c r="D269" s="332">
        <v>198000000</v>
      </c>
      <c r="E269" s="187">
        <f>SUM('ADICIONES  2021'!C269:I269)</f>
        <v>3756634</v>
      </c>
      <c r="F269" s="146"/>
      <c r="G269" s="146"/>
      <c r="H269" s="146"/>
      <c r="I269" s="146"/>
      <c r="J269" s="146"/>
      <c r="K269" s="78">
        <f t="shared" si="469"/>
        <v>201756634</v>
      </c>
      <c r="L269" s="146">
        <v>18949278.350000001</v>
      </c>
      <c r="M269" s="146">
        <v>19433337.82</v>
      </c>
      <c r="N269" s="146">
        <v>26599366.190000001</v>
      </c>
      <c r="O269" s="146">
        <v>26721655.670000002</v>
      </c>
      <c r="P269" s="146">
        <v>29159986.800000001</v>
      </c>
      <c r="Q269" s="411">
        <v>30065097.59</v>
      </c>
      <c r="R269" s="78">
        <f t="shared" si="475"/>
        <v>150928722.41999999</v>
      </c>
      <c r="S269" s="146">
        <v>30322783.309999999</v>
      </c>
      <c r="T269" s="146"/>
      <c r="U269" s="146"/>
      <c r="V269" s="146"/>
      <c r="W269" s="146"/>
      <c r="X269" s="146"/>
      <c r="Y269" s="146"/>
      <c r="Z269" s="146"/>
      <c r="AA269" s="78">
        <f t="shared" si="481"/>
        <v>30322783.309999999</v>
      </c>
      <c r="AB269" s="78">
        <f t="shared" si="476"/>
        <v>181251505.72999999</v>
      </c>
      <c r="AC269" s="174">
        <f t="shared" si="480"/>
        <v>0.89836701840495614</v>
      </c>
    </row>
    <row r="270" spans="1:29" ht="14.25" x14ac:dyDescent="0.2">
      <c r="B270" s="157" t="s">
        <v>732</v>
      </c>
      <c r="C270" s="154" t="s">
        <v>95</v>
      </c>
      <c r="D270" s="331">
        <f>+D269*80%</f>
        <v>158400000</v>
      </c>
      <c r="E270" s="188">
        <f>SUM('ADICIONES  2021'!C270:I270)</f>
        <v>0</v>
      </c>
      <c r="F270" s="218">
        <f t="shared" ref="F270:J270" si="578">+F269*80%</f>
        <v>0</v>
      </c>
      <c r="G270" s="218">
        <f t="shared" si="578"/>
        <v>0</v>
      </c>
      <c r="H270" s="218">
        <f t="shared" si="578"/>
        <v>0</v>
      </c>
      <c r="I270" s="218">
        <f t="shared" si="578"/>
        <v>0</v>
      </c>
      <c r="J270" s="218">
        <f t="shared" si="578"/>
        <v>0</v>
      </c>
      <c r="K270" s="128">
        <f t="shared" ref="K270:K343" si="579">+D270+E270-F270+G270-H270</f>
        <v>158400000</v>
      </c>
      <c r="L270" s="218">
        <f t="shared" ref="L270:Q270" si="580">+L269*80%</f>
        <v>15159422.680000002</v>
      </c>
      <c r="M270" s="218">
        <f t="shared" si="580"/>
        <v>15546670.256000001</v>
      </c>
      <c r="N270" s="218">
        <f t="shared" si="580"/>
        <v>21279492.952000003</v>
      </c>
      <c r="O270" s="218">
        <f t="shared" si="580"/>
        <v>21377324.536000002</v>
      </c>
      <c r="P270" s="218">
        <f t="shared" si="580"/>
        <v>23327989.440000001</v>
      </c>
      <c r="Q270" s="410">
        <f t="shared" si="580"/>
        <v>24052078.072000001</v>
      </c>
      <c r="R270" s="128">
        <f t="shared" si="475"/>
        <v>120742977.936</v>
      </c>
      <c r="S270" s="218">
        <f t="shared" ref="S270:Z270" si="581">+S269*80%</f>
        <v>24258226.648000002</v>
      </c>
      <c r="T270" s="218">
        <f t="shared" si="581"/>
        <v>0</v>
      </c>
      <c r="U270" s="218">
        <f t="shared" si="581"/>
        <v>0</v>
      </c>
      <c r="V270" s="218">
        <f t="shared" si="581"/>
        <v>0</v>
      </c>
      <c r="W270" s="218">
        <f t="shared" si="581"/>
        <v>0</v>
      </c>
      <c r="X270" s="218">
        <f t="shared" si="581"/>
        <v>0</v>
      </c>
      <c r="Y270" s="218">
        <f t="shared" si="581"/>
        <v>0</v>
      </c>
      <c r="Z270" s="218">
        <f t="shared" si="581"/>
        <v>0</v>
      </c>
      <c r="AA270" s="128">
        <f t="shared" si="481"/>
        <v>24258226.648000002</v>
      </c>
      <c r="AB270" s="128">
        <f t="shared" si="476"/>
        <v>145001204.58399999</v>
      </c>
      <c r="AC270" s="175">
        <v>0</v>
      </c>
    </row>
    <row r="271" spans="1:29" ht="14.25" x14ac:dyDescent="0.2">
      <c r="B271" s="157" t="s">
        <v>732</v>
      </c>
      <c r="C271" s="154" t="s">
        <v>95</v>
      </c>
      <c r="D271" s="331"/>
      <c r="E271" s="188">
        <f>SUM('ADICIONES  2021'!C271:I271)</f>
        <v>3756634</v>
      </c>
      <c r="F271" s="218"/>
      <c r="G271" s="218"/>
      <c r="H271" s="218"/>
      <c r="I271" s="218"/>
      <c r="J271" s="218"/>
      <c r="K271" s="128">
        <f t="shared" si="579"/>
        <v>3756634</v>
      </c>
      <c r="L271" s="218"/>
      <c r="M271" s="218"/>
      <c r="N271" s="218"/>
      <c r="O271" s="218"/>
      <c r="P271" s="218"/>
      <c r="Q271" s="410"/>
      <c r="R271" s="128">
        <f t="shared" si="475"/>
        <v>0</v>
      </c>
      <c r="S271" s="218"/>
      <c r="T271" s="218"/>
      <c r="U271" s="218"/>
      <c r="V271" s="218"/>
      <c r="W271" s="218"/>
      <c r="X271" s="218"/>
      <c r="Y271" s="218"/>
      <c r="Z271" s="218"/>
      <c r="AA271" s="128">
        <f t="shared" si="481"/>
        <v>0</v>
      </c>
      <c r="AB271" s="128">
        <f t="shared" si="476"/>
        <v>0</v>
      </c>
      <c r="AC271" s="175">
        <v>1</v>
      </c>
    </row>
    <row r="272" spans="1:29" ht="28.5" x14ac:dyDescent="0.2">
      <c r="B272" s="157" t="s">
        <v>733</v>
      </c>
      <c r="C272" s="155" t="s">
        <v>96</v>
      </c>
      <c r="D272" s="331">
        <f>+D269*20%</f>
        <v>39600000</v>
      </c>
      <c r="E272" s="188">
        <f>SUM('ADICIONES  2021'!C272:I272)</f>
        <v>0</v>
      </c>
      <c r="F272" s="218">
        <f t="shared" ref="F272:J272" si="582">+F269*20%</f>
        <v>0</v>
      </c>
      <c r="G272" s="218">
        <f t="shared" si="582"/>
        <v>0</v>
      </c>
      <c r="H272" s="218">
        <f t="shared" si="582"/>
        <v>0</v>
      </c>
      <c r="I272" s="218">
        <f t="shared" si="582"/>
        <v>0</v>
      </c>
      <c r="J272" s="218">
        <f t="shared" si="582"/>
        <v>0</v>
      </c>
      <c r="K272" s="128">
        <f t="shared" si="579"/>
        <v>39600000</v>
      </c>
      <c r="L272" s="218">
        <f t="shared" ref="L272:Q272" si="583">+L269*20%</f>
        <v>3789855.6700000004</v>
      </c>
      <c r="M272" s="218">
        <f t="shared" si="583"/>
        <v>3886667.5640000002</v>
      </c>
      <c r="N272" s="218">
        <f t="shared" si="583"/>
        <v>5319873.2380000008</v>
      </c>
      <c r="O272" s="218">
        <f t="shared" si="583"/>
        <v>5344331.1340000005</v>
      </c>
      <c r="P272" s="218">
        <f t="shared" si="583"/>
        <v>5831997.3600000003</v>
      </c>
      <c r="Q272" s="410">
        <f t="shared" si="583"/>
        <v>6013019.5180000002</v>
      </c>
      <c r="R272" s="128">
        <f t="shared" si="475"/>
        <v>30185744.484000001</v>
      </c>
      <c r="S272" s="218">
        <f t="shared" ref="S272:Z272" si="584">+S269*20%</f>
        <v>6064556.6620000005</v>
      </c>
      <c r="T272" s="218">
        <f t="shared" si="584"/>
        <v>0</v>
      </c>
      <c r="U272" s="218">
        <f t="shared" si="584"/>
        <v>0</v>
      </c>
      <c r="V272" s="218">
        <f t="shared" si="584"/>
        <v>0</v>
      </c>
      <c r="W272" s="218">
        <f t="shared" si="584"/>
        <v>0</v>
      </c>
      <c r="X272" s="218">
        <f t="shared" si="584"/>
        <v>0</v>
      </c>
      <c r="Y272" s="218">
        <f t="shared" si="584"/>
        <v>0</v>
      </c>
      <c r="Z272" s="218">
        <f t="shared" si="584"/>
        <v>0</v>
      </c>
      <c r="AA272" s="128">
        <f t="shared" si="481"/>
        <v>6064556.6620000005</v>
      </c>
      <c r="AB272" s="128">
        <f t="shared" si="476"/>
        <v>36250301.145999998</v>
      </c>
      <c r="AC272" s="175">
        <f t="shared" si="480"/>
        <v>0.91541164510101003</v>
      </c>
    </row>
    <row r="273" spans="1:29" s="63" customFormat="1" ht="15.75" x14ac:dyDescent="0.2">
      <c r="A273" s="397">
        <v>1</v>
      </c>
      <c r="B273" s="156" t="s">
        <v>734</v>
      </c>
      <c r="C273" s="80" t="s">
        <v>327</v>
      </c>
      <c r="D273" s="335">
        <v>90000000</v>
      </c>
      <c r="E273" s="187">
        <f>SUM('ADICIONES  2021'!C273:I273)</f>
        <v>0</v>
      </c>
      <c r="F273" s="61"/>
      <c r="G273" s="61"/>
      <c r="H273" s="61"/>
      <c r="I273" s="61"/>
      <c r="J273" s="61"/>
      <c r="K273" s="78">
        <f t="shared" si="579"/>
        <v>90000000</v>
      </c>
      <c r="L273" s="61">
        <v>8014862</v>
      </c>
      <c r="M273" s="61">
        <v>7320801.1399999997</v>
      </c>
      <c r="N273" s="61">
        <v>11439079</v>
      </c>
      <c r="O273" s="61">
        <v>7330527</v>
      </c>
      <c r="P273" s="61">
        <v>8239909</v>
      </c>
      <c r="Q273" s="417">
        <v>6135589</v>
      </c>
      <c r="R273" s="78">
        <f t="shared" ref="R273:R345" si="585">SUM(L273:Q273)</f>
        <v>48480767.140000001</v>
      </c>
      <c r="S273" s="61">
        <v>4105927</v>
      </c>
      <c r="T273" s="61"/>
      <c r="U273" s="61"/>
      <c r="V273" s="61"/>
      <c r="W273" s="61"/>
      <c r="X273" s="61"/>
      <c r="Y273" s="61"/>
      <c r="Z273" s="61"/>
      <c r="AA273" s="78">
        <f t="shared" si="481"/>
        <v>4105927</v>
      </c>
      <c r="AB273" s="78">
        <f t="shared" ref="AB273:AB345" si="586">+R273+AA273</f>
        <v>52586694.140000001</v>
      </c>
      <c r="AC273" s="174">
        <f t="shared" si="480"/>
        <v>0.58429660155555552</v>
      </c>
    </row>
    <row r="274" spans="1:29" ht="14.25" x14ac:dyDescent="0.2">
      <c r="B274" s="157" t="s">
        <v>735</v>
      </c>
      <c r="C274" s="155" t="s">
        <v>327</v>
      </c>
      <c r="D274" s="331">
        <f>+(D273-D275)*75%</f>
        <v>54000000</v>
      </c>
      <c r="E274" s="188">
        <f>SUM('ADICIONES  2021'!C274:I274)</f>
        <v>0</v>
      </c>
      <c r="F274" s="218">
        <f t="shared" ref="F274:J274" si="587">+(F273-F275)*75%</f>
        <v>0</v>
      </c>
      <c r="G274" s="218">
        <f t="shared" si="587"/>
        <v>0</v>
      </c>
      <c r="H274" s="218">
        <f t="shared" si="587"/>
        <v>0</v>
      </c>
      <c r="I274" s="218">
        <f t="shared" si="587"/>
        <v>0</v>
      </c>
      <c r="J274" s="218">
        <f t="shared" si="587"/>
        <v>0</v>
      </c>
      <c r="K274" s="128">
        <f t="shared" si="579"/>
        <v>54000000</v>
      </c>
      <c r="L274" s="218">
        <f t="shared" ref="L274:Q274" si="588">+(L273-L275)*75%</f>
        <v>4808917.1999999993</v>
      </c>
      <c r="M274" s="218">
        <f t="shared" si="588"/>
        <v>4392480.6839999994</v>
      </c>
      <c r="N274" s="218">
        <f t="shared" si="588"/>
        <v>6863447.3999999994</v>
      </c>
      <c r="O274" s="218">
        <f t="shared" si="588"/>
        <v>4398316.1999999993</v>
      </c>
      <c r="P274" s="218">
        <f t="shared" si="588"/>
        <v>4943945.4000000004</v>
      </c>
      <c r="Q274" s="410">
        <f t="shared" si="588"/>
        <v>3681353.4000000004</v>
      </c>
      <c r="R274" s="128">
        <f t="shared" si="585"/>
        <v>29088460.283999994</v>
      </c>
      <c r="S274" s="218">
        <f t="shared" ref="S274:Z274" si="589">+(S273-S275)*75%</f>
        <v>2463556.2000000002</v>
      </c>
      <c r="T274" s="218">
        <f t="shared" si="589"/>
        <v>0</v>
      </c>
      <c r="U274" s="218">
        <f t="shared" si="589"/>
        <v>0</v>
      </c>
      <c r="V274" s="218">
        <f t="shared" si="589"/>
        <v>0</v>
      </c>
      <c r="W274" s="218">
        <f t="shared" si="589"/>
        <v>0</v>
      </c>
      <c r="X274" s="218">
        <f t="shared" si="589"/>
        <v>0</v>
      </c>
      <c r="Y274" s="218">
        <f t="shared" si="589"/>
        <v>0</v>
      </c>
      <c r="Z274" s="218">
        <f t="shared" si="589"/>
        <v>0</v>
      </c>
      <c r="AA274" s="128">
        <f t="shared" si="481"/>
        <v>2463556.2000000002</v>
      </c>
      <c r="AB274" s="128">
        <f t="shared" si="586"/>
        <v>31552016.483999994</v>
      </c>
      <c r="AC274" s="175">
        <f t="shared" si="480"/>
        <v>0.58429660155555541</v>
      </c>
    </row>
    <row r="275" spans="1:29" ht="28.5" x14ac:dyDescent="0.2">
      <c r="B275" s="157" t="s">
        <v>736</v>
      </c>
      <c r="C275" s="154" t="s">
        <v>328</v>
      </c>
      <c r="D275" s="331">
        <f>+D273*20%</f>
        <v>18000000</v>
      </c>
      <c r="E275" s="188">
        <f>SUM('ADICIONES  2021'!C275:I275)</f>
        <v>0</v>
      </c>
      <c r="F275" s="218">
        <f t="shared" ref="F275:J275" si="590">+F273*20%</f>
        <v>0</v>
      </c>
      <c r="G275" s="218">
        <f t="shared" si="590"/>
        <v>0</v>
      </c>
      <c r="H275" s="218">
        <f t="shared" si="590"/>
        <v>0</v>
      </c>
      <c r="I275" s="218">
        <f t="shared" si="590"/>
        <v>0</v>
      </c>
      <c r="J275" s="218">
        <f t="shared" si="590"/>
        <v>0</v>
      </c>
      <c r="K275" s="128">
        <f t="shared" si="579"/>
        <v>18000000</v>
      </c>
      <c r="L275" s="218">
        <f t="shared" ref="L275:Q275" si="591">+L273*20%</f>
        <v>1602972.4000000001</v>
      </c>
      <c r="M275" s="218">
        <f t="shared" si="591"/>
        <v>1464160.2280000001</v>
      </c>
      <c r="N275" s="218">
        <f t="shared" si="591"/>
        <v>2287815.8000000003</v>
      </c>
      <c r="O275" s="218">
        <f t="shared" si="591"/>
        <v>1466105.4000000001</v>
      </c>
      <c r="P275" s="218">
        <f t="shared" si="591"/>
        <v>1647981.8</v>
      </c>
      <c r="Q275" s="410">
        <f t="shared" si="591"/>
        <v>1227117.8</v>
      </c>
      <c r="R275" s="128">
        <f t="shared" si="585"/>
        <v>9696153.4280000031</v>
      </c>
      <c r="S275" s="218">
        <f t="shared" ref="S275:Z275" si="592">+S273*20%</f>
        <v>821185.4</v>
      </c>
      <c r="T275" s="218">
        <f t="shared" si="592"/>
        <v>0</v>
      </c>
      <c r="U275" s="218">
        <f t="shared" si="592"/>
        <v>0</v>
      </c>
      <c r="V275" s="218">
        <f t="shared" si="592"/>
        <v>0</v>
      </c>
      <c r="W275" s="218">
        <f t="shared" si="592"/>
        <v>0</v>
      </c>
      <c r="X275" s="218">
        <f t="shared" si="592"/>
        <v>0</v>
      </c>
      <c r="Y275" s="218">
        <f t="shared" si="592"/>
        <v>0</v>
      </c>
      <c r="Z275" s="218">
        <f t="shared" si="592"/>
        <v>0</v>
      </c>
      <c r="AA275" s="128">
        <f t="shared" si="481"/>
        <v>821185.4</v>
      </c>
      <c r="AB275" s="128">
        <f t="shared" si="586"/>
        <v>10517338.828000003</v>
      </c>
      <c r="AC275" s="175">
        <f t="shared" si="480"/>
        <v>0.58429660155555574</v>
      </c>
    </row>
    <row r="276" spans="1:29" ht="28.5" x14ac:dyDescent="0.2">
      <c r="B276" s="157" t="s">
        <v>737</v>
      </c>
      <c r="C276" s="155" t="s">
        <v>329</v>
      </c>
      <c r="D276" s="331">
        <f>+D273-D274-D275</f>
        <v>18000000</v>
      </c>
      <c r="E276" s="188">
        <f>SUM('ADICIONES  2021'!C276:I276)</f>
        <v>0</v>
      </c>
      <c r="F276" s="218">
        <f t="shared" ref="F276:J276" si="593">+F273-F274-F275</f>
        <v>0</v>
      </c>
      <c r="G276" s="218">
        <f t="shared" si="593"/>
        <v>0</v>
      </c>
      <c r="H276" s="218">
        <f t="shared" si="593"/>
        <v>0</v>
      </c>
      <c r="I276" s="218">
        <f t="shared" si="593"/>
        <v>0</v>
      </c>
      <c r="J276" s="218">
        <f t="shared" si="593"/>
        <v>0</v>
      </c>
      <c r="K276" s="128">
        <f t="shared" si="579"/>
        <v>18000000</v>
      </c>
      <c r="L276" s="218">
        <f t="shared" ref="L276:Q276" si="594">+L273-L274-L275</f>
        <v>1602972.4000000006</v>
      </c>
      <c r="M276" s="218">
        <f t="shared" si="594"/>
        <v>1464160.2280000001</v>
      </c>
      <c r="N276" s="218">
        <f t="shared" si="594"/>
        <v>2287815.8000000003</v>
      </c>
      <c r="O276" s="218">
        <f t="shared" si="594"/>
        <v>1466105.4000000006</v>
      </c>
      <c r="P276" s="218">
        <f t="shared" si="594"/>
        <v>1647981.7999999996</v>
      </c>
      <c r="Q276" s="410">
        <f t="shared" si="594"/>
        <v>1227117.7999999996</v>
      </c>
      <c r="R276" s="128">
        <f t="shared" si="585"/>
        <v>9696153.4279999994</v>
      </c>
      <c r="S276" s="218">
        <f t="shared" ref="S276:Z276" si="595">+S273-S274-S275</f>
        <v>821185.39999999979</v>
      </c>
      <c r="T276" s="218">
        <f t="shared" si="595"/>
        <v>0</v>
      </c>
      <c r="U276" s="218">
        <f t="shared" si="595"/>
        <v>0</v>
      </c>
      <c r="V276" s="218">
        <f t="shared" si="595"/>
        <v>0</v>
      </c>
      <c r="W276" s="218">
        <f t="shared" si="595"/>
        <v>0</v>
      </c>
      <c r="X276" s="218">
        <f t="shared" si="595"/>
        <v>0</v>
      </c>
      <c r="Y276" s="218">
        <f t="shared" si="595"/>
        <v>0</v>
      </c>
      <c r="Z276" s="218">
        <f t="shared" si="595"/>
        <v>0</v>
      </c>
      <c r="AA276" s="128">
        <f t="shared" si="481"/>
        <v>821185.39999999979</v>
      </c>
      <c r="AB276" s="128">
        <f t="shared" si="586"/>
        <v>10517338.828</v>
      </c>
      <c r="AC276" s="175">
        <f t="shared" si="480"/>
        <v>0.58429660155555552</v>
      </c>
    </row>
    <row r="277" spans="1:29" s="63" customFormat="1" ht="15.75" x14ac:dyDescent="0.2">
      <c r="A277" s="397">
        <v>1</v>
      </c>
      <c r="B277" s="156" t="s">
        <v>738</v>
      </c>
      <c r="C277" s="215" t="s">
        <v>739</v>
      </c>
      <c r="D277" s="335">
        <v>188000000</v>
      </c>
      <c r="E277" s="187">
        <f>SUM('ADICIONES  2021'!C277:I277)</f>
        <v>0</v>
      </c>
      <c r="F277" s="61"/>
      <c r="G277" s="61"/>
      <c r="H277" s="61"/>
      <c r="I277" s="61"/>
      <c r="J277" s="61"/>
      <c r="K277" s="78">
        <f t="shared" si="579"/>
        <v>188000000</v>
      </c>
      <c r="L277" s="61">
        <v>4218189</v>
      </c>
      <c r="M277" s="61">
        <v>7024563</v>
      </c>
      <c r="N277" s="61">
        <v>13374526</v>
      </c>
      <c r="O277" s="61">
        <v>7774647</v>
      </c>
      <c r="P277" s="61">
        <v>9513861</v>
      </c>
      <c r="Q277" s="417">
        <v>6784426</v>
      </c>
      <c r="R277" s="78">
        <f t="shared" si="585"/>
        <v>48690212</v>
      </c>
      <c r="S277" s="61">
        <v>5319932</v>
      </c>
      <c r="T277" s="61"/>
      <c r="U277" s="61"/>
      <c r="V277" s="61"/>
      <c r="W277" s="61"/>
      <c r="X277" s="61"/>
      <c r="Y277" s="61"/>
      <c r="Z277" s="61"/>
      <c r="AA277" s="78">
        <f t="shared" si="481"/>
        <v>5319932</v>
      </c>
      <c r="AB277" s="78">
        <f t="shared" si="586"/>
        <v>54010144</v>
      </c>
      <c r="AC277" s="174">
        <f t="shared" si="480"/>
        <v>0.28728799999999999</v>
      </c>
    </row>
    <row r="278" spans="1:29" ht="14.25" x14ac:dyDescent="0.2">
      <c r="B278" s="157" t="s">
        <v>740</v>
      </c>
      <c r="C278" s="155" t="s">
        <v>97</v>
      </c>
      <c r="D278" s="331">
        <f>+D277*75%</f>
        <v>141000000</v>
      </c>
      <c r="E278" s="188">
        <f>SUM('ADICIONES  2021'!C278:I278)</f>
        <v>0</v>
      </c>
      <c r="F278" s="218">
        <f t="shared" ref="F278:J278" si="596">+F277*75%</f>
        <v>0</v>
      </c>
      <c r="G278" s="218">
        <f t="shared" si="596"/>
        <v>0</v>
      </c>
      <c r="H278" s="218">
        <f t="shared" si="596"/>
        <v>0</v>
      </c>
      <c r="I278" s="218">
        <f t="shared" si="596"/>
        <v>0</v>
      </c>
      <c r="J278" s="218">
        <f t="shared" si="596"/>
        <v>0</v>
      </c>
      <c r="K278" s="128">
        <f t="shared" si="579"/>
        <v>141000000</v>
      </c>
      <c r="L278" s="218">
        <f t="shared" ref="L278:Q278" si="597">+L277*75%</f>
        <v>3163641.75</v>
      </c>
      <c r="M278" s="218">
        <f t="shared" si="597"/>
        <v>5268422.25</v>
      </c>
      <c r="N278" s="218">
        <f t="shared" si="597"/>
        <v>10030894.5</v>
      </c>
      <c r="O278" s="218">
        <f t="shared" si="597"/>
        <v>5830985.25</v>
      </c>
      <c r="P278" s="218">
        <f t="shared" si="597"/>
        <v>7135395.75</v>
      </c>
      <c r="Q278" s="410">
        <f t="shared" si="597"/>
        <v>5088319.5</v>
      </c>
      <c r="R278" s="128">
        <f t="shared" si="585"/>
        <v>36517659</v>
      </c>
      <c r="S278" s="218">
        <f t="shared" ref="S278:Z278" si="598">+S277*75%</f>
        <v>3989949</v>
      </c>
      <c r="T278" s="218">
        <f t="shared" si="598"/>
        <v>0</v>
      </c>
      <c r="U278" s="218">
        <f t="shared" si="598"/>
        <v>0</v>
      </c>
      <c r="V278" s="218">
        <f t="shared" si="598"/>
        <v>0</v>
      </c>
      <c r="W278" s="218">
        <f t="shared" si="598"/>
        <v>0</v>
      </c>
      <c r="X278" s="218">
        <f t="shared" si="598"/>
        <v>0</v>
      </c>
      <c r="Y278" s="218">
        <f t="shared" si="598"/>
        <v>0</v>
      </c>
      <c r="Z278" s="218">
        <f t="shared" si="598"/>
        <v>0</v>
      </c>
      <c r="AA278" s="128">
        <f t="shared" ref="AA278:AA567" si="599">SUM(S278:Z278)</f>
        <v>3989949</v>
      </c>
      <c r="AB278" s="128">
        <f t="shared" si="586"/>
        <v>40507608</v>
      </c>
      <c r="AC278" s="175">
        <f t="shared" si="480"/>
        <v>0.28728799999999999</v>
      </c>
    </row>
    <row r="279" spans="1:29" ht="14.25" x14ac:dyDescent="0.2">
      <c r="B279" s="76" t="s">
        <v>741</v>
      </c>
      <c r="C279" s="77" t="s">
        <v>98</v>
      </c>
      <c r="D279" s="331">
        <f>+D277*12%</f>
        <v>22560000</v>
      </c>
      <c r="E279" s="188">
        <f>SUM('ADICIONES  2021'!C279:I279)</f>
        <v>0</v>
      </c>
      <c r="F279" s="218">
        <f t="shared" ref="F279:J279" si="600">+F277*12%</f>
        <v>0</v>
      </c>
      <c r="G279" s="218">
        <f t="shared" si="600"/>
        <v>0</v>
      </c>
      <c r="H279" s="218">
        <f t="shared" si="600"/>
        <v>0</v>
      </c>
      <c r="I279" s="218">
        <f t="shared" si="600"/>
        <v>0</v>
      </c>
      <c r="J279" s="218">
        <f t="shared" si="600"/>
        <v>0</v>
      </c>
      <c r="K279" s="128">
        <f t="shared" si="579"/>
        <v>22560000</v>
      </c>
      <c r="L279" s="218">
        <f t="shared" ref="L279:Q279" si="601">+L277*12%</f>
        <v>506182.68</v>
      </c>
      <c r="M279" s="218">
        <f t="shared" si="601"/>
        <v>842947.55999999994</v>
      </c>
      <c r="N279" s="218">
        <f t="shared" si="601"/>
        <v>1604943.1199999999</v>
      </c>
      <c r="O279" s="218">
        <f t="shared" si="601"/>
        <v>932957.64</v>
      </c>
      <c r="P279" s="218">
        <f t="shared" si="601"/>
        <v>1141663.32</v>
      </c>
      <c r="Q279" s="410">
        <f t="shared" si="601"/>
        <v>814131.12</v>
      </c>
      <c r="R279" s="128">
        <f t="shared" si="585"/>
        <v>5842825.4400000004</v>
      </c>
      <c r="S279" s="218">
        <f t="shared" ref="S279:Z279" si="602">+S277*12%</f>
        <v>638391.84</v>
      </c>
      <c r="T279" s="218">
        <f t="shared" si="602"/>
        <v>0</v>
      </c>
      <c r="U279" s="218">
        <f t="shared" si="602"/>
        <v>0</v>
      </c>
      <c r="V279" s="218">
        <f t="shared" si="602"/>
        <v>0</v>
      </c>
      <c r="W279" s="218">
        <f t="shared" si="602"/>
        <v>0</v>
      </c>
      <c r="X279" s="218">
        <f t="shared" si="602"/>
        <v>0</v>
      </c>
      <c r="Y279" s="218">
        <f t="shared" si="602"/>
        <v>0</v>
      </c>
      <c r="Z279" s="218">
        <f t="shared" si="602"/>
        <v>0</v>
      </c>
      <c r="AA279" s="128">
        <f t="shared" si="599"/>
        <v>638391.84</v>
      </c>
      <c r="AB279" s="128">
        <f t="shared" si="586"/>
        <v>6481217.2800000003</v>
      </c>
      <c r="AC279" s="175">
        <f t="shared" si="480"/>
        <v>0.28728799999999999</v>
      </c>
    </row>
    <row r="280" spans="1:29" ht="14.25" x14ac:dyDescent="0.2">
      <c r="B280" s="76" t="s">
        <v>742</v>
      </c>
      <c r="C280" s="77" t="s">
        <v>99</v>
      </c>
      <c r="D280" s="331">
        <f>+D277*8%</f>
        <v>15040000</v>
      </c>
      <c r="E280" s="188">
        <f>SUM('ADICIONES  2021'!C280:I280)</f>
        <v>0</v>
      </c>
      <c r="F280" s="218">
        <f t="shared" ref="F280:J280" si="603">+F277*8%</f>
        <v>0</v>
      </c>
      <c r="G280" s="218">
        <f t="shared" si="603"/>
        <v>0</v>
      </c>
      <c r="H280" s="218">
        <f t="shared" si="603"/>
        <v>0</v>
      </c>
      <c r="I280" s="218">
        <f t="shared" si="603"/>
        <v>0</v>
      </c>
      <c r="J280" s="218">
        <f t="shared" si="603"/>
        <v>0</v>
      </c>
      <c r="K280" s="128">
        <f t="shared" si="579"/>
        <v>15040000</v>
      </c>
      <c r="L280" s="218">
        <f t="shared" ref="L280:Q280" si="604">+L277*8%</f>
        <v>337455.12</v>
      </c>
      <c r="M280" s="218">
        <f t="shared" si="604"/>
        <v>561965.04</v>
      </c>
      <c r="N280" s="218">
        <f t="shared" si="604"/>
        <v>1069962.08</v>
      </c>
      <c r="O280" s="218">
        <f t="shared" si="604"/>
        <v>621971.76</v>
      </c>
      <c r="P280" s="218">
        <f t="shared" si="604"/>
        <v>761108.88</v>
      </c>
      <c r="Q280" s="410">
        <f t="shared" si="604"/>
        <v>542754.07999999996</v>
      </c>
      <c r="R280" s="128">
        <f t="shared" si="585"/>
        <v>3895216.96</v>
      </c>
      <c r="S280" s="218">
        <f t="shared" ref="S280:Z280" si="605">+S277*8%</f>
        <v>425594.56</v>
      </c>
      <c r="T280" s="218">
        <f t="shared" si="605"/>
        <v>0</v>
      </c>
      <c r="U280" s="218">
        <f t="shared" si="605"/>
        <v>0</v>
      </c>
      <c r="V280" s="218">
        <f t="shared" si="605"/>
        <v>0</v>
      </c>
      <c r="W280" s="218">
        <f t="shared" si="605"/>
        <v>0</v>
      </c>
      <c r="X280" s="218">
        <f t="shared" si="605"/>
        <v>0</v>
      </c>
      <c r="Y280" s="218">
        <f t="shared" si="605"/>
        <v>0</v>
      </c>
      <c r="Z280" s="218">
        <f t="shared" si="605"/>
        <v>0</v>
      </c>
      <c r="AA280" s="128">
        <f t="shared" si="599"/>
        <v>425594.56</v>
      </c>
      <c r="AB280" s="128">
        <f t="shared" si="586"/>
        <v>4320811.5199999996</v>
      </c>
      <c r="AC280" s="175">
        <f t="shared" si="480"/>
        <v>0.28728799999999999</v>
      </c>
    </row>
    <row r="281" spans="1:29" ht="28.5" x14ac:dyDescent="0.2">
      <c r="B281" s="76" t="s">
        <v>743</v>
      </c>
      <c r="C281" s="77" t="s">
        <v>100</v>
      </c>
      <c r="D281" s="331">
        <f>+D277*3%</f>
        <v>5640000</v>
      </c>
      <c r="E281" s="188">
        <f>SUM('ADICIONES  2021'!C281:I281)</f>
        <v>0</v>
      </c>
      <c r="F281" s="218">
        <f t="shared" ref="F281:J281" si="606">+F277*3%</f>
        <v>0</v>
      </c>
      <c r="G281" s="218">
        <f t="shared" si="606"/>
        <v>0</v>
      </c>
      <c r="H281" s="218">
        <f t="shared" si="606"/>
        <v>0</v>
      </c>
      <c r="I281" s="218">
        <f t="shared" si="606"/>
        <v>0</v>
      </c>
      <c r="J281" s="218">
        <f t="shared" si="606"/>
        <v>0</v>
      </c>
      <c r="K281" s="128">
        <f t="shared" si="579"/>
        <v>5640000</v>
      </c>
      <c r="L281" s="218">
        <f t="shared" ref="L281:Q281" si="607">+L277*3%</f>
        <v>126545.67</v>
      </c>
      <c r="M281" s="218">
        <f t="shared" si="607"/>
        <v>210736.88999999998</v>
      </c>
      <c r="N281" s="218">
        <f t="shared" si="607"/>
        <v>401235.77999999997</v>
      </c>
      <c r="O281" s="218">
        <f t="shared" si="607"/>
        <v>233239.41</v>
      </c>
      <c r="P281" s="218">
        <f t="shared" si="607"/>
        <v>285415.83</v>
      </c>
      <c r="Q281" s="410">
        <f t="shared" si="607"/>
        <v>203532.78</v>
      </c>
      <c r="R281" s="128">
        <f t="shared" si="585"/>
        <v>1460706.36</v>
      </c>
      <c r="S281" s="218">
        <f t="shared" ref="S281:Z281" si="608">+S277*3%</f>
        <v>159597.96</v>
      </c>
      <c r="T281" s="218">
        <f t="shared" si="608"/>
        <v>0</v>
      </c>
      <c r="U281" s="218">
        <f t="shared" si="608"/>
        <v>0</v>
      </c>
      <c r="V281" s="218">
        <f t="shared" si="608"/>
        <v>0</v>
      </c>
      <c r="W281" s="218">
        <f t="shared" si="608"/>
        <v>0</v>
      </c>
      <c r="X281" s="218">
        <f t="shared" si="608"/>
        <v>0</v>
      </c>
      <c r="Y281" s="218">
        <f t="shared" si="608"/>
        <v>0</v>
      </c>
      <c r="Z281" s="218">
        <f t="shared" si="608"/>
        <v>0</v>
      </c>
      <c r="AA281" s="128">
        <f t="shared" si="599"/>
        <v>159597.96</v>
      </c>
      <c r="AB281" s="128">
        <f t="shared" si="586"/>
        <v>1620304.32</v>
      </c>
      <c r="AC281" s="175">
        <f t="shared" si="480"/>
        <v>0.28728799999999999</v>
      </c>
    </row>
    <row r="282" spans="1:29" ht="28.5" x14ac:dyDescent="0.2">
      <c r="B282" s="76" t="s">
        <v>744</v>
      </c>
      <c r="C282" s="77" t="s">
        <v>101</v>
      </c>
      <c r="D282" s="331">
        <f>+D277*2%</f>
        <v>3760000</v>
      </c>
      <c r="E282" s="188">
        <f>SUM('ADICIONES  2021'!C282:I282)</f>
        <v>0</v>
      </c>
      <c r="F282" s="218">
        <f t="shared" ref="F282:J282" si="609">+F277*2%</f>
        <v>0</v>
      </c>
      <c r="G282" s="218">
        <f t="shared" si="609"/>
        <v>0</v>
      </c>
      <c r="H282" s="218">
        <f t="shared" si="609"/>
        <v>0</v>
      </c>
      <c r="I282" s="218">
        <f t="shared" si="609"/>
        <v>0</v>
      </c>
      <c r="J282" s="218">
        <f t="shared" si="609"/>
        <v>0</v>
      </c>
      <c r="K282" s="128">
        <f t="shared" si="579"/>
        <v>3760000</v>
      </c>
      <c r="L282" s="218">
        <f t="shared" ref="L282:Q282" si="610">+L277*2%</f>
        <v>84363.78</v>
      </c>
      <c r="M282" s="218">
        <f t="shared" si="610"/>
        <v>140491.26</v>
      </c>
      <c r="N282" s="218">
        <f t="shared" si="610"/>
        <v>267490.52</v>
      </c>
      <c r="O282" s="218">
        <f t="shared" si="610"/>
        <v>155492.94</v>
      </c>
      <c r="P282" s="218">
        <f t="shared" si="610"/>
        <v>190277.22</v>
      </c>
      <c r="Q282" s="410">
        <f t="shared" si="610"/>
        <v>135688.51999999999</v>
      </c>
      <c r="R282" s="128">
        <f t="shared" si="585"/>
        <v>973804.24</v>
      </c>
      <c r="S282" s="218">
        <f t="shared" ref="S282:Z282" si="611">+S277*2%</f>
        <v>106398.64</v>
      </c>
      <c r="T282" s="218">
        <f t="shared" si="611"/>
        <v>0</v>
      </c>
      <c r="U282" s="218">
        <f t="shared" si="611"/>
        <v>0</v>
      </c>
      <c r="V282" s="218">
        <f t="shared" si="611"/>
        <v>0</v>
      </c>
      <c r="W282" s="218">
        <f t="shared" si="611"/>
        <v>0</v>
      </c>
      <c r="X282" s="218">
        <f t="shared" si="611"/>
        <v>0</v>
      </c>
      <c r="Y282" s="218">
        <f t="shared" si="611"/>
        <v>0</v>
      </c>
      <c r="Z282" s="218">
        <f t="shared" si="611"/>
        <v>0</v>
      </c>
      <c r="AA282" s="128">
        <f t="shared" si="599"/>
        <v>106398.64</v>
      </c>
      <c r="AB282" s="128">
        <f t="shared" si="586"/>
        <v>1080202.8799999999</v>
      </c>
      <c r="AC282" s="175">
        <f t="shared" si="480"/>
        <v>0.28728799999999999</v>
      </c>
    </row>
    <row r="283" spans="1:29" s="63" customFormat="1" ht="31.5" x14ac:dyDescent="0.2">
      <c r="A283" s="397">
        <v>1</v>
      </c>
      <c r="B283" s="81" t="s">
        <v>745</v>
      </c>
      <c r="C283" s="79" t="s">
        <v>746</v>
      </c>
      <c r="D283" s="333">
        <v>125000000</v>
      </c>
      <c r="E283" s="187">
        <f>SUM('ADICIONES  2021'!C283:I283)</f>
        <v>0</v>
      </c>
      <c r="F283" s="78"/>
      <c r="G283" s="78"/>
      <c r="H283" s="78"/>
      <c r="I283" s="78"/>
      <c r="J283" s="78"/>
      <c r="K283" s="78">
        <f t="shared" si="579"/>
        <v>125000000</v>
      </c>
      <c r="L283" s="78">
        <v>429995.61</v>
      </c>
      <c r="M283" s="78">
        <v>1465183.09</v>
      </c>
      <c r="N283" s="78">
        <v>4083618.22</v>
      </c>
      <c r="O283" s="78">
        <v>4173267.68</v>
      </c>
      <c r="P283" s="78">
        <v>4753158.95</v>
      </c>
      <c r="Q283" s="408">
        <v>4644350.3600000003</v>
      </c>
      <c r="R283" s="78">
        <f t="shared" si="585"/>
        <v>19549573.91</v>
      </c>
      <c r="S283" s="78">
        <v>3982974.72</v>
      </c>
      <c r="T283" s="78"/>
      <c r="U283" s="78"/>
      <c r="V283" s="78"/>
      <c r="W283" s="78"/>
      <c r="X283" s="78"/>
      <c r="Y283" s="78"/>
      <c r="Z283" s="78"/>
      <c r="AA283" s="78">
        <f t="shared" si="599"/>
        <v>3982974.72</v>
      </c>
      <c r="AB283" s="78">
        <f t="shared" si="586"/>
        <v>23532548.629999999</v>
      </c>
      <c r="AC283" s="174">
        <f t="shared" si="480"/>
        <v>0.18826038904</v>
      </c>
    </row>
    <row r="284" spans="1:29" ht="28.5" x14ac:dyDescent="0.2">
      <c r="B284" s="76" t="s">
        <v>747</v>
      </c>
      <c r="C284" s="77" t="s">
        <v>102</v>
      </c>
      <c r="D284" s="334">
        <f>+D283</f>
        <v>125000000</v>
      </c>
      <c r="E284" s="188">
        <f>SUM('ADICIONES  2021'!C284:I284)</f>
        <v>0</v>
      </c>
      <c r="F284" s="128">
        <f t="shared" ref="F284:J284" si="612">+F283</f>
        <v>0</v>
      </c>
      <c r="G284" s="128">
        <f t="shared" si="612"/>
        <v>0</v>
      </c>
      <c r="H284" s="128">
        <f t="shared" si="612"/>
        <v>0</v>
      </c>
      <c r="I284" s="128">
        <f t="shared" si="612"/>
        <v>0</v>
      </c>
      <c r="J284" s="128">
        <f t="shared" si="612"/>
        <v>0</v>
      </c>
      <c r="K284" s="128">
        <f t="shared" si="579"/>
        <v>125000000</v>
      </c>
      <c r="L284" s="128">
        <f t="shared" ref="L284:Q284" si="613">+L283</f>
        <v>429995.61</v>
      </c>
      <c r="M284" s="128">
        <f t="shared" si="613"/>
        <v>1465183.09</v>
      </c>
      <c r="N284" s="128">
        <f t="shared" si="613"/>
        <v>4083618.22</v>
      </c>
      <c r="O284" s="128">
        <f t="shared" si="613"/>
        <v>4173267.68</v>
      </c>
      <c r="P284" s="128">
        <f t="shared" si="613"/>
        <v>4753158.95</v>
      </c>
      <c r="Q284" s="413">
        <f t="shared" si="613"/>
        <v>4644350.3600000003</v>
      </c>
      <c r="R284" s="128">
        <f t="shared" si="585"/>
        <v>19549573.91</v>
      </c>
      <c r="S284" s="128">
        <f t="shared" ref="S284:Z284" si="614">+S283</f>
        <v>3982974.72</v>
      </c>
      <c r="T284" s="128">
        <f t="shared" si="614"/>
        <v>0</v>
      </c>
      <c r="U284" s="128">
        <f t="shared" si="614"/>
        <v>0</v>
      </c>
      <c r="V284" s="128">
        <f t="shared" si="614"/>
        <v>0</v>
      </c>
      <c r="W284" s="128">
        <f t="shared" si="614"/>
        <v>0</v>
      </c>
      <c r="X284" s="128">
        <f t="shared" si="614"/>
        <v>0</v>
      </c>
      <c r="Y284" s="128">
        <f t="shared" si="614"/>
        <v>0</v>
      </c>
      <c r="Z284" s="128">
        <f t="shared" si="614"/>
        <v>0</v>
      </c>
      <c r="AA284" s="128">
        <f t="shared" si="599"/>
        <v>3982974.72</v>
      </c>
      <c r="AB284" s="128">
        <f t="shared" si="586"/>
        <v>23532548.629999999</v>
      </c>
      <c r="AC284" s="175">
        <f t="shared" si="480"/>
        <v>0.18826038904</v>
      </c>
    </row>
    <row r="285" spans="1:29" s="63" customFormat="1" ht="15.75" x14ac:dyDescent="0.2">
      <c r="A285" s="397">
        <v>1</v>
      </c>
      <c r="B285" s="81" t="s">
        <v>748</v>
      </c>
      <c r="C285" s="79" t="s">
        <v>749</v>
      </c>
      <c r="D285" s="333">
        <v>0</v>
      </c>
      <c r="E285" s="188">
        <f>SUM('ADICIONES  2021'!C285:I285)</f>
        <v>0</v>
      </c>
      <c r="F285" s="78"/>
      <c r="G285" s="78"/>
      <c r="H285" s="78"/>
      <c r="I285" s="78"/>
      <c r="J285" s="78"/>
      <c r="K285" s="78">
        <f t="shared" si="579"/>
        <v>0</v>
      </c>
      <c r="L285" s="78">
        <v>170430.73</v>
      </c>
      <c r="M285" s="78">
        <v>146639.75</v>
      </c>
      <c r="N285" s="78">
        <v>155552.29999999999</v>
      </c>
      <c r="O285" s="78">
        <v>150229.19</v>
      </c>
      <c r="P285" s="78">
        <v>169600.06</v>
      </c>
      <c r="Q285" s="408">
        <v>186115.83</v>
      </c>
      <c r="R285" s="78">
        <f t="shared" si="585"/>
        <v>978567.86</v>
      </c>
      <c r="S285" s="78">
        <v>191405.25</v>
      </c>
      <c r="T285" s="78"/>
      <c r="U285" s="78"/>
      <c r="V285" s="78"/>
      <c r="W285" s="78"/>
      <c r="X285" s="78"/>
      <c r="Y285" s="78"/>
      <c r="Z285" s="78"/>
      <c r="AA285" s="78">
        <f t="shared" si="599"/>
        <v>191405.25</v>
      </c>
      <c r="AB285" s="78">
        <f t="shared" si="586"/>
        <v>1169973.1099999999</v>
      </c>
      <c r="AC285" s="174">
        <v>0</v>
      </c>
    </row>
    <row r="286" spans="1:29" ht="14.25" x14ac:dyDescent="0.2">
      <c r="B286" s="76" t="s">
        <v>750</v>
      </c>
      <c r="C286" s="77" t="s">
        <v>238</v>
      </c>
      <c r="D286" s="331">
        <f>+D285*80%</f>
        <v>0</v>
      </c>
      <c r="E286" s="188">
        <f>SUM('ADICIONES  2021'!C286:I286)</f>
        <v>0</v>
      </c>
      <c r="F286" s="218">
        <f t="shared" ref="F286:J286" si="615">+F285*80%</f>
        <v>0</v>
      </c>
      <c r="G286" s="218">
        <f t="shared" si="615"/>
        <v>0</v>
      </c>
      <c r="H286" s="218">
        <f t="shared" si="615"/>
        <v>0</v>
      </c>
      <c r="I286" s="218">
        <f t="shared" si="615"/>
        <v>0</v>
      </c>
      <c r="J286" s="218">
        <f t="shared" si="615"/>
        <v>0</v>
      </c>
      <c r="K286" s="128">
        <f t="shared" si="579"/>
        <v>0</v>
      </c>
      <c r="L286" s="218">
        <f t="shared" ref="L286:Q286" si="616">+L285*80%</f>
        <v>136344.584</v>
      </c>
      <c r="M286" s="218">
        <f t="shared" si="616"/>
        <v>117311.8</v>
      </c>
      <c r="N286" s="218">
        <f t="shared" si="616"/>
        <v>124441.84</v>
      </c>
      <c r="O286" s="218">
        <f t="shared" si="616"/>
        <v>120183.35200000001</v>
      </c>
      <c r="P286" s="218">
        <f t="shared" si="616"/>
        <v>135680.04800000001</v>
      </c>
      <c r="Q286" s="410">
        <f t="shared" si="616"/>
        <v>148892.66399999999</v>
      </c>
      <c r="R286" s="128">
        <f t="shared" si="585"/>
        <v>782854.28800000006</v>
      </c>
      <c r="S286" s="218">
        <f t="shared" ref="S286:Z286" si="617">+S285*80%</f>
        <v>153124.20000000001</v>
      </c>
      <c r="T286" s="218">
        <f t="shared" si="617"/>
        <v>0</v>
      </c>
      <c r="U286" s="218">
        <f t="shared" si="617"/>
        <v>0</v>
      </c>
      <c r="V286" s="218">
        <f t="shared" si="617"/>
        <v>0</v>
      </c>
      <c r="W286" s="218">
        <f t="shared" si="617"/>
        <v>0</v>
      </c>
      <c r="X286" s="218">
        <f t="shared" si="617"/>
        <v>0</v>
      </c>
      <c r="Y286" s="218">
        <f t="shared" si="617"/>
        <v>0</v>
      </c>
      <c r="Z286" s="218">
        <f t="shared" si="617"/>
        <v>0</v>
      </c>
      <c r="AA286" s="128">
        <f t="shared" si="599"/>
        <v>153124.20000000001</v>
      </c>
      <c r="AB286" s="128">
        <f t="shared" si="586"/>
        <v>935978.48800000013</v>
      </c>
      <c r="AC286" s="175">
        <v>0</v>
      </c>
    </row>
    <row r="287" spans="1:29" ht="14.25" x14ac:dyDescent="0.2">
      <c r="B287" s="76" t="s">
        <v>751</v>
      </c>
      <c r="C287" s="77" t="s">
        <v>752</v>
      </c>
      <c r="D287" s="331">
        <f>+D285*20%</f>
        <v>0</v>
      </c>
      <c r="E287" s="188">
        <f>SUM('ADICIONES  2021'!C287:I287)</f>
        <v>0</v>
      </c>
      <c r="F287" s="218">
        <f t="shared" ref="F287:J287" si="618">+F285*20%</f>
        <v>0</v>
      </c>
      <c r="G287" s="218">
        <f t="shared" si="618"/>
        <v>0</v>
      </c>
      <c r="H287" s="218">
        <f t="shared" si="618"/>
        <v>0</v>
      </c>
      <c r="I287" s="218">
        <f t="shared" si="618"/>
        <v>0</v>
      </c>
      <c r="J287" s="218">
        <f t="shared" si="618"/>
        <v>0</v>
      </c>
      <c r="K287" s="128">
        <f t="shared" si="579"/>
        <v>0</v>
      </c>
      <c r="L287" s="218">
        <f t="shared" ref="L287:Q287" si="619">+L285*20%</f>
        <v>34086.146000000001</v>
      </c>
      <c r="M287" s="218">
        <f t="shared" si="619"/>
        <v>29327.95</v>
      </c>
      <c r="N287" s="218">
        <f t="shared" si="619"/>
        <v>31110.46</v>
      </c>
      <c r="O287" s="218">
        <f t="shared" si="619"/>
        <v>30045.838000000003</v>
      </c>
      <c r="P287" s="218">
        <f t="shared" si="619"/>
        <v>33920.012000000002</v>
      </c>
      <c r="Q287" s="410">
        <f t="shared" si="619"/>
        <v>37223.165999999997</v>
      </c>
      <c r="R287" s="128">
        <f t="shared" si="585"/>
        <v>195713.57200000001</v>
      </c>
      <c r="S287" s="218">
        <f t="shared" ref="S287:Z287" si="620">+S285*20%</f>
        <v>38281.050000000003</v>
      </c>
      <c r="T287" s="218">
        <f t="shared" si="620"/>
        <v>0</v>
      </c>
      <c r="U287" s="218">
        <f t="shared" si="620"/>
        <v>0</v>
      </c>
      <c r="V287" s="218">
        <f t="shared" si="620"/>
        <v>0</v>
      </c>
      <c r="W287" s="218">
        <f t="shared" si="620"/>
        <v>0</v>
      </c>
      <c r="X287" s="218">
        <f t="shared" si="620"/>
        <v>0</v>
      </c>
      <c r="Y287" s="218">
        <f t="shared" si="620"/>
        <v>0</v>
      </c>
      <c r="Z287" s="218">
        <f t="shared" si="620"/>
        <v>0</v>
      </c>
      <c r="AA287" s="128">
        <f t="shared" si="599"/>
        <v>38281.050000000003</v>
      </c>
      <c r="AB287" s="128">
        <f t="shared" si="586"/>
        <v>233994.62200000003</v>
      </c>
      <c r="AC287" s="175">
        <v>0</v>
      </c>
    </row>
    <row r="288" spans="1:29" ht="14.25" x14ac:dyDescent="0.2">
      <c r="A288" s="396">
        <v>1</v>
      </c>
      <c r="B288" s="76" t="s">
        <v>753</v>
      </c>
      <c r="C288" s="77" t="s">
        <v>754</v>
      </c>
      <c r="D288" s="334"/>
      <c r="E288" s="188">
        <f>SUM('ADICIONES  2021'!C288:I288)</f>
        <v>0</v>
      </c>
      <c r="F288" s="128"/>
      <c r="G288" s="128"/>
      <c r="H288" s="128"/>
      <c r="I288" s="128"/>
      <c r="J288" s="128"/>
      <c r="K288" s="128">
        <f t="shared" si="579"/>
        <v>0</v>
      </c>
      <c r="L288" s="128">
        <v>513510</v>
      </c>
      <c r="M288" s="128">
        <v>0</v>
      </c>
      <c r="N288" s="128">
        <v>2289059</v>
      </c>
      <c r="O288" s="128">
        <v>1095373</v>
      </c>
      <c r="P288" s="128">
        <v>884226</v>
      </c>
      <c r="Q288" s="413">
        <v>361589</v>
      </c>
      <c r="R288" s="128">
        <f t="shared" si="585"/>
        <v>5143757</v>
      </c>
      <c r="S288" s="128">
        <v>270430</v>
      </c>
      <c r="T288" s="128"/>
      <c r="U288" s="128"/>
      <c r="V288" s="128"/>
      <c r="W288" s="128"/>
      <c r="X288" s="128"/>
      <c r="Y288" s="128"/>
      <c r="Z288" s="128"/>
      <c r="AA288" s="128">
        <f t="shared" si="599"/>
        <v>270430</v>
      </c>
      <c r="AB288" s="128">
        <f t="shared" si="586"/>
        <v>5414187</v>
      </c>
      <c r="AC288" s="175">
        <v>0</v>
      </c>
    </row>
    <row r="289" spans="1:29" ht="14.25" x14ac:dyDescent="0.2">
      <c r="A289" s="396">
        <v>1</v>
      </c>
      <c r="B289" s="76" t="s">
        <v>755</v>
      </c>
      <c r="C289" s="77" t="s">
        <v>239</v>
      </c>
      <c r="D289" s="334"/>
      <c r="E289" s="188">
        <f>SUM('ADICIONES  2021'!C289:I289)</f>
        <v>0</v>
      </c>
      <c r="F289" s="128"/>
      <c r="G289" s="128"/>
      <c r="H289" s="128"/>
      <c r="I289" s="128"/>
      <c r="J289" s="128"/>
      <c r="K289" s="128">
        <f t="shared" si="579"/>
        <v>0</v>
      </c>
      <c r="L289" s="128">
        <v>376462.83</v>
      </c>
      <c r="M289" s="128">
        <v>138248</v>
      </c>
      <c r="N289" s="128">
        <v>136073</v>
      </c>
      <c r="O289" s="128">
        <v>296741.78999999998</v>
      </c>
      <c r="P289" s="128">
        <v>143867</v>
      </c>
      <c r="Q289" s="413">
        <v>187986.36</v>
      </c>
      <c r="R289" s="128">
        <f t="shared" si="585"/>
        <v>1279378.98</v>
      </c>
      <c r="S289" s="128">
        <v>371400.39</v>
      </c>
      <c r="T289" s="128"/>
      <c r="U289" s="128"/>
      <c r="V289" s="128"/>
      <c r="W289" s="128"/>
      <c r="X289" s="128"/>
      <c r="Y289" s="128"/>
      <c r="Z289" s="128"/>
      <c r="AA289" s="128">
        <f t="shared" si="599"/>
        <v>371400.39</v>
      </c>
      <c r="AB289" s="128">
        <f t="shared" si="586"/>
        <v>1650779.37</v>
      </c>
      <c r="AC289" s="175">
        <v>0</v>
      </c>
    </row>
    <row r="290" spans="1:29" ht="28.5" x14ac:dyDescent="0.2">
      <c r="A290" s="396">
        <v>1</v>
      </c>
      <c r="B290" s="76" t="s">
        <v>756</v>
      </c>
      <c r="C290" s="77" t="s">
        <v>757</v>
      </c>
      <c r="D290" s="334"/>
      <c r="E290" s="188">
        <f>SUM('ADICIONES  2021'!C290:I290)</f>
        <v>0</v>
      </c>
      <c r="F290" s="128"/>
      <c r="G290" s="128"/>
      <c r="H290" s="128"/>
      <c r="I290" s="128"/>
      <c r="J290" s="128"/>
      <c r="K290" s="128">
        <f t="shared" si="579"/>
        <v>0</v>
      </c>
      <c r="L290" s="128">
        <v>4625</v>
      </c>
      <c r="M290" s="128">
        <v>1467</v>
      </c>
      <c r="N290" s="128">
        <v>939</v>
      </c>
      <c r="O290" s="128">
        <v>845</v>
      </c>
      <c r="P290" s="128">
        <v>846</v>
      </c>
      <c r="Q290" s="413">
        <v>847</v>
      </c>
      <c r="R290" s="128">
        <f t="shared" si="585"/>
        <v>9569</v>
      </c>
      <c r="S290" s="128">
        <v>848</v>
      </c>
      <c r="T290" s="128"/>
      <c r="U290" s="128"/>
      <c r="V290" s="128"/>
      <c r="W290" s="128"/>
      <c r="X290" s="128"/>
      <c r="Y290" s="128"/>
      <c r="Z290" s="128"/>
      <c r="AA290" s="128">
        <f t="shared" si="599"/>
        <v>848</v>
      </c>
      <c r="AB290" s="128">
        <f t="shared" si="586"/>
        <v>10417</v>
      </c>
      <c r="AC290" s="175">
        <v>0</v>
      </c>
    </row>
    <row r="291" spans="1:29" ht="14.25" x14ac:dyDescent="0.2">
      <c r="A291" s="396">
        <v>1</v>
      </c>
      <c r="B291" s="76" t="s">
        <v>758</v>
      </c>
      <c r="C291" s="77" t="s">
        <v>759</v>
      </c>
      <c r="D291" s="334"/>
      <c r="E291" s="188">
        <f>SUM('ADICIONES  2021'!C291:I291)</f>
        <v>0</v>
      </c>
      <c r="F291" s="128"/>
      <c r="G291" s="128"/>
      <c r="H291" s="128"/>
      <c r="I291" s="128"/>
      <c r="J291" s="128"/>
      <c r="K291" s="128">
        <f t="shared" si="579"/>
        <v>0</v>
      </c>
      <c r="L291" s="128">
        <v>1880484</v>
      </c>
      <c r="M291" s="128">
        <v>1796516</v>
      </c>
      <c r="N291" s="128">
        <v>1799116</v>
      </c>
      <c r="O291" s="128">
        <v>1814924</v>
      </c>
      <c r="P291" s="128">
        <v>1833173</v>
      </c>
      <c r="Q291" s="413">
        <v>1852408</v>
      </c>
      <c r="R291" s="128">
        <f t="shared" si="585"/>
        <v>10976621</v>
      </c>
      <c r="S291" s="128">
        <v>1869532</v>
      </c>
      <c r="T291" s="128"/>
      <c r="U291" s="128"/>
      <c r="V291" s="128"/>
      <c r="W291" s="128"/>
      <c r="X291" s="128"/>
      <c r="Y291" s="128"/>
      <c r="Z291" s="128"/>
      <c r="AA291" s="128">
        <f t="shared" si="599"/>
        <v>1869532</v>
      </c>
      <c r="AB291" s="128">
        <f t="shared" si="586"/>
        <v>12846153</v>
      </c>
      <c r="AC291" s="175">
        <v>0</v>
      </c>
    </row>
    <row r="292" spans="1:29" ht="14.25" x14ac:dyDescent="0.2">
      <c r="A292" s="396">
        <v>1</v>
      </c>
      <c r="B292" s="76" t="s">
        <v>760</v>
      </c>
      <c r="C292" s="77" t="s">
        <v>761</v>
      </c>
      <c r="D292" s="334"/>
      <c r="E292" s="188">
        <f>SUM('ADICIONES  2021'!C292:I292)</f>
        <v>0</v>
      </c>
      <c r="F292" s="128"/>
      <c r="G292" s="128"/>
      <c r="H292" s="128"/>
      <c r="I292" s="128"/>
      <c r="J292" s="128"/>
      <c r="K292" s="128">
        <f t="shared" si="579"/>
        <v>0</v>
      </c>
      <c r="L292" s="128">
        <v>11953605</v>
      </c>
      <c r="M292" s="128">
        <v>10540464</v>
      </c>
      <c r="N292" s="128">
        <v>11038577</v>
      </c>
      <c r="O292" s="128">
        <v>10858581</v>
      </c>
      <c r="P292" s="128">
        <v>11811306</v>
      </c>
      <c r="Q292" s="413">
        <v>12640593</v>
      </c>
      <c r="R292" s="128">
        <f t="shared" si="585"/>
        <v>68843126</v>
      </c>
      <c r="S292" s="128">
        <v>10130661</v>
      </c>
      <c r="T292" s="128"/>
      <c r="U292" s="128"/>
      <c r="V292" s="128"/>
      <c r="W292" s="128"/>
      <c r="X292" s="128"/>
      <c r="Y292" s="128"/>
      <c r="Z292" s="128"/>
      <c r="AA292" s="128">
        <f t="shared" si="599"/>
        <v>10130661</v>
      </c>
      <c r="AB292" s="128">
        <f t="shared" si="586"/>
        <v>78973787</v>
      </c>
      <c r="AC292" s="175">
        <v>0</v>
      </c>
    </row>
    <row r="293" spans="1:29" ht="14.25" x14ac:dyDescent="0.2">
      <c r="A293" s="396">
        <v>1</v>
      </c>
      <c r="B293" s="76" t="s">
        <v>762</v>
      </c>
      <c r="C293" s="77" t="s">
        <v>763</v>
      </c>
      <c r="D293" s="334"/>
      <c r="E293" s="188">
        <f>SUM('ADICIONES  2021'!C293:I293)</f>
        <v>0</v>
      </c>
      <c r="F293" s="128"/>
      <c r="G293" s="128"/>
      <c r="H293" s="128"/>
      <c r="I293" s="128"/>
      <c r="J293" s="128"/>
      <c r="K293" s="128">
        <f t="shared" si="579"/>
        <v>0</v>
      </c>
      <c r="L293" s="128">
        <v>82487</v>
      </c>
      <c r="M293" s="128">
        <v>114936</v>
      </c>
      <c r="N293" s="128">
        <v>19296</v>
      </c>
      <c r="O293" s="128">
        <v>117797</v>
      </c>
      <c r="P293" s="128">
        <v>125259</v>
      </c>
      <c r="Q293" s="413">
        <v>220176</v>
      </c>
      <c r="R293" s="128">
        <f t="shared" si="585"/>
        <v>679951</v>
      </c>
      <c r="S293" s="128">
        <v>376968</v>
      </c>
      <c r="T293" s="128"/>
      <c r="U293" s="128"/>
      <c r="V293" s="128"/>
      <c r="W293" s="128"/>
      <c r="X293" s="128"/>
      <c r="Y293" s="128"/>
      <c r="Z293" s="128"/>
      <c r="AA293" s="128">
        <f t="shared" si="599"/>
        <v>376968</v>
      </c>
      <c r="AB293" s="128">
        <f t="shared" si="586"/>
        <v>1056919</v>
      </c>
      <c r="AC293" s="175">
        <v>0</v>
      </c>
    </row>
    <row r="294" spans="1:29" ht="14.25" x14ac:dyDescent="0.2">
      <c r="A294" s="396">
        <v>1</v>
      </c>
      <c r="B294" s="76" t="s">
        <v>764</v>
      </c>
      <c r="C294" s="77" t="s">
        <v>765</v>
      </c>
      <c r="D294" s="334"/>
      <c r="E294" s="188">
        <f>SUM('ADICIONES  2021'!C294:I294)</f>
        <v>0</v>
      </c>
      <c r="F294" s="128"/>
      <c r="G294" s="128"/>
      <c r="H294" s="128"/>
      <c r="I294" s="128"/>
      <c r="J294" s="128"/>
      <c r="K294" s="128">
        <f t="shared" si="579"/>
        <v>0</v>
      </c>
      <c r="L294" s="128">
        <v>403723</v>
      </c>
      <c r="M294" s="128">
        <v>359023</v>
      </c>
      <c r="N294" s="128">
        <v>651768</v>
      </c>
      <c r="O294" s="128">
        <v>625814</v>
      </c>
      <c r="P294" s="128">
        <v>634608</v>
      </c>
      <c r="Q294" s="413">
        <v>782892</v>
      </c>
      <c r="R294" s="128">
        <f t="shared" si="585"/>
        <v>3457828</v>
      </c>
      <c r="S294" s="128">
        <v>532402</v>
      </c>
      <c r="T294" s="128"/>
      <c r="U294" s="128"/>
      <c r="V294" s="128"/>
      <c r="W294" s="128"/>
      <c r="X294" s="128"/>
      <c r="Y294" s="128"/>
      <c r="Z294" s="128"/>
      <c r="AA294" s="128">
        <f t="shared" si="599"/>
        <v>532402</v>
      </c>
      <c r="AB294" s="128">
        <f t="shared" si="586"/>
        <v>3990230</v>
      </c>
      <c r="AC294" s="175">
        <v>0</v>
      </c>
    </row>
    <row r="295" spans="1:29" ht="14.25" x14ac:dyDescent="0.2">
      <c r="A295" s="396">
        <v>1</v>
      </c>
      <c r="B295" s="76" t="s">
        <v>766</v>
      </c>
      <c r="C295" s="77" t="s">
        <v>767</v>
      </c>
      <c r="D295" s="334">
        <v>105000000</v>
      </c>
      <c r="E295" s="188">
        <f>SUM('ADICIONES  2021'!C295:I295)</f>
        <v>0</v>
      </c>
      <c r="F295" s="128"/>
      <c r="G295" s="128"/>
      <c r="H295" s="128"/>
      <c r="I295" s="128"/>
      <c r="J295" s="128"/>
      <c r="K295" s="128">
        <f t="shared" si="579"/>
        <v>105000000</v>
      </c>
      <c r="L295" s="128">
        <v>7551521.0800000001</v>
      </c>
      <c r="M295" s="128">
        <v>7643048.7300000004</v>
      </c>
      <c r="N295" s="128">
        <v>7737505.6100000003</v>
      </c>
      <c r="O295" s="128">
        <v>9860214.2799999993</v>
      </c>
      <c r="P295" s="128">
        <v>8940849.2799999993</v>
      </c>
      <c r="Q295" s="413">
        <v>8928842.8200000003</v>
      </c>
      <c r="R295" s="128">
        <f t="shared" si="585"/>
        <v>50661981.800000004</v>
      </c>
      <c r="S295" s="128">
        <v>9711881.8499999996</v>
      </c>
      <c r="T295" s="128"/>
      <c r="U295" s="128"/>
      <c r="V295" s="128"/>
      <c r="W295" s="128"/>
      <c r="X295" s="128"/>
      <c r="Y295" s="128"/>
      <c r="Z295" s="128"/>
      <c r="AA295" s="128">
        <f t="shared" si="599"/>
        <v>9711881.8499999996</v>
      </c>
      <c r="AB295" s="128">
        <f t="shared" si="586"/>
        <v>60373863.650000006</v>
      </c>
      <c r="AC295" s="175">
        <f t="shared" ref="AC295:AC585" si="621">+AB295/K295</f>
        <v>0.57498917761904766</v>
      </c>
    </row>
    <row r="296" spans="1:29" ht="28.5" x14ac:dyDescent="0.2">
      <c r="A296" s="396">
        <v>1</v>
      </c>
      <c r="B296" s="76" t="s">
        <v>768</v>
      </c>
      <c r="C296" s="77" t="s">
        <v>769</v>
      </c>
      <c r="D296" s="334"/>
      <c r="E296" s="188">
        <f>SUM('ADICIONES  2021'!C296:I296)</f>
        <v>0</v>
      </c>
      <c r="F296" s="41"/>
      <c r="G296" s="41"/>
      <c r="H296" s="41"/>
      <c r="I296" s="41"/>
      <c r="J296" s="41"/>
      <c r="K296" s="128">
        <f t="shared" si="579"/>
        <v>0</v>
      </c>
      <c r="L296" s="41">
        <v>25515804.18</v>
      </c>
      <c r="M296" s="41">
        <v>21941618.43</v>
      </c>
      <c r="N296" s="41">
        <v>23479216.600000001</v>
      </c>
      <c r="O296" s="41">
        <v>21639386.52</v>
      </c>
      <c r="P296" s="41">
        <v>23034845.399999999</v>
      </c>
      <c r="Q296" s="409">
        <v>23864084.489999998</v>
      </c>
      <c r="R296" s="128">
        <f t="shared" si="585"/>
        <v>139474955.62</v>
      </c>
      <c r="S296" s="41">
        <v>25122955.34</v>
      </c>
      <c r="T296" s="41"/>
      <c r="U296" s="41"/>
      <c r="V296" s="41"/>
      <c r="W296" s="41"/>
      <c r="X296" s="41"/>
      <c r="Y296" s="41"/>
      <c r="Z296" s="41"/>
      <c r="AA296" s="128">
        <f t="shared" si="599"/>
        <v>25122955.34</v>
      </c>
      <c r="AB296" s="128">
        <f t="shared" si="586"/>
        <v>164597910.96000001</v>
      </c>
      <c r="AC296" s="175">
        <v>0</v>
      </c>
    </row>
    <row r="297" spans="1:29" ht="14.25" x14ac:dyDescent="0.2">
      <c r="A297" s="396">
        <v>1</v>
      </c>
      <c r="B297" s="76" t="s">
        <v>770</v>
      </c>
      <c r="C297" s="77" t="s">
        <v>771</v>
      </c>
      <c r="D297" s="334"/>
      <c r="E297" s="188">
        <f>SUM('ADICIONES  2021'!C297:I297)</f>
        <v>0</v>
      </c>
      <c r="F297" s="41"/>
      <c r="G297" s="41"/>
      <c r="H297" s="41"/>
      <c r="I297" s="41"/>
      <c r="J297" s="41"/>
      <c r="K297" s="128">
        <f t="shared" si="579"/>
        <v>0</v>
      </c>
      <c r="L297" s="41">
        <v>1380773.39</v>
      </c>
      <c r="M297" s="41">
        <v>1258288.05</v>
      </c>
      <c r="N297" s="41">
        <v>2008440.14</v>
      </c>
      <c r="O297" s="41">
        <v>2219638</v>
      </c>
      <c r="P297" s="41">
        <v>2511381.12</v>
      </c>
      <c r="Q297" s="409">
        <v>2524962.7599999998</v>
      </c>
      <c r="R297" s="128">
        <f t="shared" si="585"/>
        <v>11903483.459999999</v>
      </c>
      <c r="S297" s="41">
        <v>2722750.97</v>
      </c>
      <c r="T297" s="41"/>
      <c r="U297" s="41"/>
      <c r="V297" s="41"/>
      <c r="W297" s="41"/>
      <c r="X297" s="41"/>
      <c r="Y297" s="41"/>
      <c r="Z297" s="41"/>
      <c r="AA297" s="128">
        <f t="shared" si="599"/>
        <v>2722750.97</v>
      </c>
      <c r="AB297" s="128">
        <f t="shared" si="586"/>
        <v>14626234.43</v>
      </c>
      <c r="AC297" s="175">
        <v>0</v>
      </c>
    </row>
    <row r="298" spans="1:29" ht="14.25" x14ac:dyDescent="0.2">
      <c r="A298" s="396">
        <v>1</v>
      </c>
      <c r="B298" s="76" t="s">
        <v>772</v>
      </c>
      <c r="C298" s="77" t="s">
        <v>773</v>
      </c>
      <c r="D298" s="334"/>
      <c r="E298" s="188">
        <f>SUM('ADICIONES  2021'!C298:I298)</f>
        <v>0</v>
      </c>
      <c r="F298" s="128"/>
      <c r="G298" s="128"/>
      <c r="H298" s="128"/>
      <c r="I298" s="128"/>
      <c r="J298" s="128"/>
      <c r="K298" s="128">
        <f t="shared" si="579"/>
        <v>0</v>
      </c>
      <c r="L298" s="128">
        <v>325794.93</v>
      </c>
      <c r="M298" s="128">
        <v>311112.25</v>
      </c>
      <c r="N298" s="128">
        <v>272886.88</v>
      </c>
      <c r="O298" s="128">
        <v>226634.71</v>
      </c>
      <c r="P298" s="128">
        <v>234313.84</v>
      </c>
      <c r="Q298" s="413">
        <v>225489.87</v>
      </c>
      <c r="R298" s="128">
        <f t="shared" si="585"/>
        <v>1596232.48</v>
      </c>
      <c r="S298" s="128">
        <v>233781.09</v>
      </c>
      <c r="T298" s="128"/>
      <c r="U298" s="128"/>
      <c r="V298" s="128"/>
      <c r="W298" s="128"/>
      <c r="X298" s="128"/>
      <c r="Y298" s="128"/>
      <c r="Z298" s="128"/>
      <c r="AA298" s="128">
        <f t="shared" si="599"/>
        <v>233781.09</v>
      </c>
      <c r="AB298" s="128">
        <f t="shared" si="586"/>
        <v>1830013.57</v>
      </c>
      <c r="AC298" s="175">
        <v>0</v>
      </c>
    </row>
    <row r="299" spans="1:29" ht="14.25" x14ac:dyDescent="0.2">
      <c r="A299" s="396">
        <v>1</v>
      </c>
      <c r="B299" s="76" t="s">
        <v>774</v>
      </c>
      <c r="C299" s="77" t="s">
        <v>775</v>
      </c>
      <c r="D299" s="334"/>
      <c r="E299" s="188">
        <f>SUM('ADICIONES  2021'!C299:I299)</f>
        <v>0</v>
      </c>
      <c r="F299" s="128"/>
      <c r="G299" s="128"/>
      <c r="H299" s="128"/>
      <c r="I299" s="128"/>
      <c r="J299" s="128"/>
      <c r="K299" s="128">
        <f t="shared" si="579"/>
        <v>0</v>
      </c>
      <c r="L299" s="128">
        <v>273915.24</v>
      </c>
      <c r="M299" s="128">
        <v>127652</v>
      </c>
      <c r="N299" s="128">
        <v>285298.40999999997</v>
      </c>
      <c r="O299" s="128">
        <v>276299.05</v>
      </c>
      <c r="P299" s="128">
        <v>285720.76</v>
      </c>
      <c r="Q299" s="413">
        <v>261230.71</v>
      </c>
      <c r="R299" s="128">
        <f t="shared" si="585"/>
        <v>1510116.17</v>
      </c>
      <c r="S299" s="128">
        <v>286113.34999999998</v>
      </c>
      <c r="T299" s="128"/>
      <c r="U299" s="128"/>
      <c r="V299" s="128"/>
      <c r="W299" s="128"/>
      <c r="X299" s="128"/>
      <c r="Y299" s="128"/>
      <c r="Z299" s="128"/>
      <c r="AA299" s="128">
        <f t="shared" si="599"/>
        <v>286113.34999999998</v>
      </c>
      <c r="AB299" s="128">
        <f t="shared" si="586"/>
        <v>1796229.52</v>
      </c>
      <c r="AC299" s="175">
        <v>0</v>
      </c>
    </row>
    <row r="300" spans="1:29" ht="14.25" x14ac:dyDescent="0.2">
      <c r="A300" s="396">
        <v>1</v>
      </c>
      <c r="B300" s="76" t="s">
        <v>776</v>
      </c>
      <c r="C300" s="77" t="s">
        <v>777</v>
      </c>
      <c r="D300" s="334"/>
      <c r="E300" s="188">
        <f>SUM('ADICIONES  2021'!C300:I300)</f>
        <v>0</v>
      </c>
      <c r="F300" s="128"/>
      <c r="G300" s="128"/>
      <c r="H300" s="128"/>
      <c r="I300" s="128"/>
      <c r="J300" s="128"/>
      <c r="K300" s="128">
        <f t="shared" si="579"/>
        <v>0</v>
      </c>
      <c r="L300" s="128">
        <v>140881</v>
      </c>
      <c r="M300" s="128">
        <v>62813</v>
      </c>
      <c r="N300" s="128">
        <v>33292</v>
      </c>
      <c r="O300" s="128">
        <v>29278</v>
      </c>
      <c r="P300" s="128">
        <v>26227</v>
      </c>
      <c r="Q300" s="413">
        <v>24282</v>
      </c>
      <c r="R300" s="128">
        <f t="shared" si="585"/>
        <v>316773</v>
      </c>
      <c r="S300" s="128">
        <v>24118</v>
      </c>
      <c r="T300" s="128"/>
      <c r="U300" s="128"/>
      <c r="V300" s="128"/>
      <c r="W300" s="128"/>
      <c r="X300" s="128"/>
      <c r="Y300" s="128"/>
      <c r="Z300" s="128"/>
      <c r="AA300" s="128">
        <f t="shared" si="599"/>
        <v>24118</v>
      </c>
      <c r="AB300" s="128">
        <f t="shared" si="586"/>
        <v>340891</v>
      </c>
      <c r="AC300" s="175">
        <v>0</v>
      </c>
    </row>
    <row r="301" spans="1:29" ht="14.25" x14ac:dyDescent="0.2">
      <c r="A301" s="396">
        <v>1</v>
      </c>
      <c r="B301" s="76" t="s">
        <v>778</v>
      </c>
      <c r="C301" s="77" t="s">
        <v>779</v>
      </c>
      <c r="D301" s="334"/>
      <c r="E301" s="188">
        <f>SUM('ADICIONES  2021'!C301:I301)</f>
        <v>0</v>
      </c>
      <c r="F301" s="41"/>
      <c r="G301" s="41"/>
      <c r="H301" s="41"/>
      <c r="I301" s="41"/>
      <c r="J301" s="41"/>
      <c r="K301" s="128">
        <f t="shared" si="579"/>
        <v>0</v>
      </c>
      <c r="L301" s="41">
        <v>22621270.829999998</v>
      </c>
      <c r="M301" s="41">
        <v>6448772.7000000002</v>
      </c>
      <c r="N301" s="41">
        <v>6652316.3099999996</v>
      </c>
      <c r="O301" s="41">
        <v>6493682.4900000002</v>
      </c>
      <c r="P301" s="41">
        <v>6744436.7199999997</v>
      </c>
      <c r="Q301" s="409">
        <v>7416104.5899999999</v>
      </c>
      <c r="R301" s="128">
        <f t="shared" si="585"/>
        <v>56376583.640000001</v>
      </c>
      <c r="S301" s="41">
        <v>4937261.8600000003</v>
      </c>
      <c r="T301" s="41"/>
      <c r="U301" s="41"/>
      <c r="V301" s="41"/>
      <c r="W301" s="41"/>
      <c r="X301" s="41"/>
      <c r="Y301" s="41"/>
      <c r="Z301" s="41"/>
      <c r="AA301" s="128">
        <f t="shared" si="599"/>
        <v>4937261.8600000003</v>
      </c>
      <c r="AB301" s="128">
        <f t="shared" si="586"/>
        <v>61313845.5</v>
      </c>
      <c r="AC301" s="175">
        <v>0</v>
      </c>
    </row>
    <row r="302" spans="1:29" ht="14.25" x14ac:dyDescent="0.2">
      <c r="A302" s="396">
        <v>1</v>
      </c>
      <c r="B302" s="76" t="s">
        <v>780</v>
      </c>
      <c r="C302" s="77" t="s">
        <v>781</v>
      </c>
      <c r="D302" s="334"/>
      <c r="E302" s="188">
        <f>SUM('ADICIONES  2021'!C302:I302)</f>
        <v>0</v>
      </c>
      <c r="F302" s="41"/>
      <c r="G302" s="41"/>
      <c r="H302" s="41"/>
      <c r="I302" s="41"/>
      <c r="J302" s="41"/>
      <c r="K302" s="128">
        <f t="shared" si="579"/>
        <v>0</v>
      </c>
      <c r="L302" s="41">
        <v>113354</v>
      </c>
      <c r="M302" s="41">
        <v>89068</v>
      </c>
      <c r="N302" s="41">
        <v>98023</v>
      </c>
      <c r="O302" s="41">
        <v>94362</v>
      </c>
      <c r="P302" s="41">
        <v>97077</v>
      </c>
      <c r="Q302" s="409">
        <v>175889</v>
      </c>
      <c r="R302" s="128">
        <f t="shared" si="585"/>
        <v>667773</v>
      </c>
      <c r="S302" s="41">
        <v>95309</v>
      </c>
      <c r="T302" s="41"/>
      <c r="U302" s="41"/>
      <c r="V302" s="41"/>
      <c r="W302" s="41"/>
      <c r="X302" s="41"/>
      <c r="Y302" s="41"/>
      <c r="Z302" s="41"/>
      <c r="AA302" s="128">
        <f t="shared" si="599"/>
        <v>95309</v>
      </c>
      <c r="AB302" s="128">
        <f t="shared" si="586"/>
        <v>763082</v>
      </c>
      <c r="AC302" s="175">
        <v>0</v>
      </c>
    </row>
    <row r="303" spans="1:29" ht="28.5" x14ac:dyDescent="0.2">
      <c r="A303" s="396">
        <v>1</v>
      </c>
      <c r="B303" s="76" t="s">
        <v>782</v>
      </c>
      <c r="C303" s="77" t="s">
        <v>783</v>
      </c>
      <c r="D303" s="334"/>
      <c r="E303" s="188">
        <f>SUM('ADICIONES  2021'!C303:I303)</f>
        <v>0</v>
      </c>
      <c r="F303" s="41"/>
      <c r="G303" s="41"/>
      <c r="H303" s="41"/>
      <c r="I303" s="41"/>
      <c r="J303" s="41"/>
      <c r="K303" s="128">
        <f t="shared" si="579"/>
        <v>0</v>
      </c>
      <c r="L303" s="41">
        <v>1771186.28</v>
      </c>
      <c r="M303" s="41">
        <v>1944685.24</v>
      </c>
      <c r="N303" s="41">
        <v>2068896.59</v>
      </c>
      <c r="O303" s="41">
        <v>2494961.9300000002</v>
      </c>
      <c r="P303" s="41">
        <v>3494813.14</v>
      </c>
      <c r="Q303" s="409">
        <v>4352196.04</v>
      </c>
      <c r="R303" s="128">
        <f t="shared" si="585"/>
        <v>16126739.220000003</v>
      </c>
      <c r="S303" s="41">
        <v>5216712.4800000004</v>
      </c>
      <c r="T303" s="41"/>
      <c r="U303" s="41"/>
      <c r="V303" s="41"/>
      <c r="W303" s="41"/>
      <c r="X303" s="41"/>
      <c r="Y303" s="41"/>
      <c r="Z303" s="41"/>
      <c r="AA303" s="128">
        <f t="shared" si="599"/>
        <v>5216712.4800000004</v>
      </c>
      <c r="AB303" s="128">
        <f t="shared" si="586"/>
        <v>21343451.700000003</v>
      </c>
      <c r="AC303" s="175">
        <v>0</v>
      </c>
    </row>
    <row r="304" spans="1:29" ht="14.25" x14ac:dyDescent="0.2">
      <c r="A304" s="396">
        <v>1</v>
      </c>
      <c r="B304" s="76" t="s">
        <v>784</v>
      </c>
      <c r="C304" s="77" t="s">
        <v>785</v>
      </c>
      <c r="D304" s="334"/>
      <c r="E304" s="188">
        <f>SUM('ADICIONES  2021'!C304:I304)</f>
        <v>0</v>
      </c>
      <c r="F304" s="128"/>
      <c r="G304" s="128"/>
      <c r="H304" s="128"/>
      <c r="I304" s="128"/>
      <c r="J304" s="128"/>
      <c r="K304" s="128">
        <f t="shared" si="579"/>
        <v>0</v>
      </c>
      <c r="L304" s="128">
        <v>8521014</v>
      </c>
      <c r="M304" s="128">
        <v>5446204</v>
      </c>
      <c r="N304" s="128">
        <v>6539234</v>
      </c>
      <c r="O304" s="128">
        <v>6449821</v>
      </c>
      <c r="P304" s="128">
        <v>6285645</v>
      </c>
      <c r="Q304" s="413">
        <v>3776967</v>
      </c>
      <c r="R304" s="128">
        <f t="shared" si="585"/>
        <v>37018885</v>
      </c>
      <c r="S304" s="128">
        <v>3952027</v>
      </c>
      <c r="T304" s="128"/>
      <c r="U304" s="128"/>
      <c r="V304" s="128"/>
      <c r="W304" s="128"/>
      <c r="X304" s="128"/>
      <c r="Y304" s="128"/>
      <c r="Z304" s="128"/>
      <c r="AA304" s="128">
        <f t="shared" si="599"/>
        <v>3952027</v>
      </c>
      <c r="AB304" s="128">
        <f t="shared" si="586"/>
        <v>40970912</v>
      </c>
      <c r="AC304" s="175">
        <v>0</v>
      </c>
    </row>
    <row r="305" spans="1:29" ht="14.25" x14ac:dyDescent="0.2">
      <c r="A305" s="396">
        <v>1</v>
      </c>
      <c r="B305" s="76" t="s">
        <v>786</v>
      </c>
      <c r="C305" s="77" t="s">
        <v>787</v>
      </c>
      <c r="D305" s="334"/>
      <c r="E305" s="188">
        <f>SUM('ADICIONES  2021'!C305:I305)</f>
        <v>0</v>
      </c>
      <c r="F305" s="128"/>
      <c r="G305" s="128"/>
      <c r="H305" s="128"/>
      <c r="I305" s="128"/>
      <c r="J305" s="128"/>
      <c r="K305" s="128">
        <f t="shared" si="579"/>
        <v>0</v>
      </c>
      <c r="L305" s="128">
        <v>28883</v>
      </c>
      <c r="M305" s="128">
        <v>24573</v>
      </c>
      <c r="N305" s="128">
        <v>23826</v>
      </c>
      <c r="O305" s="128">
        <v>23778</v>
      </c>
      <c r="P305" s="128">
        <v>23805</v>
      </c>
      <c r="Q305" s="413">
        <v>23833</v>
      </c>
      <c r="R305" s="128">
        <f t="shared" si="585"/>
        <v>148698</v>
      </c>
      <c r="S305" s="128">
        <v>23860</v>
      </c>
      <c r="T305" s="128"/>
      <c r="U305" s="128"/>
      <c r="V305" s="128"/>
      <c r="W305" s="128"/>
      <c r="X305" s="128"/>
      <c r="Y305" s="128"/>
      <c r="Z305" s="128"/>
      <c r="AA305" s="128">
        <f t="shared" si="599"/>
        <v>23860</v>
      </c>
      <c r="AB305" s="128">
        <f t="shared" si="586"/>
        <v>172558</v>
      </c>
      <c r="AC305" s="175">
        <v>0</v>
      </c>
    </row>
    <row r="306" spans="1:29" ht="14.25" x14ac:dyDescent="0.2">
      <c r="A306" s="396">
        <v>1</v>
      </c>
      <c r="B306" s="76" t="s">
        <v>788</v>
      </c>
      <c r="C306" s="77" t="s">
        <v>330</v>
      </c>
      <c r="D306" s="334"/>
      <c r="E306" s="188">
        <f>SUM('ADICIONES  2021'!C306:I306)</f>
        <v>0</v>
      </c>
      <c r="F306" s="41"/>
      <c r="G306" s="41"/>
      <c r="H306" s="41"/>
      <c r="I306" s="41"/>
      <c r="J306" s="41"/>
      <c r="K306" s="128">
        <f t="shared" si="579"/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09">
        <v>0</v>
      </c>
      <c r="R306" s="128">
        <f t="shared" si="585"/>
        <v>0</v>
      </c>
      <c r="S306" s="41">
        <v>0</v>
      </c>
      <c r="T306" s="41"/>
      <c r="U306" s="41"/>
      <c r="V306" s="41"/>
      <c r="W306" s="41"/>
      <c r="X306" s="41"/>
      <c r="Y306" s="41"/>
      <c r="Z306" s="41"/>
      <c r="AA306" s="128">
        <f t="shared" si="599"/>
        <v>0</v>
      </c>
      <c r="AB306" s="128">
        <f t="shared" si="586"/>
        <v>0</v>
      </c>
      <c r="AC306" s="175">
        <v>0</v>
      </c>
    </row>
    <row r="307" spans="1:29" ht="14.25" x14ac:dyDescent="0.2">
      <c r="A307" s="396">
        <v>1</v>
      </c>
      <c r="B307" s="76" t="s">
        <v>789</v>
      </c>
      <c r="C307" s="77" t="s">
        <v>331</v>
      </c>
      <c r="D307" s="334"/>
      <c r="E307" s="188">
        <f>SUM('ADICIONES  2021'!C307:I307)</f>
        <v>0</v>
      </c>
      <c r="F307" s="41"/>
      <c r="G307" s="41"/>
      <c r="H307" s="41"/>
      <c r="I307" s="41"/>
      <c r="J307" s="41"/>
      <c r="K307" s="128">
        <f t="shared" si="579"/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09">
        <v>0</v>
      </c>
      <c r="R307" s="128">
        <f t="shared" si="585"/>
        <v>0</v>
      </c>
      <c r="S307" s="41">
        <v>0</v>
      </c>
      <c r="T307" s="41"/>
      <c r="U307" s="41"/>
      <c r="V307" s="41"/>
      <c r="W307" s="41"/>
      <c r="X307" s="41"/>
      <c r="Y307" s="41"/>
      <c r="Z307" s="41"/>
      <c r="AA307" s="128">
        <f t="shared" si="599"/>
        <v>0</v>
      </c>
      <c r="AB307" s="128">
        <f t="shared" si="586"/>
        <v>0</v>
      </c>
      <c r="AC307" s="175">
        <v>0</v>
      </c>
    </row>
    <row r="308" spans="1:29" ht="14.25" x14ac:dyDescent="0.2">
      <c r="A308" s="396">
        <v>1</v>
      </c>
      <c r="B308" s="76" t="s">
        <v>790</v>
      </c>
      <c r="C308" s="77" t="s">
        <v>332</v>
      </c>
      <c r="D308" s="334"/>
      <c r="E308" s="188">
        <f>SUM('ADICIONES  2021'!C308:I308)</f>
        <v>0</v>
      </c>
      <c r="F308" s="41"/>
      <c r="G308" s="41"/>
      <c r="H308" s="41"/>
      <c r="I308" s="41"/>
      <c r="J308" s="41"/>
      <c r="K308" s="128">
        <f t="shared" si="579"/>
        <v>0</v>
      </c>
      <c r="L308" s="41">
        <v>46107428</v>
      </c>
      <c r="M308" s="41">
        <v>27986004</v>
      </c>
      <c r="N308" s="41">
        <v>28040546</v>
      </c>
      <c r="O308" s="41">
        <v>27110162</v>
      </c>
      <c r="P308" s="41">
        <v>20345247</v>
      </c>
      <c r="Q308" s="409">
        <v>27382945</v>
      </c>
      <c r="R308" s="128">
        <f t="shared" si="585"/>
        <v>176972332</v>
      </c>
      <c r="S308" s="41">
        <v>42320399</v>
      </c>
      <c r="T308" s="41"/>
      <c r="U308" s="41"/>
      <c r="V308" s="41"/>
      <c r="W308" s="41"/>
      <c r="X308" s="41"/>
      <c r="Y308" s="41"/>
      <c r="Z308" s="41"/>
      <c r="AA308" s="128">
        <f t="shared" si="599"/>
        <v>42320399</v>
      </c>
      <c r="AB308" s="128">
        <f t="shared" si="586"/>
        <v>219292731</v>
      </c>
      <c r="AC308" s="175">
        <v>0</v>
      </c>
    </row>
    <row r="309" spans="1:29" ht="14.25" x14ac:dyDescent="0.2">
      <c r="A309" s="396">
        <v>1</v>
      </c>
      <c r="B309" s="76" t="s">
        <v>790</v>
      </c>
      <c r="C309" s="77" t="s">
        <v>332</v>
      </c>
      <c r="D309" s="334"/>
      <c r="E309" s="188">
        <f>SUM('ADICIONES  2021'!C309:I309)</f>
        <v>1863176</v>
      </c>
      <c r="F309" s="41"/>
      <c r="G309" s="41"/>
      <c r="H309" s="41"/>
      <c r="I309" s="41"/>
      <c r="J309" s="41"/>
      <c r="K309" s="128">
        <f t="shared" si="579"/>
        <v>1863176</v>
      </c>
      <c r="L309" s="41"/>
      <c r="M309" s="41"/>
      <c r="N309" s="41"/>
      <c r="O309" s="41">
        <v>0</v>
      </c>
      <c r="P309" s="41">
        <v>0</v>
      </c>
      <c r="Q309" s="409">
        <v>0</v>
      </c>
      <c r="R309" s="128">
        <f t="shared" si="585"/>
        <v>0</v>
      </c>
      <c r="S309" s="41">
        <v>0</v>
      </c>
      <c r="T309" s="41"/>
      <c r="U309" s="41"/>
      <c r="V309" s="41"/>
      <c r="W309" s="41"/>
      <c r="X309" s="41"/>
      <c r="Y309" s="41"/>
      <c r="Z309" s="41"/>
      <c r="AA309" s="128">
        <f t="shared" si="599"/>
        <v>0</v>
      </c>
      <c r="AB309" s="128">
        <f t="shared" si="586"/>
        <v>0</v>
      </c>
      <c r="AC309" s="175">
        <v>1</v>
      </c>
    </row>
    <row r="310" spans="1:29" ht="14.25" x14ac:dyDescent="0.2">
      <c r="A310" s="396">
        <v>1</v>
      </c>
      <c r="B310" s="76" t="s">
        <v>791</v>
      </c>
      <c r="C310" s="77" t="s">
        <v>333</v>
      </c>
      <c r="D310" s="334"/>
      <c r="E310" s="188">
        <f>SUM('ADICIONES  2021'!C310:I310)</f>
        <v>0</v>
      </c>
      <c r="F310" s="41"/>
      <c r="G310" s="41"/>
      <c r="H310" s="41"/>
      <c r="I310" s="41"/>
      <c r="J310" s="41"/>
      <c r="K310" s="128">
        <f t="shared" si="579"/>
        <v>0</v>
      </c>
      <c r="L310" s="41">
        <v>399214</v>
      </c>
      <c r="M310" s="41">
        <v>302816</v>
      </c>
      <c r="N310" s="41">
        <v>352834</v>
      </c>
      <c r="O310" s="41">
        <v>383729</v>
      </c>
      <c r="P310" s="41">
        <v>391461</v>
      </c>
      <c r="Q310" s="409">
        <v>147398</v>
      </c>
      <c r="R310" s="128">
        <f t="shared" si="585"/>
        <v>1977452</v>
      </c>
      <c r="S310" s="41">
        <v>147398</v>
      </c>
      <c r="T310" s="41"/>
      <c r="U310" s="41"/>
      <c r="V310" s="41"/>
      <c r="W310" s="41"/>
      <c r="X310" s="41"/>
      <c r="Y310" s="41"/>
      <c r="Z310" s="41"/>
      <c r="AA310" s="128">
        <f t="shared" si="599"/>
        <v>147398</v>
      </c>
      <c r="AB310" s="128">
        <f t="shared" si="586"/>
        <v>2124850</v>
      </c>
      <c r="AC310" s="175">
        <v>0</v>
      </c>
    </row>
    <row r="311" spans="1:29" ht="28.5" x14ac:dyDescent="0.2">
      <c r="A311" s="396">
        <v>1</v>
      </c>
      <c r="B311" s="76" t="s">
        <v>792</v>
      </c>
      <c r="C311" s="77" t="s">
        <v>334</v>
      </c>
      <c r="D311" s="334"/>
      <c r="E311" s="188">
        <f>SUM('ADICIONES  2021'!C311:I311)</f>
        <v>0</v>
      </c>
      <c r="F311" s="41"/>
      <c r="G311" s="41"/>
      <c r="H311" s="41"/>
      <c r="I311" s="41"/>
      <c r="J311" s="41"/>
      <c r="K311" s="128">
        <f t="shared" si="579"/>
        <v>0</v>
      </c>
      <c r="L311" s="41">
        <v>2922013</v>
      </c>
      <c r="M311" s="41">
        <v>1735292</v>
      </c>
      <c r="N311" s="41">
        <v>1876976</v>
      </c>
      <c r="O311" s="41">
        <v>1974655</v>
      </c>
      <c r="P311" s="41">
        <v>2391033</v>
      </c>
      <c r="Q311" s="409">
        <v>3209100</v>
      </c>
      <c r="R311" s="128">
        <f t="shared" si="585"/>
        <v>14109069</v>
      </c>
      <c r="S311" s="41">
        <v>2270734</v>
      </c>
      <c r="T311" s="41"/>
      <c r="U311" s="41"/>
      <c r="V311" s="41"/>
      <c r="W311" s="41"/>
      <c r="X311" s="41"/>
      <c r="Y311" s="41"/>
      <c r="Z311" s="41"/>
      <c r="AA311" s="128">
        <f t="shared" si="599"/>
        <v>2270734</v>
      </c>
      <c r="AB311" s="128">
        <f t="shared" si="586"/>
        <v>16379803</v>
      </c>
      <c r="AC311" s="175">
        <v>0</v>
      </c>
    </row>
    <row r="312" spans="1:29" ht="14.25" x14ac:dyDescent="0.2">
      <c r="A312" s="396">
        <v>1</v>
      </c>
      <c r="B312" s="76" t="s">
        <v>793</v>
      </c>
      <c r="C312" s="77" t="s">
        <v>335</v>
      </c>
      <c r="D312" s="334"/>
      <c r="E312" s="188">
        <f>SUM('ADICIONES  2021'!C312:I312)</f>
        <v>0</v>
      </c>
      <c r="F312" s="41"/>
      <c r="G312" s="41"/>
      <c r="H312" s="41"/>
      <c r="I312" s="41"/>
      <c r="J312" s="41"/>
      <c r="K312" s="128">
        <f t="shared" si="579"/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09">
        <v>0</v>
      </c>
      <c r="R312" s="128">
        <f t="shared" si="585"/>
        <v>0</v>
      </c>
      <c r="S312" s="41">
        <v>0</v>
      </c>
      <c r="T312" s="41"/>
      <c r="U312" s="41"/>
      <c r="V312" s="41"/>
      <c r="W312" s="41"/>
      <c r="X312" s="41"/>
      <c r="Y312" s="41"/>
      <c r="Z312" s="41"/>
      <c r="AA312" s="128">
        <f t="shared" si="599"/>
        <v>0</v>
      </c>
      <c r="AB312" s="128">
        <f t="shared" si="586"/>
        <v>0</v>
      </c>
      <c r="AC312" s="175">
        <v>0</v>
      </c>
    </row>
    <row r="313" spans="1:29" ht="14.25" x14ac:dyDescent="0.2">
      <c r="A313" s="396">
        <v>1</v>
      </c>
      <c r="B313" s="76" t="s">
        <v>794</v>
      </c>
      <c r="C313" s="77" t="s">
        <v>336</v>
      </c>
      <c r="D313" s="334"/>
      <c r="E313" s="188">
        <f>SUM('ADICIONES  2021'!C313:I313)</f>
        <v>0</v>
      </c>
      <c r="F313" s="41"/>
      <c r="G313" s="41"/>
      <c r="H313" s="41"/>
      <c r="I313" s="41"/>
      <c r="J313" s="41"/>
      <c r="K313" s="128">
        <f t="shared" si="579"/>
        <v>0</v>
      </c>
      <c r="L313" s="41">
        <v>619150</v>
      </c>
      <c r="M313" s="41">
        <v>504283</v>
      </c>
      <c r="N313" s="41">
        <v>553402</v>
      </c>
      <c r="O313" s="41">
        <v>536697</v>
      </c>
      <c r="P313" s="41">
        <v>568828</v>
      </c>
      <c r="Q313" s="409">
        <v>595194</v>
      </c>
      <c r="R313" s="128">
        <f t="shared" si="585"/>
        <v>3377554</v>
      </c>
      <c r="S313" s="41">
        <v>616320</v>
      </c>
      <c r="T313" s="41"/>
      <c r="U313" s="41"/>
      <c r="V313" s="41"/>
      <c r="W313" s="41"/>
      <c r="X313" s="41"/>
      <c r="Y313" s="41"/>
      <c r="Z313" s="41"/>
      <c r="AA313" s="128">
        <f t="shared" si="599"/>
        <v>616320</v>
      </c>
      <c r="AB313" s="128">
        <f t="shared" si="586"/>
        <v>3993874</v>
      </c>
      <c r="AC313" s="175">
        <v>0</v>
      </c>
    </row>
    <row r="314" spans="1:29" ht="28.5" x14ac:dyDescent="0.2">
      <c r="A314" s="396">
        <v>1</v>
      </c>
      <c r="B314" s="76" t="s">
        <v>795</v>
      </c>
      <c r="C314" s="77" t="s">
        <v>337</v>
      </c>
      <c r="D314" s="334"/>
      <c r="E314" s="188">
        <f>SUM('ADICIONES  2021'!C314:I314)</f>
        <v>0</v>
      </c>
      <c r="F314" s="41"/>
      <c r="G314" s="41"/>
      <c r="H314" s="41"/>
      <c r="I314" s="41"/>
      <c r="J314" s="41"/>
      <c r="K314" s="128">
        <f t="shared" si="579"/>
        <v>0</v>
      </c>
      <c r="L314" s="41">
        <v>69314.44</v>
      </c>
      <c r="M314" s="41">
        <v>58470.99</v>
      </c>
      <c r="N314" s="41">
        <v>61645.57</v>
      </c>
      <c r="O314" s="41">
        <v>16173.2</v>
      </c>
      <c r="P314" s="41">
        <v>530.98</v>
      </c>
      <c r="Q314" s="409">
        <v>484.33</v>
      </c>
      <c r="R314" s="128">
        <f t="shared" si="585"/>
        <v>206619.51</v>
      </c>
      <c r="S314" s="41">
        <v>367.7</v>
      </c>
      <c r="T314" s="41"/>
      <c r="U314" s="41"/>
      <c r="V314" s="41"/>
      <c r="W314" s="41"/>
      <c r="X314" s="41"/>
      <c r="Y314" s="41"/>
      <c r="Z314" s="41"/>
      <c r="AA314" s="128">
        <f t="shared" si="599"/>
        <v>367.7</v>
      </c>
      <c r="AB314" s="128">
        <f t="shared" si="586"/>
        <v>206987.21000000002</v>
      </c>
      <c r="AC314" s="175">
        <v>0</v>
      </c>
    </row>
    <row r="315" spans="1:29" ht="28.5" x14ac:dyDescent="0.2">
      <c r="A315" s="396">
        <v>1</v>
      </c>
      <c r="B315" s="76" t="s">
        <v>796</v>
      </c>
      <c r="C315" s="77" t="s">
        <v>338</v>
      </c>
      <c r="D315" s="334"/>
      <c r="E315" s="188">
        <f>SUM('ADICIONES  2021'!C315:I315)</f>
        <v>0</v>
      </c>
      <c r="F315" s="41"/>
      <c r="G315" s="41"/>
      <c r="H315" s="41"/>
      <c r="I315" s="41"/>
      <c r="J315" s="41"/>
      <c r="K315" s="128">
        <f t="shared" si="579"/>
        <v>0</v>
      </c>
      <c r="L315" s="41">
        <v>18527848.949999999</v>
      </c>
      <c r="M315" s="41">
        <v>16474518.880000001</v>
      </c>
      <c r="N315" s="41">
        <v>9998075.9900000002</v>
      </c>
      <c r="O315" s="41">
        <v>9132826.0299999993</v>
      </c>
      <c r="P315" s="41">
        <v>8435357.9800000004</v>
      </c>
      <c r="Q315" s="409">
        <v>7505162.1900000004</v>
      </c>
      <c r="R315" s="128">
        <f t="shared" si="585"/>
        <v>70073790.019999996</v>
      </c>
      <c r="S315" s="41">
        <v>5854046.3600000003</v>
      </c>
      <c r="T315" s="41"/>
      <c r="U315" s="41"/>
      <c r="V315" s="41"/>
      <c r="W315" s="41"/>
      <c r="X315" s="41"/>
      <c r="Y315" s="41"/>
      <c r="Z315" s="41"/>
      <c r="AA315" s="128">
        <f t="shared" si="599"/>
        <v>5854046.3600000003</v>
      </c>
      <c r="AB315" s="128">
        <f t="shared" si="586"/>
        <v>75927836.379999995</v>
      </c>
      <c r="AC315" s="175">
        <v>0</v>
      </c>
    </row>
    <row r="316" spans="1:29" ht="28.5" x14ac:dyDescent="0.2">
      <c r="A316" s="396">
        <v>1</v>
      </c>
      <c r="B316" s="76" t="s">
        <v>797</v>
      </c>
      <c r="C316" s="77" t="s">
        <v>339</v>
      </c>
      <c r="D316" s="334"/>
      <c r="E316" s="188">
        <f>SUM('ADICIONES  2021'!C316:I316)</f>
        <v>0</v>
      </c>
      <c r="F316" s="41"/>
      <c r="G316" s="41"/>
      <c r="H316" s="41"/>
      <c r="I316" s="41"/>
      <c r="J316" s="41"/>
      <c r="K316" s="128">
        <f t="shared" si="579"/>
        <v>0</v>
      </c>
      <c r="L316" s="41">
        <v>2471972</v>
      </c>
      <c r="M316" s="41">
        <v>507614</v>
      </c>
      <c r="N316" s="41">
        <v>918562</v>
      </c>
      <c r="O316" s="41">
        <v>1006338</v>
      </c>
      <c r="P316" s="41">
        <v>1137943</v>
      </c>
      <c r="Q316" s="409">
        <v>1168273</v>
      </c>
      <c r="R316" s="128">
        <f t="shared" si="585"/>
        <v>7210702</v>
      </c>
      <c r="S316" s="41">
        <v>1322372</v>
      </c>
      <c r="T316" s="41"/>
      <c r="U316" s="41"/>
      <c r="V316" s="41"/>
      <c r="W316" s="41"/>
      <c r="X316" s="41"/>
      <c r="Y316" s="41"/>
      <c r="Z316" s="41"/>
      <c r="AA316" s="128">
        <f t="shared" si="599"/>
        <v>1322372</v>
      </c>
      <c r="AB316" s="128">
        <f t="shared" si="586"/>
        <v>8533074</v>
      </c>
      <c r="AC316" s="175">
        <v>0</v>
      </c>
    </row>
    <row r="317" spans="1:29" ht="28.5" x14ac:dyDescent="0.2">
      <c r="A317" s="396">
        <v>1</v>
      </c>
      <c r="B317" s="76" t="s">
        <v>798</v>
      </c>
      <c r="C317" s="77" t="s">
        <v>340</v>
      </c>
      <c r="D317" s="334"/>
      <c r="E317" s="188">
        <f>SUM('ADICIONES  2021'!C317:I317)</f>
        <v>0</v>
      </c>
      <c r="F317" s="41"/>
      <c r="G317" s="41"/>
      <c r="H317" s="41"/>
      <c r="I317" s="41"/>
      <c r="J317" s="41"/>
      <c r="K317" s="128">
        <f t="shared" si="579"/>
        <v>0</v>
      </c>
      <c r="L317" s="41">
        <v>1105238.1399999999</v>
      </c>
      <c r="M317" s="41">
        <v>998515.22</v>
      </c>
      <c r="N317" s="41">
        <v>1105759.92</v>
      </c>
      <c r="O317" s="41">
        <v>1070351.3799999999</v>
      </c>
      <c r="P317" s="41">
        <v>1106299.6599999999</v>
      </c>
      <c r="Q317" s="409">
        <v>575563.4</v>
      </c>
      <c r="R317" s="128">
        <f t="shared" si="585"/>
        <v>5961727.7200000007</v>
      </c>
      <c r="S317" s="41">
        <v>414987.62</v>
      </c>
      <c r="T317" s="41"/>
      <c r="U317" s="41"/>
      <c r="V317" s="41"/>
      <c r="W317" s="41"/>
      <c r="X317" s="41"/>
      <c r="Y317" s="41"/>
      <c r="Z317" s="41"/>
      <c r="AA317" s="128">
        <f t="shared" si="599"/>
        <v>414987.62</v>
      </c>
      <c r="AB317" s="128">
        <f t="shared" si="586"/>
        <v>6376715.3400000008</v>
      </c>
      <c r="AC317" s="175">
        <v>0</v>
      </c>
    </row>
    <row r="318" spans="1:29" ht="28.5" x14ac:dyDescent="0.2">
      <c r="A318" s="396">
        <v>1</v>
      </c>
      <c r="B318" s="76" t="s">
        <v>799</v>
      </c>
      <c r="C318" s="77" t="s">
        <v>341</v>
      </c>
      <c r="D318" s="334"/>
      <c r="E318" s="188">
        <f>SUM('ADICIONES  2021'!C318:I318)</f>
        <v>0</v>
      </c>
      <c r="F318" s="41"/>
      <c r="G318" s="41"/>
      <c r="H318" s="41"/>
      <c r="I318" s="41"/>
      <c r="J318" s="41"/>
      <c r="K318" s="128">
        <f t="shared" si="579"/>
        <v>0</v>
      </c>
      <c r="L318" s="41">
        <v>9827</v>
      </c>
      <c r="M318" s="41">
        <v>41185</v>
      </c>
      <c r="N318" s="41">
        <v>52676</v>
      </c>
      <c r="O318" s="41">
        <v>67250</v>
      </c>
      <c r="P318" s="41">
        <v>77024</v>
      </c>
      <c r="Q318" s="409">
        <v>116265</v>
      </c>
      <c r="R318" s="128">
        <f t="shared" si="585"/>
        <v>364227</v>
      </c>
      <c r="S318" s="41">
        <v>63236</v>
      </c>
      <c r="T318" s="41"/>
      <c r="U318" s="41"/>
      <c r="V318" s="41"/>
      <c r="W318" s="41"/>
      <c r="X318" s="41"/>
      <c r="Y318" s="41"/>
      <c r="Z318" s="41"/>
      <c r="AA318" s="128">
        <f t="shared" si="599"/>
        <v>63236</v>
      </c>
      <c r="AB318" s="128">
        <f t="shared" si="586"/>
        <v>427463</v>
      </c>
      <c r="AC318" s="175">
        <v>0</v>
      </c>
    </row>
    <row r="319" spans="1:29" ht="42.75" x14ac:dyDescent="0.2">
      <c r="A319" s="396">
        <v>1</v>
      </c>
      <c r="B319" s="76" t="s">
        <v>800</v>
      </c>
      <c r="C319" s="77" t="s">
        <v>801</v>
      </c>
      <c r="D319" s="334">
        <v>85000000</v>
      </c>
      <c r="E319" s="188">
        <f>SUM('ADICIONES  2021'!C319:I319)</f>
        <v>0</v>
      </c>
      <c r="F319" s="41"/>
      <c r="G319" s="41"/>
      <c r="H319" s="41"/>
      <c r="I319" s="41"/>
      <c r="J319" s="41"/>
      <c r="K319" s="128">
        <f t="shared" si="579"/>
        <v>85000000</v>
      </c>
      <c r="L319" s="41">
        <v>1933865.05</v>
      </c>
      <c r="M319" s="41">
        <v>26427.13</v>
      </c>
      <c r="N319" s="41">
        <v>4197492.51</v>
      </c>
      <c r="O319" s="41">
        <v>2173098.23</v>
      </c>
      <c r="P319" s="41">
        <v>2041414.77</v>
      </c>
      <c r="Q319" s="409">
        <v>2140121.02</v>
      </c>
      <c r="R319" s="128">
        <f t="shared" si="585"/>
        <v>12512418.709999999</v>
      </c>
      <c r="S319" s="41">
        <v>1857851.32</v>
      </c>
      <c r="T319" s="41"/>
      <c r="U319" s="41"/>
      <c r="V319" s="41"/>
      <c r="W319" s="41"/>
      <c r="X319" s="41"/>
      <c r="Y319" s="41"/>
      <c r="Z319" s="41"/>
      <c r="AA319" s="128">
        <f t="shared" si="599"/>
        <v>1857851.32</v>
      </c>
      <c r="AB319" s="128">
        <f t="shared" si="586"/>
        <v>14370270.029999999</v>
      </c>
      <c r="AC319" s="175">
        <f t="shared" si="621"/>
        <v>0.16906200035294117</v>
      </c>
    </row>
    <row r="320" spans="1:29" ht="28.5" x14ac:dyDescent="0.2">
      <c r="A320" s="396">
        <v>1</v>
      </c>
      <c r="B320" s="76" t="s">
        <v>802</v>
      </c>
      <c r="C320" s="77" t="s">
        <v>803</v>
      </c>
      <c r="D320" s="334"/>
      <c r="E320" s="188">
        <f>SUM('ADICIONES  2021'!C320:I320)</f>
        <v>0</v>
      </c>
      <c r="F320" s="41"/>
      <c r="G320" s="41"/>
      <c r="H320" s="41"/>
      <c r="I320" s="41"/>
      <c r="J320" s="41"/>
      <c r="K320" s="128">
        <f t="shared" si="579"/>
        <v>0</v>
      </c>
      <c r="L320" s="41">
        <v>103920.67</v>
      </c>
      <c r="M320" s="41">
        <v>78649.3</v>
      </c>
      <c r="N320" s="41">
        <v>122766.32</v>
      </c>
      <c r="O320" s="41">
        <v>139478.44</v>
      </c>
      <c r="P320" s="41">
        <v>177283.32</v>
      </c>
      <c r="Q320" s="409">
        <v>115156.74</v>
      </c>
      <c r="R320" s="128">
        <f t="shared" si="585"/>
        <v>737254.79</v>
      </c>
      <c r="S320" s="41">
        <v>86136.69</v>
      </c>
      <c r="T320" s="41"/>
      <c r="U320" s="41"/>
      <c r="V320" s="41"/>
      <c r="W320" s="41"/>
      <c r="X320" s="41"/>
      <c r="Y320" s="41"/>
      <c r="Z320" s="41"/>
      <c r="AA320" s="128">
        <f t="shared" si="599"/>
        <v>86136.69</v>
      </c>
      <c r="AB320" s="128">
        <f t="shared" si="586"/>
        <v>823391.48</v>
      </c>
      <c r="AC320" s="175">
        <v>0</v>
      </c>
    </row>
    <row r="321" spans="1:29" ht="42.75" x14ac:dyDescent="0.2">
      <c r="A321" s="396">
        <v>1</v>
      </c>
      <c r="B321" s="76" t="s">
        <v>804</v>
      </c>
      <c r="C321" s="77" t="s">
        <v>805</v>
      </c>
      <c r="D321" s="334"/>
      <c r="E321" s="188">
        <f>SUM('ADICIONES  2021'!C321:I321)</f>
        <v>0</v>
      </c>
      <c r="F321" s="41"/>
      <c r="G321" s="41"/>
      <c r="H321" s="41"/>
      <c r="I321" s="41"/>
      <c r="J321" s="41"/>
      <c r="K321" s="128">
        <f t="shared" si="579"/>
        <v>0</v>
      </c>
      <c r="L321" s="41">
        <v>409584.4</v>
      </c>
      <c r="M321" s="41">
        <v>566719.72</v>
      </c>
      <c r="N321" s="41">
        <v>627586.35</v>
      </c>
      <c r="O321" s="41">
        <v>575303</v>
      </c>
      <c r="P321" s="41">
        <v>561362.76</v>
      </c>
      <c r="Q321" s="409">
        <v>292054.53999999998</v>
      </c>
      <c r="R321" s="128">
        <f t="shared" si="585"/>
        <v>3032610.7699999996</v>
      </c>
      <c r="S321" s="41">
        <v>210574.51</v>
      </c>
      <c r="T321" s="41"/>
      <c r="U321" s="41"/>
      <c r="V321" s="41"/>
      <c r="W321" s="41"/>
      <c r="X321" s="41"/>
      <c r="Y321" s="41"/>
      <c r="Z321" s="41"/>
      <c r="AA321" s="128">
        <f t="shared" si="599"/>
        <v>210574.51</v>
      </c>
      <c r="AB321" s="128">
        <f t="shared" si="586"/>
        <v>3243185.2799999993</v>
      </c>
      <c r="AC321" s="175">
        <v>0</v>
      </c>
    </row>
    <row r="322" spans="1:29" ht="42.75" hidden="1" x14ac:dyDescent="0.2">
      <c r="A322" s="396">
        <v>1</v>
      </c>
      <c r="B322" s="76" t="s">
        <v>806</v>
      </c>
      <c r="C322" s="77" t="s">
        <v>807</v>
      </c>
      <c r="D322" s="334"/>
      <c r="E322" s="188">
        <f>SUM('ADICIONES  2021'!C322:I322)</f>
        <v>0</v>
      </c>
      <c r="F322" s="41"/>
      <c r="G322" s="41"/>
      <c r="H322" s="41"/>
      <c r="I322" s="41"/>
      <c r="J322" s="41"/>
      <c r="K322" s="128">
        <f t="shared" si="579"/>
        <v>0</v>
      </c>
      <c r="L322" s="41">
        <v>0</v>
      </c>
      <c r="M322" s="41">
        <v>0</v>
      </c>
      <c r="N322" s="41">
        <v>0</v>
      </c>
      <c r="O322" s="41">
        <v>0</v>
      </c>
      <c r="P322" s="41">
        <v>0</v>
      </c>
      <c r="Q322" s="409">
        <v>0</v>
      </c>
      <c r="R322" s="128">
        <f t="shared" si="585"/>
        <v>0</v>
      </c>
      <c r="S322" s="41">
        <v>0</v>
      </c>
      <c r="T322" s="41"/>
      <c r="U322" s="41"/>
      <c r="V322" s="41"/>
      <c r="W322" s="41"/>
      <c r="X322" s="41"/>
      <c r="Y322" s="41"/>
      <c r="Z322" s="41"/>
      <c r="AA322" s="128">
        <f t="shared" si="599"/>
        <v>0</v>
      </c>
      <c r="AB322" s="128">
        <f t="shared" si="586"/>
        <v>0</v>
      </c>
      <c r="AC322" s="175" t="e">
        <f t="shared" si="621"/>
        <v>#DIV/0!</v>
      </c>
    </row>
    <row r="323" spans="1:29" ht="14.25" x14ac:dyDescent="0.2">
      <c r="A323" s="396">
        <v>1</v>
      </c>
      <c r="B323" s="76" t="s">
        <v>808</v>
      </c>
      <c r="C323" s="77" t="s">
        <v>342</v>
      </c>
      <c r="D323" s="334"/>
      <c r="E323" s="188">
        <f>SUM('ADICIONES  2021'!C323:I323)</f>
        <v>0</v>
      </c>
      <c r="F323" s="41"/>
      <c r="G323" s="41"/>
      <c r="H323" s="41"/>
      <c r="I323" s="41"/>
      <c r="J323" s="41"/>
      <c r="K323" s="128">
        <f t="shared" si="579"/>
        <v>0</v>
      </c>
      <c r="L323" s="41">
        <v>9388681</v>
      </c>
      <c r="M323" s="41">
        <v>7332271</v>
      </c>
      <c r="N323" s="41">
        <v>11119937</v>
      </c>
      <c r="O323" s="41">
        <v>11513972</v>
      </c>
      <c r="P323" s="41">
        <v>12148271</v>
      </c>
      <c r="Q323" s="409">
        <v>14539171</v>
      </c>
      <c r="R323" s="128">
        <f t="shared" si="585"/>
        <v>66042303</v>
      </c>
      <c r="S323" s="41">
        <v>17037622</v>
      </c>
      <c r="T323" s="41"/>
      <c r="U323" s="41"/>
      <c r="V323" s="41"/>
      <c r="W323" s="41"/>
      <c r="X323" s="41"/>
      <c r="Y323" s="41"/>
      <c r="Z323" s="41"/>
      <c r="AA323" s="128">
        <f t="shared" si="599"/>
        <v>17037622</v>
      </c>
      <c r="AB323" s="128">
        <f t="shared" si="586"/>
        <v>83079925</v>
      </c>
      <c r="AC323" s="175">
        <v>0</v>
      </c>
    </row>
    <row r="324" spans="1:29" ht="14.25" hidden="1" x14ac:dyDescent="0.2">
      <c r="A324" s="396">
        <v>1</v>
      </c>
      <c r="B324" s="76" t="s">
        <v>809</v>
      </c>
      <c r="C324" s="77" t="s">
        <v>810</v>
      </c>
      <c r="D324" s="334"/>
      <c r="E324" s="188">
        <f>SUM('ADICIONES  2021'!C324:I324)</f>
        <v>0</v>
      </c>
      <c r="F324" s="41"/>
      <c r="G324" s="41"/>
      <c r="H324" s="41"/>
      <c r="I324" s="41"/>
      <c r="J324" s="41"/>
      <c r="K324" s="128">
        <f t="shared" si="579"/>
        <v>0</v>
      </c>
      <c r="L324" s="41">
        <v>0</v>
      </c>
      <c r="M324" s="41">
        <v>0</v>
      </c>
      <c r="N324" s="41">
        <v>0</v>
      </c>
      <c r="O324" s="41">
        <v>0</v>
      </c>
      <c r="P324" s="41">
        <v>0</v>
      </c>
      <c r="Q324" s="409">
        <v>0</v>
      </c>
      <c r="R324" s="128">
        <f t="shared" si="585"/>
        <v>0</v>
      </c>
      <c r="S324" s="41">
        <v>0</v>
      </c>
      <c r="T324" s="41"/>
      <c r="U324" s="41"/>
      <c r="V324" s="41"/>
      <c r="W324" s="41"/>
      <c r="X324" s="41"/>
      <c r="Y324" s="41"/>
      <c r="Z324" s="41"/>
      <c r="AA324" s="128">
        <f t="shared" si="599"/>
        <v>0</v>
      </c>
      <c r="AB324" s="128">
        <f t="shared" si="586"/>
        <v>0</v>
      </c>
      <c r="AC324" s="175" t="e">
        <f t="shared" si="621"/>
        <v>#DIV/0!</v>
      </c>
    </row>
    <row r="325" spans="1:29" ht="28.5" x14ac:dyDescent="0.2">
      <c r="A325" s="396">
        <v>1</v>
      </c>
      <c r="B325" s="76" t="s">
        <v>811</v>
      </c>
      <c r="C325" s="77" t="s">
        <v>343</v>
      </c>
      <c r="D325" s="334"/>
      <c r="E325" s="188">
        <f>SUM('ADICIONES  2021'!C325:I325)</f>
        <v>0</v>
      </c>
      <c r="F325" s="41"/>
      <c r="G325" s="41"/>
      <c r="H325" s="41"/>
      <c r="I325" s="41"/>
      <c r="J325" s="41"/>
      <c r="K325" s="128">
        <f t="shared" si="579"/>
        <v>0</v>
      </c>
      <c r="L325" s="41">
        <v>480022.95</v>
      </c>
      <c r="M325" s="41">
        <v>388657.13</v>
      </c>
      <c r="N325" s="41">
        <v>405943.28</v>
      </c>
      <c r="O325" s="41">
        <v>391351.63</v>
      </c>
      <c r="P325" s="41">
        <v>395638.94</v>
      </c>
      <c r="Q325" s="409">
        <v>381689.8</v>
      </c>
      <c r="R325" s="128">
        <f t="shared" si="585"/>
        <v>2443303.73</v>
      </c>
      <c r="S325" s="41">
        <v>394650.69</v>
      </c>
      <c r="T325" s="41"/>
      <c r="U325" s="41"/>
      <c r="V325" s="41"/>
      <c r="W325" s="41"/>
      <c r="X325" s="41"/>
      <c r="Y325" s="41"/>
      <c r="Z325" s="41"/>
      <c r="AA325" s="128">
        <f t="shared" si="599"/>
        <v>394650.69</v>
      </c>
      <c r="AB325" s="128">
        <f t="shared" si="586"/>
        <v>2837954.42</v>
      </c>
      <c r="AC325" s="175">
        <v>0</v>
      </c>
    </row>
    <row r="326" spans="1:29" ht="14.25" x14ac:dyDescent="0.2">
      <c r="A326" s="396">
        <v>1</v>
      </c>
      <c r="B326" s="76" t="s">
        <v>812</v>
      </c>
      <c r="C326" s="77" t="s">
        <v>344</v>
      </c>
      <c r="D326" s="334"/>
      <c r="E326" s="188">
        <f>SUM('ADICIONES  2021'!C326:I326)</f>
        <v>0</v>
      </c>
      <c r="F326" s="41"/>
      <c r="G326" s="41"/>
      <c r="H326" s="41"/>
      <c r="I326" s="41"/>
      <c r="J326" s="41"/>
      <c r="K326" s="128">
        <f t="shared" si="579"/>
        <v>0</v>
      </c>
      <c r="L326" s="41">
        <v>307827</v>
      </c>
      <c r="M326" s="41">
        <v>290454</v>
      </c>
      <c r="N326" s="41">
        <v>286213</v>
      </c>
      <c r="O326" s="41">
        <v>286502</v>
      </c>
      <c r="P326" s="41">
        <v>286742</v>
      </c>
      <c r="Q326" s="409">
        <v>287005</v>
      </c>
      <c r="R326" s="128">
        <f t="shared" si="585"/>
        <v>1744743</v>
      </c>
      <c r="S326" s="41">
        <v>257535</v>
      </c>
      <c r="T326" s="41"/>
      <c r="U326" s="41"/>
      <c r="V326" s="41"/>
      <c r="W326" s="41"/>
      <c r="X326" s="41"/>
      <c r="Y326" s="41"/>
      <c r="Z326" s="41"/>
      <c r="AA326" s="128">
        <f t="shared" si="599"/>
        <v>257535</v>
      </c>
      <c r="AB326" s="128">
        <f t="shared" si="586"/>
        <v>2002278</v>
      </c>
      <c r="AC326" s="175">
        <v>0</v>
      </c>
    </row>
    <row r="327" spans="1:29" ht="28.5" x14ac:dyDescent="0.2">
      <c r="A327" s="396">
        <v>1</v>
      </c>
      <c r="B327" s="76" t="s">
        <v>1866</v>
      </c>
      <c r="C327" s="77" t="s">
        <v>1867</v>
      </c>
      <c r="D327" s="334"/>
      <c r="E327" s="188">
        <f>SUM('ADICIONES  2021'!C327:I327)</f>
        <v>6600708</v>
      </c>
      <c r="F327" s="41"/>
      <c r="G327" s="41"/>
      <c r="H327" s="41"/>
      <c r="I327" s="41"/>
      <c r="J327" s="41"/>
      <c r="K327" s="128">
        <f t="shared" si="579"/>
        <v>6600708</v>
      </c>
      <c r="L327" s="41"/>
      <c r="M327" s="41"/>
      <c r="N327" s="41"/>
      <c r="O327" s="41"/>
      <c r="P327" s="41">
        <v>0</v>
      </c>
      <c r="Q327" s="409">
        <v>0</v>
      </c>
      <c r="R327" s="128">
        <f t="shared" si="585"/>
        <v>0</v>
      </c>
      <c r="S327" s="41">
        <v>0</v>
      </c>
      <c r="T327" s="41"/>
      <c r="U327" s="41"/>
      <c r="V327" s="41"/>
      <c r="W327" s="41"/>
      <c r="X327" s="41"/>
      <c r="Y327" s="41"/>
      <c r="Z327" s="41"/>
      <c r="AA327" s="128">
        <f t="shared" si="599"/>
        <v>0</v>
      </c>
      <c r="AB327" s="128">
        <f t="shared" si="586"/>
        <v>0</v>
      </c>
      <c r="AC327" s="175">
        <f t="shared" si="621"/>
        <v>0</v>
      </c>
    </row>
    <row r="328" spans="1:29" ht="28.5" x14ac:dyDescent="0.2">
      <c r="A328" s="396">
        <v>1</v>
      </c>
      <c r="B328" s="76" t="s">
        <v>1868</v>
      </c>
      <c r="C328" s="77" t="s">
        <v>1869</v>
      </c>
      <c r="D328" s="334"/>
      <c r="E328" s="188">
        <f>SUM('ADICIONES  2021'!C328:I328)</f>
        <v>3803246</v>
      </c>
      <c r="F328" s="41"/>
      <c r="G328" s="41"/>
      <c r="H328" s="41"/>
      <c r="I328" s="41"/>
      <c r="J328" s="41"/>
      <c r="K328" s="128">
        <f t="shared" si="579"/>
        <v>3803246</v>
      </c>
      <c r="L328" s="41"/>
      <c r="M328" s="41"/>
      <c r="N328" s="41"/>
      <c r="O328" s="41"/>
      <c r="P328" s="41">
        <v>0</v>
      </c>
      <c r="Q328" s="409">
        <v>0</v>
      </c>
      <c r="R328" s="128">
        <f t="shared" si="585"/>
        <v>0</v>
      </c>
      <c r="S328" s="41">
        <v>0</v>
      </c>
      <c r="T328" s="41"/>
      <c r="U328" s="41"/>
      <c r="V328" s="41"/>
      <c r="W328" s="41"/>
      <c r="X328" s="41"/>
      <c r="Y328" s="41"/>
      <c r="Z328" s="41"/>
      <c r="AA328" s="128">
        <f t="shared" si="599"/>
        <v>0</v>
      </c>
      <c r="AB328" s="128">
        <f t="shared" si="586"/>
        <v>0</v>
      </c>
      <c r="AC328" s="175">
        <f t="shared" si="621"/>
        <v>0</v>
      </c>
    </row>
    <row r="329" spans="1:29" s="63" customFormat="1" ht="15.75" x14ac:dyDescent="0.2">
      <c r="A329" s="397">
        <v>1</v>
      </c>
      <c r="B329" s="81" t="s">
        <v>1261</v>
      </c>
      <c r="C329" s="79" t="s">
        <v>1262</v>
      </c>
      <c r="D329" s="146">
        <f t="shared" ref="D329:D330" si="622">+D330</f>
        <v>0</v>
      </c>
      <c r="E329" s="187">
        <f>SUM('ADICIONES  2021'!C329:I329)</f>
        <v>139605410925.26001</v>
      </c>
      <c r="F329" s="146">
        <f t="shared" ref="F329:J330" si="623">+F330</f>
        <v>0</v>
      </c>
      <c r="G329" s="146">
        <f t="shared" si="623"/>
        <v>0</v>
      </c>
      <c r="H329" s="146">
        <f t="shared" si="623"/>
        <v>0</v>
      </c>
      <c r="I329" s="146">
        <f t="shared" si="623"/>
        <v>0</v>
      </c>
      <c r="J329" s="146">
        <f t="shared" si="623"/>
        <v>0</v>
      </c>
      <c r="K329" s="127">
        <f t="shared" si="579"/>
        <v>139605410925.26001</v>
      </c>
      <c r="L329" s="146">
        <f t="shared" ref="L329:Q330" si="624">+L330</f>
        <v>0</v>
      </c>
      <c r="M329" s="146">
        <f t="shared" si="624"/>
        <v>0</v>
      </c>
      <c r="N329" s="146">
        <f t="shared" si="624"/>
        <v>0</v>
      </c>
      <c r="O329" s="146">
        <f t="shared" si="624"/>
        <v>0</v>
      </c>
      <c r="P329" s="146">
        <f t="shared" si="624"/>
        <v>0</v>
      </c>
      <c r="Q329" s="411">
        <f t="shared" si="624"/>
        <v>0</v>
      </c>
      <c r="R329" s="127">
        <f t="shared" si="585"/>
        <v>0</v>
      </c>
      <c r="S329" s="146">
        <f t="shared" ref="S329:Z330" si="625">+S330</f>
        <v>0</v>
      </c>
      <c r="T329" s="146">
        <f t="shared" si="625"/>
        <v>0</v>
      </c>
      <c r="U329" s="146">
        <f t="shared" si="625"/>
        <v>0</v>
      </c>
      <c r="V329" s="146">
        <f t="shared" si="625"/>
        <v>0</v>
      </c>
      <c r="W329" s="146">
        <f t="shared" si="625"/>
        <v>0</v>
      </c>
      <c r="X329" s="146">
        <f t="shared" si="625"/>
        <v>0</v>
      </c>
      <c r="Y329" s="146">
        <f t="shared" si="625"/>
        <v>0</v>
      </c>
      <c r="Z329" s="146">
        <f t="shared" si="625"/>
        <v>0</v>
      </c>
      <c r="AA329" s="127">
        <f t="shared" si="599"/>
        <v>0</v>
      </c>
      <c r="AB329" s="127">
        <f t="shared" si="586"/>
        <v>0</v>
      </c>
      <c r="AC329" s="175">
        <f t="shared" si="621"/>
        <v>0</v>
      </c>
    </row>
    <row r="330" spans="1:29" s="63" customFormat="1" ht="31.5" x14ac:dyDescent="0.2">
      <c r="A330" s="397"/>
      <c r="B330" s="81" t="s">
        <v>1263</v>
      </c>
      <c r="C330" s="79" t="s">
        <v>1264</v>
      </c>
      <c r="D330" s="146">
        <f t="shared" si="622"/>
        <v>0</v>
      </c>
      <c r="E330" s="187">
        <f>SUM('ADICIONES  2021'!C330:I330)</f>
        <v>139605410925.26001</v>
      </c>
      <c r="F330" s="146">
        <f t="shared" si="623"/>
        <v>0</v>
      </c>
      <c r="G330" s="146">
        <f t="shared" si="623"/>
        <v>0</v>
      </c>
      <c r="H330" s="146">
        <f t="shared" si="623"/>
        <v>0</v>
      </c>
      <c r="I330" s="146">
        <f t="shared" si="623"/>
        <v>0</v>
      </c>
      <c r="J330" s="146">
        <f t="shared" si="623"/>
        <v>0</v>
      </c>
      <c r="K330" s="127">
        <f t="shared" si="579"/>
        <v>139605410925.26001</v>
      </c>
      <c r="L330" s="146">
        <f t="shared" si="624"/>
        <v>0</v>
      </c>
      <c r="M330" s="146">
        <f t="shared" si="624"/>
        <v>0</v>
      </c>
      <c r="N330" s="146">
        <f t="shared" si="624"/>
        <v>0</v>
      </c>
      <c r="O330" s="146">
        <f t="shared" si="624"/>
        <v>0</v>
      </c>
      <c r="P330" s="146">
        <f t="shared" si="624"/>
        <v>0</v>
      </c>
      <c r="Q330" s="411">
        <f t="shared" si="624"/>
        <v>0</v>
      </c>
      <c r="R330" s="127">
        <f t="shared" si="585"/>
        <v>0</v>
      </c>
      <c r="S330" s="146">
        <f t="shared" si="625"/>
        <v>0</v>
      </c>
      <c r="T330" s="146">
        <f t="shared" si="625"/>
        <v>0</v>
      </c>
      <c r="U330" s="146">
        <f t="shared" si="625"/>
        <v>0</v>
      </c>
      <c r="V330" s="146">
        <f t="shared" si="625"/>
        <v>0</v>
      </c>
      <c r="W330" s="146">
        <f t="shared" si="625"/>
        <v>0</v>
      </c>
      <c r="X330" s="146">
        <f t="shared" si="625"/>
        <v>0</v>
      </c>
      <c r="Y330" s="146">
        <f t="shared" si="625"/>
        <v>0</v>
      </c>
      <c r="Z330" s="146">
        <f t="shared" si="625"/>
        <v>0</v>
      </c>
      <c r="AA330" s="127">
        <f t="shared" si="599"/>
        <v>0</v>
      </c>
      <c r="AB330" s="127">
        <f t="shared" si="586"/>
        <v>0</v>
      </c>
      <c r="AC330" s="176">
        <f t="shared" si="621"/>
        <v>0</v>
      </c>
    </row>
    <row r="331" spans="1:29" s="63" customFormat="1" ht="15.75" x14ac:dyDescent="0.2">
      <c r="A331" s="397"/>
      <c r="B331" s="81" t="s">
        <v>1265</v>
      </c>
      <c r="C331" s="79" t="s">
        <v>1266</v>
      </c>
      <c r="D331" s="146">
        <f>SUM(D332:D334)</f>
        <v>0</v>
      </c>
      <c r="E331" s="187">
        <f>SUM('ADICIONES  2021'!C331:I331)</f>
        <v>139605410925.26001</v>
      </c>
      <c r="F331" s="146">
        <f t="shared" ref="F331:J331" si="626">SUM(F332:F333)</f>
        <v>0</v>
      </c>
      <c r="G331" s="146">
        <f t="shared" si="626"/>
        <v>0</v>
      </c>
      <c r="H331" s="146">
        <f t="shared" si="626"/>
        <v>0</v>
      </c>
      <c r="I331" s="146">
        <f t="shared" si="626"/>
        <v>0</v>
      </c>
      <c r="J331" s="146">
        <f t="shared" si="626"/>
        <v>0</v>
      </c>
      <c r="K331" s="127">
        <f t="shared" si="579"/>
        <v>139605410925.26001</v>
      </c>
      <c r="L331" s="146">
        <f t="shared" ref="L331:Q331" si="627">SUM(L332:L333)</f>
        <v>0</v>
      </c>
      <c r="M331" s="146">
        <f t="shared" si="627"/>
        <v>0</v>
      </c>
      <c r="N331" s="146">
        <f t="shared" si="627"/>
        <v>0</v>
      </c>
      <c r="O331" s="146">
        <f t="shared" si="627"/>
        <v>0</v>
      </c>
      <c r="P331" s="146">
        <f t="shared" si="627"/>
        <v>0</v>
      </c>
      <c r="Q331" s="411">
        <f t="shared" si="627"/>
        <v>0</v>
      </c>
      <c r="R331" s="127">
        <f t="shared" si="585"/>
        <v>0</v>
      </c>
      <c r="S331" s="146">
        <f t="shared" ref="S331:Z331" si="628">SUM(S332:S333)</f>
        <v>0</v>
      </c>
      <c r="T331" s="146">
        <f t="shared" si="628"/>
        <v>0</v>
      </c>
      <c r="U331" s="146">
        <f t="shared" si="628"/>
        <v>0</v>
      </c>
      <c r="V331" s="146">
        <f t="shared" si="628"/>
        <v>0</v>
      </c>
      <c r="W331" s="146">
        <f t="shared" si="628"/>
        <v>0</v>
      </c>
      <c r="X331" s="146">
        <f t="shared" si="628"/>
        <v>0</v>
      </c>
      <c r="Y331" s="146">
        <f t="shared" si="628"/>
        <v>0</v>
      </c>
      <c r="Z331" s="146">
        <f t="shared" si="628"/>
        <v>0</v>
      </c>
      <c r="AA331" s="127">
        <f t="shared" si="599"/>
        <v>0</v>
      </c>
      <c r="AB331" s="127">
        <f t="shared" si="586"/>
        <v>0</v>
      </c>
      <c r="AC331" s="176">
        <f t="shared" si="621"/>
        <v>0</v>
      </c>
    </row>
    <row r="332" spans="1:29" ht="28.5" x14ac:dyDescent="0.2">
      <c r="B332" s="76" t="s">
        <v>1257</v>
      </c>
      <c r="C332" s="77" t="s">
        <v>1258</v>
      </c>
      <c r="D332" s="41"/>
      <c r="E332" s="188">
        <f>SUM('ADICIONES  2021'!C332:I332)</f>
        <v>79982811133.960007</v>
      </c>
      <c r="F332" s="41"/>
      <c r="G332" s="41"/>
      <c r="H332" s="41"/>
      <c r="I332" s="41"/>
      <c r="J332" s="41"/>
      <c r="K332" s="128">
        <f t="shared" si="579"/>
        <v>79982811133.960007</v>
      </c>
      <c r="L332" s="41"/>
      <c r="M332" s="41"/>
      <c r="N332" s="41"/>
      <c r="O332" s="41"/>
      <c r="P332" s="41"/>
      <c r="Q332" s="409"/>
      <c r="R332" s="128">
        <f t="shared" si="585"/>
        <v>0</v>
      </c>
      <c r="S332" s="41"/>
      <c r="T332" s="41"/>
      <c r="U332" s="41"/>
      <c r="V332" s="41"/>
      <c r="W332" s="41"/>
      <c r="X332" s="41"/>
      <c r="Y332" s="41"/>
      <c r="Z332" s="41"/>
      <c r="AA332" s="128">
        <f t="shared" si="599"/>
        <v>0</v>
      </c>
      <c r="AB332" s="128">
        <f t="shared" si="586"/>
        <v>0</v>
      </c>
      <c r="AC332" s="180">
        <f t="shared" si="621"/>
        <v>0</v>
      </c>
    </row>
    <row r="333" spans="1:29" ht="28.5" x14ac:dyDescent="0.2">
      <c r="B333" s="76" t="s">
        <v>1259</v>
      </c>
      <c r="C333" s="77" t="s">
        <v>1260</v>
      </c>
      <c r="D333" s="41"/>
      <c r="E333" s="188">
        <f>SUM('ADICIONES  2021'!C333:I333)</f>
        <v>10647623088.299999</v>
      </c>
      <c r="F333" s="41"/>
      <c r="G333" s="41"/>
      <c r="H333" s="41"/>
      <c r="I333" s="41"/>
      <c r="J333" s="41"/>
      <c r="K333" s="128">
        <f t="shared" si="579"/>
        <v>10647623088.299999</v>
      </c>
      <c r="L333" s="41"/>
      <c r="M333" s="41"/>
      <c r="N333" s="41"/>
      <c r="O333" s="41"/>
      <c r="P333" s="41"/>
      <c r="Q333" s="409"/>
      <c r="R333" s="128">
        <f t="shared" si="585"/>
        <v>0</v>
      </c>
      <c r="S333" s="41"/>
      <c r="T333" s="41"/>
      <c r="U333" s="41"/>
      <c r="V333" s="41"/>
      <c r="W333" s="41"/>
      <c r="X333" s="41"/>
      <c r="Y333" s="41"/>
      <c r="Z333" s="41"/>
      <c r="AA333" s="128">
        <f t="shared" si="599"/>
        <v>0</v>
      </c>
      <c r="AB333" s="128">
        <f t="shared" si="586"/>
        <v>0</v>
      </c>
      <c r="AC333" s="180">
        <f t="shared" si="621"/>
        <v>0</v>
      </c>
    </row>
    <row r="334" spans="1:29" ht="28.5" x14ac:dyDescent="0.2">
      <c r="B334" s="76" t="s">
        <v>1861</v>
      </c>
      <c r="C334" s="77" t="s">
        <v>1862</v>
      </c>
      <c r="D334" s="41"/>
      <c r="E334" s="188">
        <f>SUM('ADICIONES  2021'!C334:I334)</f>
        <v>48974976703</v>
      </c>
      <c r="F334" s="41"/>
      <c r="G334" s="41"/>
      <c r="H334" s="41"/>
      <c r="I334" s="41"/>
      <c r="J334" s="41"/>
      <c r="K334" s="128">
        <f t="shared" si="579"/>
        <v>48974976703</v>
      </c>
      <c r="L334" s="41"/>
      <c r="M334" s="41"/>
      <c r="N334" s="41"/>
      <c r="O334" s="41"/>
      <c r="P334" s="41"/>
      <c r="Q334" s="409"/>
      <c r="R334" s="128">
        <f t="shared" si="585"/>
        <v>0</v>
      </c>
      <c r="S334" s="41"/>
      <c r="T334" s="41"/>
      <c r="U334" s="41"/>
      <c r="V334" s="41"/>
      <c r="W334" s="41"/>
      <c r="X334" s="41"/>
      <c r="Y334" s="41"/>
      <c r="Z334" s="41"/>
      <c r="AA334" s="128">
        <f t="shared" si="599"/>
        <v>0</v>
      </c>
      <c r="AB334" s="128">
        <f t="shared" si="586"/>
        <v>0</v>
      </c>
      <c r="AC334" s="180">
        <f t="shared" si="621"/>
        <v>0</v>
      </c>
    </row>
    <row r="335" spans="1:29" s="63" customFormat="1" ht="23.25" hidden="1" customHeight="1" x14ac:dyDescent="0.2">
      <c r="A335" s="397">
        <v>1</v>
      </c>
      <c r="B335" s="81" t="s">
        <v>813</v>
      </c>
      <c r="C335" s="79" t="s">
        <v>814</v>
      </c>
      <c r="D335" s="223">
        <f t="shared" ref="D335:D337" si="629">+D336</f>
        <v>0</v>
      </c>
      <c r="E335" s="187">
        <f>SUM('ADICIONES  2021'!C335:I335)</f>
        <v>0</v>
      </c>
      <c r="F335" s="223">
        <f t="shared" ref="F335:J337" si="630">+F336</f>
        <v>0</v>
      </c>
      <c r="G335" s="223">
        <f t="shared" si="630"/>
        <v>0</v>
      </c>
      <c r="H335" s="223">
        <f t="shared" si="630"/>
        <v>0</v>
      </c>
      <c r="I335" s="223">
        <f t="shared" si="630"/>
        <v>0</v>
      </c>
      <c r="J335" s="223">
        <f t="shared" si="630"/>
        <v>0</v>
      </c>
      <c r="K335" s="78">
        <f t="shared" si="579"/>
        <v>0</v>
      </c>
      <c r="L335" s="223">
        <f t="shared" ref="L335:Q337" si="631">+L336</f>
        <v>0</v>
      </c>
      <c r="M335" s="223">
        <f t="shared" si="631"/>
        <v>0</v>
      </c>
      <c r="N335" s="223">
        <f t="shared" si="631"/>
        <v>0</v>
      </c>
      <c r="O335" s="223">
        <f t="shared" si="631"/>
        <v>0</v>
      </c>
      <c r="P335" s="223">
        <f t="shared" si="631"/>
        <v>0</v>
      </c>
      <c r="Q335" s="407">
        <f t="shared" si="631"/>
        <v>0</v>
      </c>
      <c r="R335" s="78">
        <f t="shared" si="585"/>
        <v>0</v>
      </c>
      <c r="S335" s="223">
        <f t="shared" ref="S335:Z337" si="632">+S336</f>
        <v>0</v>
      </c>
      <c r="T335" s="223">
        <f t="shared" si="632"/>
        <v>0</v>
      </c>
      <c r="U335" s="223">
        <f t="shared" si="632"/>
        <v>0</v>
      </c>
      <c r="V335" s="223">
        <f t="shared" si="632"/>
        <v>0</v>
      </c>
      <c r="W335" s="223">
        <f t="shared" si="632"/>
        <v>0</v>
      </c>
      <c r="X335" s="223">
        <f t="shared" si="632"/>
        <v>0</v>
      </c>
      <c r="Y335" s="223">
        <f t="shared" si="632"/>
        <v>0</v>
      </c>
      <c r="Z335" s="223">
        <f t="shared" si="632"/>
        <v>0</v>
      </c>
      <c r="AA335" s="78">
        <f t="shared" si="599"/>
        <v>0</v>
      </c>
      <c r="AB335" s="78">
        <f t="shared" si="586"/>
        <v>0</v>
      </c>
      <c r="AC335" s="174" t="e">
        <f t="shared" si="621"/>
        <v>#DIV/0!</v>
      </c>
    </row>
    <row r="336" spans="1:29" s="63" customFormat="1" ht="30" hidden="1" customHeight="1" x14ac:dyDescent="0.2">
      <c r="A336" s="397"/>
      <c r="B336" s="81" t="s">
        <v>815</v>
      </c>
      <c r="C336" s="79" t="s">
        <v>816</v>
      </c>
      <c r="D336" s="223">
        <f t="shared" si="629"/>
        <v>0</v>
      </c>
      <c r="E336" s="187">
        <f>SUM('ADICIONES  2021'!C336:I336)</f>
        <v>0</v>
      </c>
      <c r="F336" s="223">
        <f t="shared" si="630"/>
        <v>0</v>
      </c>
      <c r="G336" s="223">
        <f t="shared" si="630"/>
        <v>0</v>
      </c>
      <c r="H336" s="223">
        <f t="shared" si="630"/>
        <v>0</v>
      </c>
      <c r="I336" s="223">
        <f t="shared" si="630"/>
        <v>0</v>
      </c>
      <c r="J336" s="223">
        <f t="shared" si="630"/>
        <v>0</v>
      </c>
      <c r="K336" s="78">
        <f t="shared" si="579"/>
        <v>0</v>
      </c>
      <c r="L336" s="223">
        <f t="shared" si="631"/>
        <v>0</v>
      </c>
      <c r="M336" s="223">
        <f t="shared" si="631"/>
        <v>0</v>
      </c>
      <c r="N336" s="223">
        <f t="shared" si="631"/>
        <v>0</v>
      </c>
      <c r="O336" s="223">
        <f t="shared" si="631"/>
        <v>0</v>
      </c>
      <c r="P336" s="223">
        <f t="shared" si="631"/>
        <v>0</v>
      </c>
      <c r="Q336" s="407">
        <f t="shared" si="631"/>
        <v>0</v>
      </c>
      <c r="R336" s="78">
        <f t="shared" si="585"/>
        <v>0</v>
      </c>
      <c r="S336" s="223">
        <f t="shared" si="632"/>
        <v>0</v>
      </c>
      <c r="T336" s="223">
        <f t="shared" si="632"/>
        <v>0</v>
      </c>
      <c r="U336" s="223">
        <f t="shared" si="632"/>
        <v>0</v>
      </c>
      <c r="V336" s="223">
        <f t="shared" si="632"/>
        <v>0</v>
      </c>
      <c r="W336" s="223">
        <f t="shared" si="632"/>
        <v>0</v>
      </c>
      <c r="X336" s="223">
        <f t="shared" si="632"/>
        <v>0</v>
      </c>
      <c r="Y336" s="223">
        <f t="shared" si="632"/>
        <v>0</v>
      </c>
      <c r="Z336" s="223">
        <f t="shared" si="632"/>
        <v>0</v>
      </c>
      <c r="AA336" s="78">
        <f t="shared" si="599"/>
        <v>0</v>
      </c>
      <c r="AB336" s="78">
        <f t="shared" si="586"/>
        <v>0</v>
      </c>
      <c r="AC336" s="174" t="e">
        <f t="shared" si="621"/>
        <v>#DIV/0!</v>
      </c>
    </row>
    <row r="337" spans="1:29" s="63" customFormat="1" ht="15.75" hidden="1" x14ac:dyDescent="0.2">
      <c r="A337" s="397"/>
      <c r="B337" s="81" t="s">
        <v>817</v>
      </c>
      <c r="C337" s="194" t="s">
        <v>818</v>
      </c>
      <c r="D337" s="223">
        <f t="shared" si="629"/>
        <v>0</v>
      </c>
      <c r="E337" s="187">
        <f>SUM('ADICIONES  2021'!C337:I337)</f>
        <v>0</v>
      </c>
      <c r="F337" s="223">
        <f t="shared" si="630"/>
        <v>0</v>
      </c>
      <c r="G337" s="223">
        <f t="shared" si="630"/>
        <v>0</v>
      </c>
      <c r="H337" s="223">
        <f t="shared" si="630"/>
        <v>0</v>
      </c>
      <c r="I337" s="223">
        <f t="shared" si="630"/>
        <v>0</v>
      </c>
      <c r="J337" s="223">
        <f t="shared" si="630"/>
        <v>0</v>
      </c>
      <c r="K337" s="78">
        <f t="shared" si="579"/>
        <v>0</v>
      </c>
      <c r="L337" s="223">
        <f t="shared" si="631"/>
        <v>0</v>
      </c>
      <c r="M337" s="223">
        <f t="shared" si="631"/>
        <v>0</v>
      </c>
      <c r="N337" s="223">
        <f t="shared" si="631"/>
        <v>0</v>
      </c>
      <c r="O337" s="223">
        <f t="shared" si="631"/>
        <v>0</v>
      </c>
      <c r="P337" s="223">
        <f t="shared" si="631"/>
        <v>0</v>
      </c>
      <c r="Q337" s="407">
        <f t="shared" si="631"/>
        <v>0</v>
      </c>
      <c r="R337" s="78">
        <f t="shared" si="585"/>
        <v>0</v>
      </c>
      <c r="S337" s="223">
        <f t="shared" si="632"/>
        <v>0</v>
      </c>
      <c r="T337" s="223">
        <f t="shared" si="632"/>
        <v>0</v>
      </c>
      <c r="U337" s="223">
        <f t="shared" si="632"/>
        <v>0</v>
      </c>
      <c r="V337" s="223">
        <f t="shared" si="632"/>
        <v>0</v>
      </c>
      <c r="W337" s="223">
        <f t="shared" si="632"/>
        <v>0</v>
      </c>
      <c r="X337" s="223">
        <f t="shared" si="632"/>
        <v>0</v>
      </c>
      <c r="Y337" s="223">
        <f t="shared" si="632"/>
        <v>0</v>
      </c>
      <c r="Z337" s="223">
        <f t="shared" si="632"/>
        <v>0</v>
      </c>
      <c r="AA337" s="78">
        <f t="shared" si="599"/>
        <v>0</v>
      </c>
      <c r="AB337" s="78">
        <f t="shared" si="586"/>
        <v>0</v>
      </c>
      <c r="AC337" s="174" t="e">
        <f t="shared" si="621"/>
        <v>#DIV/0!</v>
      </c>
    </row>
    <row r="338" spans="1:29" s="63" customFormat="1" ht="15.75" hidden="1" x14ac:dyDescent="0.2">
      <c r="A338" s="397"/>
      <c r="B338" s="81" t="s">
        <v>819</v>
      </c>
      <c r="C338" s="79" t="s">
        <v>820</v>
      </c>
      <c r="D338" s="223">
        <f t="shared" ref="D338" si="633">SUM(D339:D339)</f>
        <v>0</v>
      </c>
      <c r="E338" s="187">
        <f>SUM('ADICIONES  2021'!C338:I338)</f>
        <v>0</v>
      </c>
      <c r="F338" s="223">
        <f t="shared" ref="F338:J338" si="634">SUM(F339:F339)</f>
        <v>0</v>
      </c>
      <c r="G338" s="223">
        <f t="shared" si="634"/>
        <v>0</v>
      </c>
      <c r="H338" s="223">
        <f t="shared" si="634"/>
        <v>0</v>
      </c>
      <c r="I338" s="223">
        <f t="shared" si="634"/>
        <v>0</v>
      </c>
      <c r="J338" s="223">
        <f t="shared" si="634"/>
        <v>0</v>
      </c>
      <c r="K338" s="78">
        <f t="shared" si="579"/>
        <v>0</v>
      </c>
      <c r="L338" s="223">
        <f t="shared" ref="L338:Q338" si="635">SUM(L339:L339)</f>
        <v>0</v>
      </c>
      <c r="M338" s="223">
        <f t="shared" si="635"/>
        <v>0</v>
      </c>
      <c r="N338" s="223">
        <f t="shared" si="635"/>
        <v>0</v>
      </c>
      <c r="O338" s="223">
        <f t="shared" si="635"/>
        <v>0</v>
      </c>
      <c r="P338" s="223">
        <f t="shared" si="635"/>
        <v>0</v>
      </c>
      <c r="Q338" s="407">
        <f t="shared" si="635"/>
        <v>0</v>
      </c>
      <c r="R338" s="78">
        <f t="shared" si="585"/>
        <v>0</v>
      </c>
      <c r="S338" s="223">
        <f t="shared" ref="S338:Z338" si="636">SUM(S339:S339)</f>
        <v>0</v>
      </c>
      <c r="T338" s="223">
        <f t="shared" si="636"/>
        <v>0</v>
      </c>
      <c r="U338" s="223">
        <f t="shared" si="636"/>
        <v>0</v>
      </c>
      <c r="V338" s="223">
        <f t="shared" si="636"/>
        <v>0</v>
      </c>
      <c r="W338" s="223">
        <f t="shared" si="636"/>
        <v>0</v>
      </c>
      <c r="X338" s="223">
        <f t="shared" si="636"/>
        <v>0</v>
      </c>
      <c r="Y338" s="223">
        <f t="shared" si="636"/>
        <v>0</v>
      </c>
      <c r="Z338" s="223">
        <f t="shared" si="636"/>
        <v>0</v>
      </c>
      <c r="AA338" s="78">
        <f t="shared" si="599"/>
        <v>0</v>
      </c>
      <c r="AB338" s="78">
        <f t="shared" si="586"/>
        <v>0</v>
      </c>
      <c r="AC338" s="174" t="e">
        <f t="shared" si="621"/>
        <v>#DIV/0!</v>
      </c>
    </row>
    <row r="339" spans="1:29" ht="15.75" hidden="1" x14ac:dyDescent="0.2">
      <c r="A339" s="396">
        <v>1</v>
      </c>
      <c r="B339" s="76" t="s">
        <v>821</v>
      </c>
      <c r="C339" s="77" t="s">
        <v>235</v>
      </c>
      <c r="D339" s="41"/>
      <c r="E339" s="188">
        <f>SUM('ADICIONES  2021'!C339:I339)</f>
        <v>0</v>
      </c>
      <c r="F339" s="41"/>
      <c r="G339" s="41"/>
      <c r="H339" s="41"/>
      <c r="I339" s="41"/>
      <c r="J339" s="41"/>
      <c r="K339" s="128">
        <f t="shared" si="579"/>
        <v>0</v>
      </c>
      <c r="L339" s="41"/>
      <c r="M339" s="41"/>
      <c r="N339" s="41"/>
      <c r="O339" s="41"/>
      <c r="P339" s="41"/>
      <c r="Q339" s="409"/>
      <c r="R339" s="128">
        <f t="shared" si="585"/>
        <v>0</v>
      </c>
      <c r="S339" s="41"/>
      <c r="T339" s="41"/>
      <c r="U339" s="41"/>
      <c r="V339" s="41"/>
      <c r="W339" s="41"/>
      <c r="X339" s="41"/>
      <c r="Y339" s="41"/>
      <c r="Z339" s="41"/>
      <c r="AA339" s="128">
        <f t="shared" si="599"/>
        <v>0</v>
      </c>
      <c r="AB339" s="128">
        <f t="shared" si="586"/>
        <v>0</v>
      </c>
      <c r="AC339" s="174" t="e">
        <f t="shared" si="621"/>
        <v>#DIV/0!</v>
      </c>
    </row>
    <row r="340" spans="1:29" s="63" customFormat="1" ht="19.5" x14ac:dyDescent="0.2">
      <c r="A340" s="397">
        <v>1</v>
      </c>
      <c r="B340" s="81" t="s">
        <v>822</v>
      </c>
      <c r="C340" s="79" t="s">
        <v>108</v>
      </c>
      <c r="D340" s="162">
        <f t="shared" ref="D340" si="637">+D341</f>
        <v>0</v>
      </c>
      <c r="E340" s="306">
        <f>SUM('ADICIONES  2021'!C340:I340)</f>
        <v>170811967972.85999</v>
      </c>
      <c r="F340" s="162">
        <f t="shared" ref="F340:J340" si="638">+F341</f>
        <v>0</v>
      </c>
      <c r="G340" s="162">
        <f t="shared" si="638"/>
        <v>0</v>
      </c>
      <c r="H340" s="162">
        <f t="shared" si="638"/>
        <v>2500000000</v>
      </c>
      <c r="I340" s="162">
        <f t="shared" si="638"/>
        <v>0</v>
      </c>
      <c r="J340" s="162">
        <f t="shared" si="638"/>
        <v>0</v>
      </c>
      <c r="K340" s="78">
        <f t="shared" si="579"/>
        <v>168311967972.85999</v>
      </c>
      <c r="L340" s="162">
        <f t="shared" ref="L340:Q340" si="639">+L341</f>
        <v>0</v>
      </c>
      <c r="M340" s="162">
        <f t="shared" si="639"/>
        <v>0</v>
      </c>
      <c r="N340" s="162">
        <f t="shared" si="639"/>
        <v>0</v>
      </c>
      <c r="O340" s="162">
        <f t="shared" si="639"/>
        <v>0</v>
      </c>
      <c r="P340" s="162">
        <f t="shared" si="639"/>
        <v>143910095102.78998</v>
      </c>
      <c r="Q340" s="418">
        <f t="shared" si="639"/>
        <v>0.01</v>
      </c>
      <c r="R340" s="78">
        <f t="shared" si="585"/>
        <v>143910095102.79999</v>
      </c>
      <c r="S340" s="162">
        <f t="shared" ref="S340:Z340" si="640">+S341</f>
        <v>0</v>
      </c>
      <c r="T340" s="162">
        <f t="shared" si="640"/>
        <v>0</v>
      </c>
      <c r="U340" s="162">
        <f t="shared" si="640"/>
        <v>0</v>
      </c>
      <c r="V340" s="162">
        <f t="shared" si="640"/>
        <v>0</v>
      </c>
      <c r="W340" s="162">
        <f t="shared" si="640"/>
        <v>0</v>
      </c>
      <c r="X340" s="162">
        <f t="shared" si="640"/>
        <v>0</v>
      </c>
      <c r="Y340" s="162">
        <f t="shared" si="640"/>
        <v>0</v>
      </c>
      <c r="Z340" s="162">
        <f t="shared" si="640"/>
        <v>0</v>
      </c>
      <c r="AA340" s="78">
        <f t="shared" si="599"/>
        <v>0</v>
      </c>
      <c r="AB340" s="78">
        <f t="shared" si="586"/>
        <v>143910095102.79999</v>
      </c>
      <c r="AC340" s="174">
        <f t="shared" si="621"/>
        <v>0.8550199777000127</v>
      </c>
    </row>
    <row r="341" spans="1:29" s="63" customFormat="1" ht="19.5" x14ac:dyDescent="0.2">
      <c r="A341" s="397"/>
      <c r="B341" s="81" t="s">
        <v>823</v>
      </c>
      <c r="C341" s="79" t="s">
        <v>824</v>
      </c>
      <c r="D341" s="162">
        <f>+D342+D346+D400+D403+D406+D414+D455+D461+D493+D495+D497+D499+D501+D503+D505+D507+D509+D511+D513+D515+D517+D519+D521+D523+D525+D527+D529+D531+D533+D535+D537+D539+D541+D543+D545+D547+D549+D551+D553+D555+D560+D563</f>
        <v>0</v>
      </c>
      <c r="E341" s="187">
        <f>SUM('ADICIONES  2021'!C341:I341)</f>
        <v>170811967972.85999</v>
      </c>
      <c r="F341" s="162">
        <f>+F342+F346+F400+F403+F406+F414+F455+F461+F493+F495+F497+F499+F501+F503+F505+F507+F509+F511+F513+F515+F517+F519+F521+F523+F525+F527+F529+F531+F533+F535+F537+F539+F541+F543+F545+F547+F549+F551+F553+F555+F560+F563</f>
        <v>0</v>
      </c>
      <c r="G341" s="162">
        <f>+G342+G346+G400+G403+G406+G414+G455+G461+G493+G495+G497+G499+G501+G503+G505+G507+G509+G511+G513+G515+G517+G519+G521+G523+G525+G527+G529+G531+G533+G535+G537+G539+G541+G543+G545+G547+G549+G551+G553+G555+G560+G563</f>
        <v>0</v>
      </c>
      <c r="H341" s="162">
        <f>+H342+H346+H400+H403+H406+H414+H455+H461+H493+H495+H497+H499+H501+H503+H505+H507+H509+H511+H513+H515+H517+H519+H521+H523+H525+H527+H529+H531+H533+H535+H537+H539+H541+H543+H545+H547+H549+H551+H553+H555+H560+H563</f>
        <v>2500000000</v>
      </c>
      <c r="I341" s="162">
        <f>+I342+I346+I400+I403+I406+I414+I455+I461+I493+I495+I497+I499+I501+I503+I505+I507+I509+I511+I513+I515+I517+I519+I521+I523+I525+I527+I529+I531+I533+I535+I537+I539+I541+I543+I545+I547+I549+I551+I553+I555+I560+I563</f>
        <v>0</v>
      </c>
      <c r="J341" s="162">
        <f>+J342+J346+J400+J403+J406+J414+J455+J461+J493+J495+J497+J499+J501+J503+J505+J507+J509+J511+J513+J515+J517+J519+J521+J523+J525+J527+J529+J531+J533+J535+J537+J539+J541+J543+J545+J547+J549+J551+J553+J555+J560+J563</f>
        <v>0</v>
      </c>
      <c r="K341" s="78">
        <f t="shared" si="579"/>
        <v>168311967972.85999</v>
      </c>
      <c r="L341" s="162">
        <f t="shared" ref="L341:Q341" si="641">+L342+L346+L400+L403+L406+L414+L455+L461+L493+L495+L497+L499+L501+L503+L505+L507+L509+L511+L513+L515+L517+L519+L521+L523+L525+L527+L529+L531+L533+L535+L537+L539+L541+L543+L545+L547+L549+L551+L553+L555+L560+L563</f>
        <v>0</v>
      </c>
      <c r="M341" s="162">
        <f t="shared" si="641"/>
        <v>0</v>
      </c>
      <c r="N341" s="162">
        <f t="shared" si="641"/>
        <v>0</v>
      </c>
      <c r="O341" s="162">
        <f t="shared" si="641"/>
        <v>0</v>
      </c>
      <c r="P341" s="162">
        <f>+P342+P346+P400+P403+P406+P414+P455+P461+P493+P495+P497+P499+P501+P503+P505+P507+P509+P511+P513+P515+P517+P519+P521+P523+P525+P527+P529+P531+P533+P535+P537+P539+P541+P543+P545+P547+P549+P551+P553+P555+P560+P563</f>
        <v>143910095102.78998</v>
      </c>
      <c r="Q341" s="418">
        <f t="shared" si="641"/>
        <v>0.01</v>
      </c>
      <c r="R341" s="78">
        <f t="shared" si="585"/>
        <v>143910095102.79999</v>
      </c>
      <c r="S341" s="162">
        <f t="shared" ref="S341:Z341" si="642">+S342+S346+S400+S403+S406+S414+S455+S461+S493+S495+S497+S499+S501+S503+S505+S507+S509+S511+S513+S515+S517+S519+S521+S523+S525+S527+S529+S531+S533+S535+S537+S539+S541+S543+S545+S547+S549+S551+S553+S555+S560+S563</f>
        <v>0</v>
      </c>
      <c r="T341" s="162">
        <f t="shared" si="642"/>
        <v>0</v>
      </c>
      <c r="U341" s="162">
        <f t="shared" si="642"/>
        <v>0</v>
      </c>
      <c r="V341" s="162">
        <f t="shared" si="642"/>
        <v>0</v>
      </c>
      <c r="W341" s="162">
        <f t="shared" si="642"/>
        <v>0</v>
      </c>
      <c r="X341" s="162">
        <f t="shared" si="642"/>
        <v>0</v>
      </c>
      <c r="Y341" s="162">
        <f t="shared" si="642"/>
        <v>0</v>
      </c>
      <c r="Z341" s="162">
        <f t="shared" si="642"/>
        <v>0</v>
      </c>
      <c r="AA341" s="78">
        <f t="shared" si="599"/>
        <v>0</v>
      </c>
      <c r="AB341" s="78">
        <f t="shared" si="586"/>
        <v>143910095102.79999</v>
      </c>
      <c r="AC341" s="174">
        <f t="shared" si="621"/>
        <v>0.8550199777000127</v>
      </c>
    </row>
    <row r="342" spans="1:29" s="63" customFormat="1" ht="31.5" x14ac:dyDescent="0.2">
      <c r="A342" s="397"/>
      <c r="B342" s="81" t="s">
        <v>825</v>
      </c>
      <c r="C342" s="79" t="s">
        <v>826</v>
      </c>
      <c r="D342" s="162">
        <f t="shared" ref="D342" si="643">SUM(D343:D345)</f>
        <v>0</v>
      </c>
      <c r="E342" s="187">
        <f>SUM('ADICIONES  2021'!C342:I342)</f>
        <v>5727988989</v>
      </c>
      <c r="F342" s="162">
        <f t="shared" ref="F342:J342" si="644">SUM(F343:F345)</f>
        <v>0</v>
      </c>
      <c r="G342" s="162">
        <f t="shared" si="644"/>
        <v>0</v>
      </c>
      <c r="H342" s="162">
        <f t="shared" si="644"/>
        <v>0</v>
      </c>
      <c r="I342" s="162">
        <f t="shared" si="644"/>
        <v>0</v>
      </c>
      <c r="J342" s="162">
        <f t="shared" si="644"/>
        <v>0</v>
      </c>
      <c r="K342" s="78">
        <f t="shared" si="579"/>
        <v>5727988989</v>
      </c>
      <c r="L342" s="162">
        <f t="shared" ref="L342:Q342" si="645">SUM(L343:L345)</f>
        <v>0</v>
      </c>
      <c r="M342" s="162">
        <f t="shared" si="645"/>
        <v>0</v>
      </c>
      <c r="N342" s="162">
        <f t="shared" si="645"/>
        <v>0</v>
      </c>
      <c r="O342" s="162">
        <f t="shared" si="645"/>
        <v>0</v>
      </c>
      <c r="P342" s="162">
        <f t="shared" si="645"/>
        <v>0</v>
      </c>
      <c r="Q342" s="418">
        <f t="shared" si="645"/>
        <v>0</v>
      </c>
      <c r="R342" s="78">
        <f t="shared" si="585"/>
        <v>0</v>
      </c>
      <c r="S342" s="162">
        <f t="shared" ref="S342:Z342" si="646">SUM(S343:S345)</f>
        <v>0</v>
      </c>
      <c r="T342" s="162">
        <f t="shared" si="646"/>
        <v>0</v>
      </c>
      <c r="U342" s="162">
        <f t="shared" si="646"/>
        <v>0</v>
      </c>
      <c r="V342" s="162">
        <f t="shared" si="646"/>
        <v>0</v>
      </c>
      <c r="W342" s="162">
        <f t="shared" si="646"/>
        <v>0</v>
      </c>
      <c r="X342" s="162">
        <f t="shared" si="646"/>
        <v>0</v>
      </c>
      <c r="Y342" s="162">
        <f t="shared" si="646"/>
        <v>0</v>
      </c>
      <c r="Z342" s="162">
        <f t="shared" si="646"/>
        <v>0</v>
      </c>
      <c r="AA342" s="78">
        <f t="shared" si="599"/>
        <v>0</v>
      </c>
      <c r="AB342" s="78">
        <f t="shared" si="586"/>
        <v>0</v>
      </c>
      <c r="AC342" s="174">
        <f t="shared" si="621"/>
        <v>0</v>
      </c>
    </row>
    <row r="343" spans="1:29" ht="28.5" x14ac:dyDescent="0.2">
      <c r="B343" s="76" t="s">
        <v>827</v>
      </c>
      <c r="C343" s="77" t="s">
        <v>828</v>
      </c>
      <c r="D343" s="41"/>
      <c r="E343" s="188">
        <f>SUM('ADICIONES  2021'!C343:I343)</f>
        <v>574700</v>
      </c>
      <c r="F343" s="41"/>
      <c r="G343" s="41"/>
      <c r="H343" s="41"/>
      <c r="I343" s="41"/>
      <c r="J343" s="41"/>
      <c r="K343" s="128">
        <f t="shared" si="579"/>
        <v>574700</v>
      </c>
      <c r="L343" s="41"/>
      <c r="M343" s="41"/>
      <c r="N343" s="41"/>
      <c r="O343" s="41"/>
      <c r="P343" s="41"/>
      <c r="Q343" s="409"/>
      <c r="R343" s="128">
        <f t="shared" si="585"/>
        <v>0</v>
      </c>
      <c r="S343" s="41"/>
      <c r="T343" s="41"/>
      <c r="U343" s="41"/>
      <c r="V343" s="41"/>
      <c r="W343" s="41"/>
      <c r="X343" s="41"/>
      <c r="Y343" s="41"/>
      <c r="Z343" s="41"/>
      <c r="AA343" s="128">
        <f t="shared" si="599"/>
        <v>0</v>
      </c>
      <c r="AB343" s="128">
        <f t="shared" si="586"/>
        <v>0</v>
      </c>
      <c r="AC343" s="175">
        <f t="shared" si="621"/>
        <v>0</v>
      </c>
    </row>
    <row r="344" spans="1:29" ht="42.75" x14ac:dyDescent="0.2">
      <c r="B344" s="76" t="s">
        <v>829</v>
      </c>
      <c r="C344" s="77" t="s">
        <v>830</v>
      </c>
      <c r="D344" s="41"/>
      <c r="E344" s="188">
        <f>SUM('ADICIONES  2021'!C344:I344)</f>
        <v>5709414289</v>
      </c>
      <c r="F344" s="41"/>
      <c r="G344" s="41"/>
      <c r="H344" s="41"/>
      <c r="I344" s="41"/>
      <c r="J344" s="41"/>
      <c r="K344" s="128">
        <f t="shared" ref="K344:K598" si="647">+D344+E344-F344+G344-H344</f>
        <v>5709414289</v>
      </c>
      <c r="L344" s="41"/>
      <c r="M344" s="41"/>
      <c r="N344" s="41"/>
      <c r="O344" s="41"/>
      <c r="P344" s="41"/>
      <c r="Q344" s="409"/>
      <c r="R344" s="128">
        <f t="shared" si="585"/>
        <v>0</v>
      </c>
      <c r="S344" s="41"/>
      <c r="T344" s="41"/>
      <c r="U344" s="41"/>
      <c r="V344" s="41"/>
      <c r="W344" s="41"/>
      <c r="X344" s="41"/>
      <c r="Y344" s="41"/>
      <c r="Z344" s="41"/>
      <c r="AA344" s="128">
        <f t="shared" si="599"/>
        <v>0</v>
      </c>
      <c r="AB344" s="128">
        <f t="shared" si="586"/>
        <v>0</v>
      </c>
      <c r="AC344" s="175">
        <f t="shared" si="621"/>
        <v>0</v>
      </c>
    </row>
    <row r="345" spans="1:29" ht="28.5" x14ac:dyDescent="0.2">
      <c r="B345" s="76" t="s">
        <v>831</v>
      </c>
      <c r="C345" s="77" t="s">
        <v>832</v>
      </c>
      <c r="D345" s="41"/>
      <c r="E345" s="188">
        <f>SUM('ADICIONES  2021'!C345:I345)</f>
        <v>18000000</v>
      </c>
      <c r="F345" s="41"/>
      <c r="G345" s="41"/>
      <c r="H345" s="41"/>
      <c r="I345" s="41"/>
      <c r="J345" s="41"/>
      <c r="K345" s="128">
        <f t="shared" si="647"/>
        <v>18000000</v>
      </c>
      <c r="L345" s="41"/>
      <c r="M345" s="41"/>
      <c r="N345" s="41"/>
      <c r="O345" s="41"/>
      <c r="P345" s="41"/>
      <c r="Q345" s="409"/>
      <c r="R345" s="128">
        <f t="shared" si="585"/>
        <v>0</v>
      </c>
      <c r="S345" s="41"/>
      <c r="T345" s="41"/>
      <c r="U345" s="41"/>
      <c r="V345" s="41"/>
      <c r="W345" s="41"/>
      <c r="X345" s="41"/>
      <c r="Y345" s="41"/>
      <c r="Z345" s="41"/>
      <c r="AA345" s="128">
        <f t="shared" si="599"/>
        <v>0</v>
      </c>
      <c r="AB345" s="128">
        <f t="shared" si="586"/>
        <v>0</v>
      </c>
      <c r="AC345" s="175">
        <f t="shared" si="621"/>
        <v>0</v>
      </c>
    </row>
    <row r="346" spans="1:29" s="63" customFormat="1" ht="31.5" x14ac:dyDescent="0.2">
      <c r="A346" s="397"/>
      <c r="B346" s="81" t="s">
        <v>833</v>
      </c>
      <c r="C346" s="79" t="s">
        <v>834</v>
      </c>
      <c r="D346" s="162">
        <f>+D347+D349+D352+D354+D374+D375+D376+D377+D378+D379+D380+D381+D382+D383+D384+D385+D386+D387+D388+D389+D390+D391+D392+D393+D394+D395+D396+D397+D398+D399</f>
        <v>0</v>
      </c>
      <c r="E346" s="187">
        <f>SUM('ADICIONES  2021'!C346:I346)</f>
        <v>8625449945.9599991</v>
      </c>
      <c r="F346" s="162">
        <f>+F347+F349+F352+F354+F374+F375+F376+F377+F378+F379+F380+F381+F382+F383+F384+F385+F386+F387+F388+F389+F390+F391+F392+F393+F394+F395+F396+F397+F398+F399</f>
        <v>0</v>
      </c>
      <c r="G346" s="162">
        <f>+G347+G349+G352+G354+G374+G375+G376+G377+G378+G379+G380+G381+G382+G383+G384+G385+G386+G387+G388+G389+G390+G391+G392+G393+G394+G395+G396+G397+G398+G399</f>
        <v>0</v>
      </c>
      <c r="H346" s="162">
        <f>+H347+H349+H352+H354+H374+H375+H376+H377+H378+H379+H380+H381+H382+H383+H384+H385+H386+H387+H388+H389+H390+H391+H392+H393+H394+H395+H396+H397+H398+H399</f>
        <v>0</v>
      </c>
      <c r="I346" s="162">
        <f>+I347+I349+I352+I354+I374+I375+I376+I377+I378+I379+I380+I381+I382+I383+I384+I385+I386+I387+I388+I389+I390+I391+I392+I393+I394+I395+I396+I397+I398+I399</f>
        <v>0</v>
      </c>
      <c r="J346" s="162">
        <f>+J347+J349+J352+J354+J374+J375+J376+J377+J378+J379+J380+J381+J382+J383+J384+J385+J386+J387+J388+J389+J390+J391+J392+J393+J394+J395+J396+J397+J398+J399</f>
        <v>0</v>
      </c>
      <c r="K346" s="78">
        <f t="shared" si="647"/>
        <v>8625449945.9599991</v>
      </c>
      <c r="L346" s="162">
        <f t="shared" ref="L346:Q346" si="648">+L347+L349+L352+L354+L374+L375+L376+L377+L378+L379+L380+L381+L382+L383+L384+L385+L386+L387+L388+L389+L390+L391+L392+L393+L394+L395+L396+L397+L398+L399</f>
        <v>0</v>
      </c>
      <c r="M346" s="162">
        <f t="shared" si="648"/>
        <v>0</v>
      </c>
      <c r="N346" s="162">
        <f t="shared" si="648"/>
        <v>0</v>
      </c>
      <c r="O346" s="162">
        <f t="shared" si="648"/>
        <v>0</v>
      </c>
      <c r="P346" s="162">
        <f t="shared" si="648"/>
        <v>7839414227.4300003</v>
      </c>
      <c r="Q346" s="418">
        <f t="shared" si="648"/>
        <v>0</v>
      </c>
      <c r="R346" s="78">
        <f t="shared" ref="R346:R630" si="649">SUM(L346:Q346)</f>
        <v>7839414227.4300003</v>
      </c>
      <c r="S346" s="162">
        <f t="shared" ref="S346:Z346" si="650">+S347+S349+S352+S354+S374+S375+S376+S377+S378+S379+S380+S381+S382+S383+S384+S385+S386+S387+S388+S389+S390+S391+S392+S393+S394+S395+S396+S397+S398+S399</f>
        <v>0</v>
      </c>
      <c r="T346" s="162">
        <f t="shared" si="650"/>
        <v>0</v>
      </c>
      <c r="U346" s="162">
        <f t="shared" si="650"/>
        <v>0</v>
      </c>
      <c r="V346" s="162">
        <f t="shared" si="650"/>
        <v>0</v>
      </c>
      <c r="W346" s="162">
        <f t="shared" si="650"/>
        <v>0</v>
      </c>
      <c r="X346" s="162">
        <f t="shared" si="650"/>
        <v>0</v>
      </c>
      <c r="Y346" s="162">
        <f t="shared" si="650"/>
        <v>0</v>
      </c>
      <c r="Z346" s="162">
        <f t="shared" si="650"/>
        <v>0</v>
      </c>
      <c r="AA346" s="78">
        <f t="shared" si="599"/>
        <v>0</v>
      </c>
      <c r="AB346" s="78">
        <f t="shared" ref="AB346:AB600" si="651">+R346+AA346</f>
        <v>7839414227.4300003</v>
      </c>
      <c r="AC346" s="174">
        <f t="shared" si="621"/>
        <v>0.90887017796698677</v>
      </c>
    </row>
    <row r="347" spans="1:29" s="63" customFormat="1" ht="31.5" x14ac:dyDescent="0.2">
      <c r="A347" s="397"/>
      <c r="B347" s="81" t="s">
        <v>835</v>
      </c>
      <c r="C347" s="79" t="s">
        <v>836</v>
      </c>
      <c r="D347" s="162">
        <f t="shared" ref="D347" si="652">+D348</f>
        <v>0</v>
      </c>
      <c r="E347" s="187">
        <f>SUM('ADICIONES  2021'!C347:I347)</f>
        <v>6063279</v>
      </c>
      <c r="F347" s="162">
        <f t="shared" ref="F347:J347" si="653">+F348</f>
        <v>0</v>
      </c>
      <c r="G347" s="162">
        <f t="shared" si="653"/>
        <v>0</v>
      </c>
      <c r="H347" s="162">
        <f t="shared" si="653"/>
        <v>0</v>
      </c>
      <c r="I347" s="162">
        <f t="shared" si="653"/>
        <v>0</v>
      </c>
      <c r="J347" s="162">
        <f t="shared" si="653"/>
        <v>0</v>
      </c>
      <c r="K347" s="78">
        <f t="shared" si="647"/>
        <v>6063279</v>
      </c>
      <c r="L347" s="162">
        <f t="shared" ref="L347:Q347" si="654">+L348</f>
        <v>0</v>
      </c>
      <c r="M347" s="162">
        <f t="shared" si="654"/>
        <v>0</v>
      </c>
      <c r="N347" s="162">
        <f t="shared" si="654"/>
        <v>0</v>
      </c>
      <c r="O347" s="162">
        <f t="shared" si="654"/>
        <v>0</v>
      </c>
      <c r="P347" s="162">
        <f t="shared" si="654"/>
        <v>0</v>
      </c>
      <c r="Q347" s="418">
        <f t="shared" si="654"/>
        <v>0</v>
      </c>
      <c r="R347" s="78">
        <f t="shared" si="649"/>
        <v>0</v>
      </c>
      <c r="S347" s="162">
        <f t="shared" ref="S347:Z347" si="655">+S348</f>
        <v>0</v>
      </c>
      <c r="T347" s="162">
        <f t="shared" si="655"/>
        <v>0</v>
      </c>
      <c r="U347" s="162">
        <f t="shared" si="655"/>
        <v>0</v>
      </c>
      <c r="V347" s="162">
        <f t="shared" si="655"/>
        <v>0</v>
      </c>
      <c r="W347" s="162">
        <f t="shared" si="655"/>
        <v>0</v>
      </c>
      <c r="X347" s="162">
        <f t="shared" si="655"/>
        <v>0</v>
      </c>
      <c r="Y347" s="162">
        <f t="shared" si="655"/>
        <v>0</v>
      </c>
      <c r="Z347" s="162">
        <f t="shared" si="655"/>
        <v>0</v>
      </c>
      <c r="AA347" s="78">
        <f t="shared" si="599"/>
        <v>0</v>
      </c>
      <c r="AB347" s="78">
        <f t="shared" si="651"/>
        <v>0</v>
      </c>
      <c r="AC347" s="174">
        <f t="shared" si="621"/>
        <v>0</v>
      </c>
    </row>
    <row r="348" spans="1:29" ht="28.5" x14ac:dyDescent="0.2">
      <c r="B348" s="76" t="s">
        <v>837</v>
      </c>
      <c r="C348" s="77" t="s">
        <v>836</v>
      </c>
      <c r="D348" s="41"/>
      <c r="E348" s="188">
        <f>SUM('ADICIONES  2021'!C348:I348)</f>
        <v>6063279</v>
      </c>
      <c r="F348" s="41"/>
      <c r="G348" s="41"/>
      <c r="H348" s="41"/>
      <c r="I348" s="41"/>
      <c r="J348" s="41"/>
      <c r="K348" s="128">
        <f t="shared" si="647"/>
        <v>6063279</v>
      </c>
      <c r="L348" s="41"/>
      <c r="M348" s="41"/>
      <c r="N348" s="41"/>
      <c r="O348" s="41"/>
      <c r="P348" s="41"/>
      <c r="Q348" s="409"/>
      <c r="R348" s="128">
        <f t="shared" si="649"/>
        <v>0</v>
      </c>
      <c r="S348" s="41"/>
      <c r="T348" s="41"/>
      <c r="U348" s="41"/>
      <c r="V348" s="41"/>
      <c r="W348" s="41"/>
      <c r="X348" s="41"/>
      <c r="Y348" s="41"/>
      <c r="Z348" s="41"/>
      <c r="AA348" s="128">
        <f t="shared" si="599"/>
        <v>0</v>
      </c>
      <c r="AB348" s="128">
        <f t="shared" si="651"/>
        <v>0</v>
      </c>
      <c r="AC348" s="175">
        <f t="shared" si="621"/>
        <v>0</v>
      </c>
    </row>
    <row r="349" spans="1:29" ht="19.5" x14ac:dyDescent="0.2">
      <c r="B349" s="81" t="s">
        <v>1211</v>
      </c>
      <c r="C349" s="79" t="s">
        <v>1212</v>
      </c>
      <c r="D349" s="162">
        <f t="shared" ref="D349" si="656">SUM(D350:D351)</f>
        <v>0</v>
      </c>
      <c r="E349" s="187">
        <f>SUM('ADICIONES  2021'!C349:I349)</f>
        <v>1337794170.01</v>
      </c>
      <c r="F349" s="162">
        <f t="shared" ref="F349:J349" si="657">SUM(F350:F351)</f>
        <v>0</v>
      </c>
      <c r="G349" s="162">
        <f t="shared" si="657"/>
        <v>0</v>
      </c>
      <c r="H349" s="162">
        <f t="shared" si="657"/>
        <v>0</v>
      </c>
      <c r="I349" s="162">
        <f t="shared" si="657"/>
        <v>0</v>
      </c>
      <c r="J349" s="162">
        <f t="shared" si="657"/>
        <v>0</v>
      </c>
      <c r="K349" s="78">
        <f t="shared" si="647"/>
        <v>1337794170.01</v>
      </c>
      <c r="L349" s="162">
        <f t="shared" ref="L349:Q349" si="658">SUM(L350:L351)</f>
        <v>0</v>
      </c>
      <c r="M349" s="162">
        <f t="shared" si="658"/>
        <v>0</v>
      </c>
      <c r="N349" s="162">
        <f t="shared" si="658"/>
        <v>0</v>
      </c>
      <c r="O349" s="162">
        <f t="shared" si="658"/>
        <v>0</v>
      </c>
      <c r="P349" s="162">
        <f t="shared" si="658"/>
        <v>612356670.00999999</v>
      </c>
      <c r="Q349" s="418">
        <f t="shared" si="658"/>
        <v>0</v>
      </c>
      <c r="R349" s="78">
        <f t="shared" si="649"/>
        <v>612356670.00999999</v>
      </c>
      <c r="S349" s="162">
        <f t="shared" ref="S349:Z349" si="659">SUM(S350:S351)</f>
        <v>0</v>
      </c>
      <c r="T349" s="162">
        <f t="shared" si="659"/>
        <v>0</v>
      </c>
      <c r="U349" s="162">
        <f t="shared" si="659"/>
        <v>0</v>
      </c>
      <c r="V349" s="162">
        <f t="shared" si="659"/>
        <v>0</v>
      </c>
      <c r="W349" s="162">
        <f t="shared" si="659"/>
        <v>0</v>
      </c>
      <c r="X349" s="162">
        <f t="shared" si="659"/>
        <v>0</v>
      </c>
      <c r="Y349" s="162">
        <f t="shared" si="659"/>
        <v>0</v>
      </c>
      <c r="Z349" s="162">
        <f t="shared" si="659"/>
        <v>0</v>
      </c>
      <c r="AA349" s="78">
        <f t="shared" ref="AA349:AA415" si="660">SUM(S349:Z349)</f>
        <v>0</v>
      </c>
      <c r="AB349" s="78">
        <f t="shared" si="651"/>
        <v>612356670.00999999</v>
      </c>
      <c r="AC349" s="174">
        <f t="shared" si="621"/>
        <v>0.45773608806011062</v>
      </c>
    </row>
    <row r="350" spans="1:29" ht="14.25" x14ac:dyDescent="0.2">
      <c r="B350" s="76" t="s">
        <v>1213</v>
      </c>
      <c r="C350" s="77" t="s">
        <v>1212</v>
      </c>
      <c r="D350" s="128"/>
      <c r="E350" s="188">
        <f>SUM('ADICIONES  2021'!C350:I350)</f>
        <v>612356670.00999999</v>
      </c>
      <c r="F350" s="128"/>
      <c r="G350" s="128"/>
      <c r="H350" s="128"/>
      <c r="I350" s="128"/>
      <c r="J350" s="128"/>
      <c r="K350" s="128">
        <f t="shared" si="647"/>
        <v>612356670.00999999</v>
      </c>
      <c r="L350" s="128"/>
      <c r="M350" s="128"/>
      <c r="N350" s="128"/>
      <c r="O350" s="128"/>
      <c r="P350" s="128">
        <v>612356670.00999999</v>
      </c>
      <c r="Q350" s="413"/>
      <c r="R350" s="128">
        <f t="shared" si="649"/>
        <v>612356670.00999999</v>
      </c>
      <c r="S350" s="128"/>
      <c r="T350" s="128"/>
      <c r="U350" s="128"/>
      <c r="V350" s="128"/>
      <c r="W350" s="128"/>
      <c r="X350" s="128"/>
      <c r="Y350" s="128"/>
      <c r="Z350" s="128"/>
      <c r="AA350" s="128">
        <f t="shared" ref="AA350" si="661">SUM(S350:Z350)</f>
        <v>0</v>
      </c>
      <c r="AB350" s="128">
        <f t="shared" si="651"/>
        <v>612356670.00999999</v>
      </c>
      <c r="AC350" s="175">
        <f t="shared" si="621"/>
        <v>1</v>
      </c>
    </row>
    <row r="351" spans="1:29" ht="14.25" x14ac:dyDescent="0.2">
      <c r="B351" s="76" t="s">
        <v>1213</v>
      </c>
      <c r="C351" s="77" t="s">
        <v>1212</v>
      </c>
      <c r="D351" s="41"/>
      <c r="E351" s="188">
        <f>SUM('ADICIONES  2021'!C351:I351)</f>
        <v>725437500</v>
      </c>
      <c r="F351" s="41"/>
      <c r="G351" s="41"/>
      <c r="H351" s="41"/>
      <c r="I351" s="41"/>
      <c r="J351" s="41"/>
      <c r="K351" s="128">
        <f t="shared" si="647"/>
        <v>725437500</v>
      </c>
      <c r="L351" s="41"/>
      <c r="M351" s="41"/>
      <c r="N351" s="41"/>
      <c r="O351" s="41"/>
      <c r="P351" s="41">
        <v>0</v>
      </c>
      <c r="Q351" s="409"/>
      <c r="R351" s="128">
        <f t="shared" si="649"/>
        <v>0</v>
      </c>
      <c r="S351" s="41"/>
      <c r="T351" s="41"/>
      <c r="U351" s="41"/>
      <c r="V351" s="41"/>
      <c r="W351" s="41"/>
      <c r="X351" s="41"/>
      <c r="Y351" s="41"/>
      <c r="Z351" s="41"/>
      <c r="AA351" s="128">
        <f t="shared" si="660"/>
        <v>0</v>
      </c>
      <c r="AB351" s="128">
        <f t="shared" si="651"/>
        <v>0</v>
      </c>
      <c r="AC351" s="175">
        <f t="shared" si="621"/>
        <v>0</v>
      </c>
    </row>
    <row r="352" spans="1:29" ht="47.25" x14ac:dyDescent="0.2">
      <c r="B352" s="81" t="s">
        <v>1214</v>
      </c>
      <c r="C352" s="79" t="s">
        <v>1215</v>
      </c>
      <c r="D352" s="162">
        <f t="shared" ref="D352" si="662">+D353</f>
        <v>0</v>
      </c>
      <c r="E352" s="187">
        <f>SUM('ADICIONES  2021'!C352:I352)</f>
        <v>54534939.329999998</v>
      </c>
      <c r="F352" s="162">
        <f t="shared" ref="F352:J352" si="663">+F353</f>
        <v>0</v>
      </c>
      <c r="G352" s="162">
        <f t="shared" si="663"/>
        <v>0</v>
      </c>
      <c r="H352" s="162">
        <f t="shared" si="663"/>
        <v>0</v>
      </c>
      <c r="I352" s="162">
        <f t="shared" si="663"/>
        <v>0</v>
      </c>
      <c r="J352" s="162">
        <f t="shared" si="663"/>
        <v>0</v>
      </c>
      <c r="K352" s="78">
        <f t="shared" si="647"/>
        <v>54534939.329999998</v>
      </c>
      <c r="L352" s="162">
        <f t="shared" ref="L352:Q352" si="664">+L353</f>
        <v>0</v>
      </c>
      <c r="M352" s="162">
        <f t="shared" si="664"/>
        <v>0</v>
      </c>
      <c r="N352" s="162">
        <f t="shared" si="664"/>
        <v>0</v>
      </c>
      <c r="O352" s="162">
        <f t="shared" si="664"/>
        <v>0</v>
      </c>
      <c r="P352" s="162">
        <f t="shared" si="664"/>
        <v>0</v>
      </c>
      <c r="Q352" s="418">
        <f t="shared" si="664"/>
        <v>0</v>
      </c>
      <c r="R352" s="78">
        <f t="shared" si="649"/>
        <v>0</v>
      </c>
      <c r="S352" s="162">
        <f t="shared" ref="S352:Z352" si="665">+S353</f>
        <v>0</v>
      </c>
      <c r="T352" s="162">
        <f t="shared" si="665"/>
        <v>0</v>
      </c>
      <c r="U352" s="162">
        <f t="shared" si="665"/>
        <v>0</v>
      </c>
      <c r="V352" s="162">
        <f t="shared" si="665"/>
        <v>0</v>
      </c>
      <c r="W352" s="162">
        <f t="shared" si="665"/>
        <v>0</v>
      </c>
      <c r="X352" s="162">
        <f t="shared" si="665"/>
        <v>0</v>
      </c>
      <c r="Y352" s="162">
        <f t="shared" si="665"/>
        <v>0</v>
      </c>
      <c r="Z352" s="162">
        <f t="shared" si="665"/>
        <v>0</v>
      </c>
      <c r="AA352" s="78">
        <f t="shared" si="660"/>
        <v>0</v>
      </c>
      <c r="AB352" s="78">
        <f t="shared" si="651"/>
        <v>0</v>
      </c>
      <c r="AC352" s="174">
        <f t="shared" si="621"/>
        <v>0</v>
      </c>
    </row>
    <row r="353" spans="1:29" ht="42.75" x14ac:dyDescent="0.2">
      <c r="B353" s="76" t="s">
        <v>1216</v>
      </c>
      <c r="C353" s="77" t="s">
        <v>1217</v>
      </c>
      <c r="D353" s="41"/>
      <c r="E353" s="188">
        <f>SUM('ADICIONES  2021'!C353:I353)</f>
        <v>54534939.329999998</v>
      </c>
      <c r="F353" s="41"/>
      <c r="G353" s="41"/>
      <c r="H353" s="41"/>
      <c r="I353" s="41"/>
      <c r="J353" s="41"/>
      <c r="K353" s="128">
        <f t="shared" si="647"/>
        <v>54534939.329999998</v>
      </c>
      <c r="L353" s="41"/>
      <c r="M353" s="41"/>
      <c r="N353" s="41"/>
      <c r="O353" s="41"/>
      <c r="P353" s="41"/>
      <c r="Q353" s="409"/>
      <c r="R353" s="128">
        <f t="shared" si="649"/>
        <v>0</v>
      </c>
      <c r="S353" s="41"/>
      <c r="T353" s="41"/>
      <c r="U353" s="41"/>
      <c r="V353" s="41"/>
      <c r="W353" s="41"/>
      <c r="X353" s="41"/>
      <c r="Y353" s="41"/>
      <c r="Z353" s="41"/>
      <c r="AA353" s="128">
        <f t="shared" si="660"/>
        <v>0</v>
      </c>
      <c r="AB353" s="128">
        <f t="shared" si="651"/>
        <v>0</v>
      </c>
      <c r="AC353" s="175">
        <f t="shared" si="621"/>
        <v>0</v>
      </c>
    </row>
    <row r="354" spans="1:29" s="63" customFormat="1" ht="15.75" x14ac:dyDescent="0.2">
      <c r="A354" s="397"/>
      <c r="B354" s="81" t="s">
        <v>1269</v>
      </c>
      <c r="C354" s="79" t="s">
        <v>1270</v>
      </c>
      <c r="D354" s="146">
        <f>SUM(D355:D373)</f>
        <v>0</v>
      </c>
      <c r="E354" s="187">
        <f>SUM('ADICIONES  2021'!C354:I354)</f>
        <v>3598645853.5599999</v>
      </c>
      <c r="F354" s="146">
        <f t="shared" ref="F354:J354" si="666">SUM(F355:F373)</f>
        <v>0</v>
      </c>
      <c r="G354" s="146">
        <f t="shared" si="666"/>
        <v>0</v>
      </c>
      <c r="H354" s="146">
        <f t="shared" si="666"/>
        <v>0</v>
      </c>
      <c r="I354" s="146">
        <f t="shared" si="666"/>
        <v>0</v>
      </c>
      <c r="J354" s="146">
        <f t="shared" si="666"/>
        <v>0</v>
      </c>
      <c r="K354" s="78">
        <f t="shared" si="647"/>
        <v>3598645853.5599999</v>
      </c>
      <c r="L354" s="146">
        <f t="shared" ref="L354:Q354" si="667">SUM(L355:L373)</f>
        <v>0</v>
      </c>
      <c r="M354" s="146">
        <f t="shared" si="667"/>
        <v>0</v>
      </c>
      <c r="N354" s="146">
        <f t="shared" si="667"/>
        <v>0</v>
      </c>
      <c r="O354" s="146">
        <f t="shared" si="667"/>
        <v>0</v>
      </c>
      <c r="P354" s="146">
        <f t="shared" si="667"/>
        <v>3598645853.3600001</v>
      </c>
      <c r="Q354" s="411">
        <f t="shared" si="667"/>
        <v>0</v>
      </c>
      <c r="R354" s="78">
        <f t="shared" si="649"/>
        <v>3598645853.3600001</v>
      </c>
      <c r="S354" s="146">
        <f t="shared" ref="S354:Z354" si="668">SUM(S355:S373)</f>
        <v>0</v>
      </c>
      <c r="T354" s="146">
        <f t="shared" si="668"/>
        <v>0</v>
      </c>
      <c r="U354" s="146">
        <f t="shared" si="668"/>
        <v>0</v>
      </c>
      <c r="V354" s="146">
        <f t="shared" si="668"/>
        <v>0</v>
      </c>
      <c r="W354" s="146">
        <f t="shared" si="668"/>
        <v>0</v>
      </c>
      <c r="X354" s="146">
        <f t="shared" si="668"/>
        <v>0</v>
      </c>
      <c r="Y354" s="146">
        <f t="shared" si="668"/>
        <v>0</v>
      </c>
      <c r="Z354" s="146">
        <f t="shared" si="668"/>
        <v>0</v>
      </c>
      <c r="AA354" s="78">
        <f t="shared" si="660"/>
        <v>0</v>
      </c>
      <c r="AB354" s="78">
        <f t="shared" si="651"/>
        <v>3598645853.3600001</v>
      </c>
      <c r="AC354" s="174">
        <f t="shared" si="621"/>
        <v>0.99999999994442357</v>
      </c>
    </row>
    <row r="355" spans="1:29" ht="14.25" x14ac:dyDescent="0.2">
      <c r="B355" s="76" t="s">
        <v>1271</v>
      </c>
      <c r="C355" s="77" t="s">
        <v>1272</v>
      </c>
      <c r="D355" s="41"/>
      <c r="E355" s="188">
        <f>SUM('ADICIONES  2021'!C355:I355)</f>
        <v>1902148.61</v>
      </c>
      <c r="F355" s="41"/>
      <c r="G355" s="41"/>
      <c r="H355" s="41"/>
      <c r="I355" s="41"/>
      <c r="J355" s="41"/>
      <c r="K355" s="128">
        <f t="shared" si="647"/>
        <v>1902148.61</v>
      </c>
      <c r="L355" s="41"/>
      <c r="M355" s="41"/>
      <c r="N355" s="41"/>
      <c r="O355" s="41"/>
      <c r="P355" s="41">
        <v>1902148.61</v>
      </c>
      <c r="Q355" s="409"/>
      <c r="R355" s="128">
        <f t="shared" si="649"/>
        <v>1902148.61</v>
      </c>
      <c r="S355" s="41"/>
      <c r="T355" s="41"/>
      <c r="U355" s="41"/>
      <c r="V355" s="41"/>
      <c r="W355" s="41"/>
      <c r="X355" s="41"/>
      <c r="Y355" s="41"/>
      <c r="Z355" s="41"/>
      <c r="AA355" s="128">
        <f t="shared" si="660"/>
        <v>0</v>
      </c>
      <c r="AB355" s="128">
        <f t="shared" si="651"/>
        <v>1902148.61</v>
      </c>
      <c r="AC355" s="175">
        <f t="shared" si="621"/>
        <v>1</v>
      </c>
    </row>
    <row r="356" spans="1:29" ht="28.5" x14ac:dyDescent="0.2">
      <c r="B356" s="76" t="s">
        <v>1273</v>
      </c>
      <c r="C356" s="77" t="s">
        <v>1274</v>
      </c>
      <c r="D356" s="41"/>
      <c r="E356" s="188">
        <f>SUM('ADICIONES  2021'!C356:I356)</f>
        <v>1621491649.77</v>
      </c>
      <c r="F356" s="41"/>
      <c r="G356" s="41"/>
      <c r="H356" s="41"/>
      <c r="I356" s="41"/>
      <c r="J356" s="41"/>
      <c r="K356" s="128">
        <f t="shared" si="647"/>
        <v>1621491649.77</v>
      </c>
      <c r="L356" s="41"/>
      <c r="M356" s="41"/>
      <c r="N356" s="41"/>
      <c r="O356" s="41"/>
      <c r="P356" s="41">
        <v>1621491649.77</v>
      </c>
      <c r="Q356" s="409"/>
      <c r="R356" s="128">
        <f t="shared" si="649"/>
        <v>1621491649.77</v>
      </c>
      <c r="S356" s="41"/>
      <c r="T356" s="41"/>
      <c r="U356" s="41"/>
      <c r="V356" s="41"/>
      <c r="W356" s="41"/>
      <c r="X356" s="41"/>
      <c r="Y356" s="41"/>
      <c r="Z356" s="41"/>
      <c r="AA356" s="128">
        <f t="shared" si="660"/>
        <v>0</v>
      </c>
      <c r="AB356" s="128">
        <f t="shared" si="651"/>
        <v>1621491649.77</v>
      </c>
      <c r="AC356" s="175">
        <f t="shared" si="621"/>
        <v>1</v>
      </c>
    </row>
    <row r="357" spans="1:29" ht="28.5" x14ac:dyDescent="0.2">
      <c r="B357" s="76" t="s">
        <v>1275</v>
      </c>
      <c r="C357" s="77" t="s">
        <v>1276</v>
      </c>
      <c r="D357" s="41"/>
      <c r="E357" s="188">
        <f>SUM('ADICIONES  2021'!C357:I357)</f>
        <v>177998545.74000001</v>
      </c>
      <c r="F357" s="41"/>
      <c r="G357" s="41"/>
      <c r="H357" s="41"/>
      <c r="I357" s="41"/>
      <c r="J357" s="41"/>
      <c r="K357" s="128">
        <f t="shared" si="647"/>
        <v>177998545.74000001</v>
      </c>
      <c r="L357" s="41"/>
      <c r="M357" s="41"/>
      <c r="N357" s="41"/>
      <c r="O357" s="41"/>
      <c r="P357" s="41">
        <v>177998545.74000001</v>
      </c>
      <c r="Q357" s="409"/>
      <c r="R357" s="128">
        <f t="shared" si="649"/>
        <v>177998545.74000001</v>
      </c>
      <c r="S357" s="41"/>
      <c r="T357" s="41"/>
      <c r="U357" s="41"/>
      <c r="V357" s="41"/>
      <c r="W357" s="41"/>
      <c r="X357" s="41"/>
      <c r="Y357" s="41"/>
      <c r="Z357" s="41"/>
      <c r="AA357" s="128">
        <f t="shared" si="660"/>
        <v>0</v>
      </c>
      <c r="AB357" s="128">
        <f t="shared" si="651"/>
        <v>177998545.74000001</v>
      </c>
      <c r="AC357" s="175">
        <f t="shared" si="621"/>
        <v>1</v>
      </c>
    </row>
    <row r="358" spans="1:29" ht="28.5" x14ac:dyDescent="0.2">
      <c r="B358" s="76" t="s">
        <v>1277</v>
      </c>
      <c r="C358" s="77" t="s">
        <v>1278</v>
      </c>
      <c r="D358" s="41"/>
      <c r="E358" s="188">
        <f>SUM('ADICIONES  2021'!C358:I358)</f>
        <v>381321589.42000002</v>
      </c>
      <c r="F358" s="41"/>
      <c r="G358" s="41"/>
      <c r="H358" s="41"/>
      <c r="I358" s="41"/>
      <c r="J358" s="41"/>
      <c r="K358" s="128">
        <f t="shared" si="647"/>
        <v>381321589.42000002</v>
      </c>
      <c r="L358" s="41"/>
      <c r="M358" s="41"/>
      <c r="N358" s="41"/>
      <c r="O358" s="41"/>
      <c r="P358" s="41">
        <v>381321589.42000002</v>
      </c>
      <c r="Q358" s="409"/>
      <c r="R358" s="128">
        <f t="shared" si="649"/>
        <v>381321589.42000002</v>
      </c>
      <c r="S358" s="41"/>
      <c r="T358" s="41"/>
      <c r="U358" s="41"/>
      <c r="V358" s="41"/>
      <c r="W358" s="41"/>
      <c r="X358" s="41"/>
      <c r="Y358" s="41"/>
      <c r="Z358" s="41"/>
      <c r="AA358" s="128">
        <f t="shared" si="660"/>
        <v>0</v>
      </c>
      <c r="AB358" s="128">
        <f t="shared" si="651"/>
        <v>381321589.42000002</v>
      </c>
      <c r="AC358" s="175">
        <f t="shared" si="621"/>
        <v>1</v>
      </c>
    </row>
    <row r="359" spans="1:29" ht="14.25" x14ac:dyDescent="0.2">
      <c r="B359" s="76" t="s">
        <v>1279</v>
      </c>
      <c r="C359" s="77" t="s">
        <v>1280</v>
      </c>
      <c r="D359" s="41"/>
      <c r="E359" s="188">
        <f>SUM('ADICIONES  2021'!C359:I359)</f>
        <v>84461834.549999997</v>
      </c>
      <c r="F359" s="41"/>
      <c r="G359" s="41"/>
      <c r="H359" s="41"/>
      <c r="I359" s="41"/>
      <c r="J359" s="41"/>
      <c r="K359" s="128">
        <f t="shared" si="647"/>
        <v>84461834.549999997</v>
      </c>
      <c r="L359" s="41"/>
      <c r="M359" s="41"/>
      <c r="N359" s="41"/>
      <c r="O359" s="41"/>
      <c r="P359" s="41">
        <v>84461834.549999997</v>
      </c>
      <c r="Q359" s="409"/>
      <c r="R359" s="128">
        <f t="shared" si="649"/>
        <v>84461834.549999997</v>
      </c>
      <c r="S359" s="41"/>
      <c r="T359" s="41"/>
      <c r="U359" s="41"/>
      <c r="V359" s="41"/>
      <c r="W359" s="41"/>
      <c r="X359" s="41"/>
      <c r="Y359" s="41"/>
      <c r="Z359" s="41"/>
      <c r="AA359" s="128">
        <f t="shared" si="660"/>
        <v>0</v>
      </c>
      <c r="AB359" s="128">
        <f t="shared" si="651"/>
        <v>84461834.549999997</v>
      </c>
      <c r="AC359" s="175">
        <f t="shared" si="621"/>
        <v>1</v>
      </c>
    </row>
    <row r="360" spans="1:29" ht="14.25" x14ac:dyDescent="0.2">
      <c r="B360" s="76" t="s">
        <v>1281</v>
      </c>
      <c r="C360" s="77" t="s">
        <v>1282</v>
      </c>
      <c r="D360" s="41"/>
      <c r="E360" s="188">
        <f>SUM('ADICIONES  2021'!C360:I360)</f>
        <v>130177270.2</v>
      </c>
      <c r="F360" s="41"/>
      <c r="G360" s="41"/>
      <c r="H360" s="41"/>
      <c r="I360" s="41"/>
      <c r="J360" s="41"/>
      <c r="K360" s="128">
        <f t="shared" si="647"/>
        <v>130177270.2</v>
      </c>
      <c r="L360" s="41"/>
      <c r="M360" s="41"/>
      <c r="N360" s="41"/>
      <c r="O360" s="41"/>
      <c r="P360" s="41">
        <v>130177270</v>
      </c>
      <c r="Q360" s="409"/>
      <c r="R360" s="128">
        <f t="shared" si="649"/>
        <v>130177270</v>
      </c>
      <c r="S360" s="41"/>
      <c r="T360" s="41"/>
      <c r="U360" s="41"/>
      <c r="V360" s="41"/>
      <c r="W360" s="41"/>
      <c r="X360" s="41"/>
      <c r="Y360" s="41"/>
      <c r="Z360" s="41"/>
      <c r="AA360" s="128">
        <f t="shared" si="660"/>
        <v>0</v>
      </c>
      <c r="AB360" s="128">
        <f t="shared" si="651"/>
        <v>130177270</v>
      </c>
      <c r="AC360" s="175">
        <f t="shared" si="621"/>
        <v>0.99999999846363341</v>
      </c>
    </row>
    <row r="361" spans="1:29" ht="42.75" x14ac:dyDescent="0.2">
      <c r="B361" s="76" t="s">
        <v>1283</v>
      </c>
      <c r="C361" s="77" t="s">
        <v>1284</v>
      </c>
      <c r="D361" s="41"/>
      <c r="E361" s="188">
        <f>SUM('ADICIONES  2021'!C361:I361)</f>
        <v>132503403.73999999</v>
      </c>
      <c r="F361" s="41"/>
      <c r="G361" s="41"/>
      <c r="H361" s="41"/>
      <c r="I361" s="41"/>
      <c r="J361" s="41"/>
      <c r="K361" s="128">
        <f t="shared" si="647"/>
        <v>132503403.73999999</v>
      </c>
      <c r="L361" s="41"/>
      <c r="M361" s="41"/>
      <c r="N361" s="41"/>
      <c r="O361" s="41"/>
      <c r="P361" s="41">
        <v>132503403.73999999</v>
      </c>
      <c r="Q361" s="409"/>
      <c r="R361" s="128">
        <f t="shared" si="649"/>
        <v>132503403.73999999</v>
      </c>
      <c r="S361" s="41"/>
      <c r="T361" s="41"/>
      <c r="U361" s="41"/>
      <c r="V361" s="41"/>
      <c r="W361" s="41"/>
      <c r="X361" s="41"/>
      <c r="Y361" s="41"/>
      <c r="Z361" s="41"/>
      <c r="AA361" s="128">
        <f t="shared" si="660"/>
        <v>0</v>
      </c>
      <c r="AB361" s="128">
        <f t="shared" si="651"/>
        <v>132503403.73999999</v>
      </c>
      <c r="AC361" s="175">
        <f t="shared" si="621"/>
        <v>1</v>
      </c>
    </row>
    <row r="362" spans="1:29" ht="28.5" x14ac:dyDescent="0.2">
      <c r="B362" s="76" t="s">
        <v>1285</v>
      </c>
      <c r="C362" s="77" t="s">
        <v>1286</v>
      </c>
      <c r="D362" s="41"/>
      <c r="E362" s="188">
        <f>SUM('ADICIONES  2021'!C362:I362)</f>
        <v>2966244.44</v>
      </c>
      <c r="F362" s="41"/>
      <c r="G362" s="41"/>
      <c r="H362" s="41"/>
      <c r="I362" s="41"/>
      <c r="J362" s="41"/>
      <c r="K362" s="128">
        <f t="shared" si="647"/>
        <v>2966244.44</v>
      </c>
      <c r="L362" s="41"/>
      <c r="M362" s="41"/>
      <c r="N362" s="41"/>
      <c r="O362" s="41"/>
      <c r="P362" s="41">
        <v>2966244.44</v>
      </c>
      <c r="Q362" s="409"/>
      <c r="R362" s="128">
        <f t="shared" si="649"/>
        <v>2966244.44</v>
      </c>
      <c r="S362" s="41"/>
      <c r="T362" s="41"/>
      <c r="U362" s="41"/>
      <c r="V362" s="41"/>
      <c r="W362" s="41"/>
      <c r="X362" s="41"/>
      <c r="Y362" s="41"/>
      <c r="Z362" s="41"/>
      <c r="AA362" s="128">
        <f t="shared" si="660"/>
        <v>0</v>
      </c>
      <c r="AB362" s="128">
        <f t="shared" si="651"/>
        <v>2966244.44</v>
      </c>
      <c r="AC362" s="175">
        <f t="shared" si="621"/>
        <v>1</v>
      </c>
    </row>
    <row r="363" spans="1:29" ht="28.5" x14ac:dyDescent="0.2">
      <c r="B363" s="76" t="s">
        <v>1287</v>
      </c>
      <c r="C363" s="77" t="s">
        <v>1288</v>
      </c>
      <c r="D363" s="41"/>
      <c r="E363" s="188">
        <f>SUM('ADICIONES  2021'!C363:I363)</f>
        <v>77303408.400000006</v>
      </c>
      <c r="F363" s="41"/>
      <c r="G363" s="41"/>
      <c r="H363" s="41"/>
      <c r="I363" s="41"/>
      <c r="J363" s="41"/>
      <c r="K363" s="128">
        <f t="shared" si="647"/>
        <v>77303408.400000006</v>
      </c>
      <c r="L363" s="41"/>
      <c r="M363" s="41"/>
      <c r="N363" s="41"/>
      <c r="O363" s="41"/>
      <c r="P363" s="41">
        <v>77303408.400000006</v>
      </c>
      <c r="Q363" s="409"/>
      <c r="R363" s="128">
        <f t="shared" si="649"/>
        <v>77303408.400000006</v>
      </c>
      <c r="S363" s="41"/>
      <c r="T363" s="41"/>
      <c r="U363" s="41"/>
      <c r="V363" s="41"/>
      <c r="W363" s="41"/>
      <c r="X363" s="41"/>
      <c r="Y363" s="41"/>
      <c r="Z363" s="41"/>
      <c r="AA363" s="128">
        <f t="shared" si="660"/>
        <v>0</v>
      </c>
      <c r="AB363" s="128">
        <f t="shared" si="651"/>
        <v>77303408.400000006</v>
      </c>
      <c r="AC363" s="175">
        <f t="shared" si="621"/>
        <v>1</v>
      </c>
    </row>
    <row r="364" spans="1:29" ht="28.5" x14ac:dyDescent="0.2">
      <c r="B364" s="76" t="s">
        <v>1289</v>
      </c>
      <c r="C364" s="77" t="s">
        <v>1290</v>
      </c>
      <c r="D364" s="41"/>
      <c r="E364" s="188">
        <f>SUM('ADICIONES  2021'!C364:I364)</f>
        <v>113234205.3</v>
      </c>
      <c r="F364" s="41"/>
      <c r="G364" s="41"/>
      <c r="H364" s="41"/>
      <c r="I364" s="41"/>
      <c r="J364" s="41"/>
      <c r="K364" s="128">
        <f t="shared" si="647"/>
        <v>113234205.3</v>
      </c>
      <c r="L364" s="41"/>
      <c r="M364" s="41"/>
      <c r="N364" s="41"/>
      <c r="O364" s="41"/>
      <c r="P364" s="41">
        <v>113234205.3</v>
      </c>
      <c r="Q364" s="409"/>
      <c r="R364" s="128">
        <f t="shared" si="649"/>
        <v>113234205.3</v>
      </c>
      <c r="S364" s="41"/>
      <c r="T364" s="41"/>
      <c r="U364" s="41"/>
      <c r="V364" s="41"/>
      <c r="W364" s="41"/>
      <c r="X364" s="41"/>
      <c r="Y364" s="41"/>
      <c r="Z364" s="41"/>
      <c r="AA364" s="128">
        <f t="shared" si="660"/>
        <v>0</v>
      </c>
      <c r="AB364" s="128">
        <f t="shared" si="651"/>
        <v>113234205.3</v>
      </c>
      <c r="AC364" s="175">
        <f t="shared" si="621"/>
        <v>1</v>
      </c>
    </row>
    <row r="365" spans="1:29" ht="28.5" x14ac:dyDescent="0.2">
      <c r="B365" s="76" t="s">
        <v>1291</v>
      </c>
      <c r="C365" s="77" t="s">
        <v>1292</v>
      </c>
      <c r="D365" s="41"/>
      <c r="E365" s="188">
        <f>SUM('ADICIONES  2021'!C365:I365)</f>
        <v>153953647.03999999</v>
      </c>
      <c r="F365" s="41"/>
      <c r="G365" s="41"/>
      <c r="H365" s="41"/>
      <c r="I365" s="41"/>
      <c r="J365" s="41"/>
      <c r="K365" s="128">
        <f t="shared" si="647"/>
        <v>153953647.03999999</v>
      </c>
      <c r="L365" s="41"/>
      <c r="M365" s="41"/>
      <c r="N365" s="41"/>
      <c r="O365" s="41"/>
      <c r="P365" s="41">
        <v>153953647.03999999</v>
      </c>
      <c r="Q365" s="409"/>
      <c r="R365" s="128">
        <f t="shared" si="649"/>
        <v>153953647.03999999</v>
      </c>
      <c r="S365" s="41"/>
      <c r="T365" s="41"/>
      <c r="U365" s="41"/>
      <c r="V365" s="41"/>
      <c r="W365" s="41"/>
      <c r="X365" s="41"/>
      <c r="Y365" s="41"/>
      <c r="Z365" s="41"/>
      <c r="AA365" s="128">
        <f t="shared" si="660"/>
        <v>0</v>
      </c>
      <c r="AB365" s="128">
        <f t="shared" si="651"/>
        <v>153953647.03999999</v>
      </c>
      <c r="AC365" s="175">
        <f t="shared" si="621"/>
        <v>1</v>
      </c>
    </row>
    <row r="366" spans="1:29" ht="28.5" x14ac:dyDescent="0.2">
      <c r="B366" s="76" t="s">
        <v>1293</v>
      </c>
      <c r="C366" s="77" t="s">
        <v>1294</v>
      </c>
      <c r="D366" s="41"/>
      <c r="E366" s="188">
        <f>SUM('ADICIONES  2021'!C366:I366)</f>
        <v>315352581.86000001</v>
      </c>
      <c r="F366" s="41"/>
      <c r="G366" s="41"/>
      <c r="H366" s="41"/>
      <c r="I366" s="41"/>
      <c r="J366" s="41"/>
      <c r="K366" s="128">
        <f t="shared" si="647"/>
        <v>315352581.86000001</v>
      </c>
      <c r="L366" s="41"/>
      <c r="M366" s="41"/>
      <c r="N366" s="41"/>
      <c r="O366" s="41"/>
      <c r="P366" s="41">
        <v>315352581.86000001</v>
      </c>
      <c r="Q366" s="409"/>
      <c r="R366" s="128">
        <f t="shared" si="649"/>
        <v>315352581.86000001</v>
      </c>
      <c r="S366" s="41"/>
      <c r="T366" s="41"/>
      <c r="U366" s="41"/>
      <c r="V366" s="41"/>
      <c r="W366" s="41"/>
      <c r="X366" s="41"/>
      <c r="Y366" s="41"/>
      <c r="Z366" s="41"/>
      <c r="AA366" s="128">
        <f t="shared" si="660"/>
        <v>0</v>
      </c>
      <c r="AB366" s="128">
        <f t="shared" si="651"/>
        <v>315352581.86000001</v>
      </c>
      <c r="AC366" s="175">
        <f t="shared" si="621"/>
        <v>1</v>
      </c>
    </row>
    <row r="367" spans="1:29" ht="28.5" x14ac:dyDescent="0.2">
      <c r="B367" s="76" t="s">
        <v>1295</v>
      </c>
      <c r="C367" s="77" t="s">
        <v>1296</v>
      </c>
      <c r="D367" s="41"/>
      <c r="E367" s="188">
        <f>SUM('ADICIONES  2021'!C367:I367)</f>
        <v>103246582.93000001</v>
      </c>
      <c r="F367" s="41"/>
      <c r="G367" s="41"/>
      <c r="H367" s="41"/>
      <c r="I367" s="41"/>
      <c r="J367" s="41"/>
      <c r="K367" s="128">
        <f t="shared" si="647"/>
        <v>103246582.93000001</v>
      </c>
      <c r="L367" s="41"/>
      <c r="M367" s="41"/>
      <c r="N367" s="41"/>
      <c r="O367" s="41"/>
      <c r="P367" s="41">
        <v>103246582.93000001</v>
      </c>
      <c r="Q367" s="409"/>
      <c r="R367" s="128">
        <f t="shared" si="649"/>
        <v>103246582.93000001</v>
      </c>
      <c r="S367" s="41"/>
      <c r="T367" s="41"/>
      <c r="U367" s="41"/>
      <c r="V367" s="41"/>
      <c r="W367" s="41"/>
      <c r="X367" s="41"/>
      <c r="Y367" s="41"/>
      <c r="Z367" s="41"/>
      <c r="AA367" s="128">
        <f t="shared" si="660"/>
        <v>0</v>
      </c>
      <c r="AB367" s="128">
        <f t="shared" si="651"/>
        <v>103246582.93000001</v>
      </c>
      <c r="AC367" s="175">
        <f t="shared" si="621"/>
        <v>1</v>
      </c>
    </row>
    <row r="368" spans="1:29" ht="28.5" x14ac:dyDescent="0.2">
      <c r="B368" s="76" t="s">
        <v>1297</v>
      </c>
      <c r="C368" s="77" t="s">
        <v>1298</v>
      </c>
      <c r="D368" s="41"/>
      <c r="E368" s="188">
        <f>SUM('ADICIONES  2021'!C368:I368)</f>
        <v>99917502.230000004</v>
      </c>
      <c r="F368" s="41"/>
      <c r="G368" s="41"/>
      <c r="H368" s="41"/>
      <c r="I368" s="41"/>
      <c r="J368" s="41"/>
      <c r="K368" s="128">
        <f t="shared" si="647"/>
        <v>99917502.230000004</v>
      </c>
      <c r="L368" s="41"/>
      <c r="M368" s="41"/>
      <c r="N368" s="41"/>
      <c r="O368" s="41"/>
      <c r="P368" s="41">
        <v>99917502.230000004</v>
      </c>
      <c r="Q368" s="409"/>
      <c r="R368" s="128">
        <f t="shared" si="649"/>
        <v>99917502.230000004</v>
      </c>
      <c r="S368" s="41"/>
      <c r="T368" s="41"/>
      <c r="U368" s="41"/>
      <c r="V368" s="41"/>
      <c r="W368" s="41"/>
      <c r="X368" s="41"/>
      <c r="Y368" s="41"/>
      <c r="Z368" s="41"/>
      <c r="AA368" s="128">
        <f t="shared" ref="AA368:AA375" si="669">SUM(S368:Z368)</f>
        <v>0</v>
      </c>
      <c r="AB368" s="128">
        <f t="shared" si="651"/>
        <v>99917502.230000004</v>
      </c>
      <c r="AC368" s="175">
        <f t="shared" si="621"/>
        <v>1</v>
      </c>
    </row>
    <row r="369" spans="2:29" ht="28.5" x14ac:dyDescent="0.2">
      <c r="B369" s="76" t="s">
        <v>1299</v>
      </c>
      <c r="C369" s="77" t="s">
        <v>1300</v>
      </c>
      <c r="D369" s="41"/>
      <c r="E369" s="188">
        <f>SUM('ADICIONES  2021'!C369:I369)</f>
        <v>63729352.200000003</v>
      </c>
      <c r="F369" s="41"/>
      <c r="G369" s="41"/>
      <c r="H369" s="41"/>
      <c r="I369" s="41"/>
      <c r="J369" s="41"/>
      <c r="K369" s="128">
        <f t="shared" si="647"/>
        <v>63729352.200000003</v>
      </c>
      <c r="L369" s="41"/>
      <c r="M369" s="41"/>
      <c r="N369" s="41"/>
      <c r="O369" s="41"/>
      <c r="P369" s="41">
        <v>63729352.200000003</v>
      </c>
      <c r="Q369" s="409"/>
      <c r="R369" s="128">
        <f t="shared" ref="R369:R376" si="670">SUM(L369:Q369)</f>
        <v>63729352.200000003</v>
      </c>
      <c r="S369" s="41"/>
      <c r="T369" s="41"/>
      <c r="U369" s="41"/>
      <c r="V369" s="41"/>
      <c r="W369" s="41"/>
      <c r="X369" s="41"/>
      <c r="Y369" s="41"/>
      <c r="Z369" s="41"/>
      <c r="AA369" s="128">
        <f t="shared" si="669"/>
        <v>0</v>
      </c>
      <c r="AB369" s="128">
        <f t="shared" si="651"/>
        <v>63729352.200000003</v>
      </c>
      <c r="AC369" s="175">
        <f t="shared" si="621"/>
        <v>1</v>
      </c>
    </row>
    <row r="370" spans="2:29" ht="28.5" x14ac:dyDescent="0.2">
      <c r="B370" s="76" t="s">
        <v>1301</v>
      </c>
      <c r="C370" s="77" t="s">
        <v>1302</v>
      </c>
      <c r="D370" s="41"/>
      <c r="E370" s="188">
        <f>SUM('ADICIONES  2021'!C370:I370)</f>
        <v>15067397.539999999</v>
      </c>
      <c r="F370" s="41"/>
      <c r="G370" s="41"/>
      <c r="H370" s="41"/>
      <c r="I370" s="41"/>
      <c r="J370" s="41"/>
      <c r="K370" s="128">
        <f t="shared" si="647"/>
        <v>15067397.539999999</v>
      </c>
      <c r="L370" s="41"/>
      <c r="M370" s="41"/>
      <c r="N370" s="41"/>
      <c r="O370" s="41"/>
      <c r="P370" s="41">
        <v>15067397.539999999</v>
      </c>
      <c r="Q370" s="409"/>
      <c r="R370" s="128">
        <f t="shared" si="670"/>
        <v>15067397.539999999</v>
      </c>
      <c r="S370" s="41"/>
      <c r="T370" s="41"/>
      <c r="U370" s="41"/>
      <c r="V370" s="41"/>
      <c r="W370" s="41"/>
      <c r="X370" s="41"/>
      <c r="Y370" s="41"/>
      <c r="Z370" s="41"/>
      <c r="AA370" s="128">
        <f t="shared" si="669"/>
        <v>0</v>
      </c>
      <c r="AB370" s="128">
        <f t="shared" si="651"/>
        <v>15067397.539999999</v>
      </c>
      <c r="AC370" s="175">
        <f t="shared" si="621"/>
        <v>1</v>
      </c>
    </row>
    <row r="371" spans="2:29" ht="42.75" x14ac:dyDescent="0.2">
      <c r="B371" s="76" t="s">
        <v>1304</v>
      </c>
      <c r="C371" s="77" t="s">
        <v>1305</v>
      </c>
      <c r="D371" s="41"/>
      <c r="E371" s="188">
        <f>SUM('ADICIONES  2021'!C371:I371)</f>
        <v>67466552.810000002</v>
      </c>
      <c r="F371" s="41"/>
      <c r="G371" s="41"/>
      <c r="H371" s="41"/>
      <c r="I371" s="41"/>
      <c r="J371" s="41"/>
      <c r="K371" s="128">
        <f t="shared" si="647"/>
        <v>67466552.810000002</v>
      </c>
      <c r="L371" s="41"/>
      <c r="M371" s="41"/>
      <c r="N371" s="41"/>
      <c r="O371" s="41"/>
      <c r="P371" s="41">
        <v>67466552.810000002</v>
      </c>
      <c r="Q371" s="409"/>
      <c r="R371" s="128">
        <f t="shared" si="670"/>
        <v>67466552.810000002</v>
      </c>
      <c r="S371" s="41"/>
      <c r="T371" s="41"/>
      <c r="U371" s="41"/>
      <c r="V371" s="41"/>
      <c r="W371" s="41"/>
      <c r="X371" s="41"/>
      <c r="Y371" s="41"/>
      <c r="Z371" s="41"/>
      <c r="AA371" s="128">
        <f t="shared" si="669"/>
        <v>0</v>
      </c>
      <c r="AB371" s="128">
        <f t="shared" si="651"/>
        <v>67466552.810000002</v>
      </c>
      <c r="AC371" s="175">
        <f t="shared" si="621"/>
        <v>1</v>
      </c>
    </row>
    <row r="372" spans="2:29" ht="28.5" hidden="1" x14ac:dyDescent="0.2">
      <c r="B372" s="76" t="s">
        <v>1870</v>
      </c>
      <c r="C372" s="77" t="s">
        <v>1303</v>
      </c>
      <c r="D372" s="41"/>
      <c r="E372" s="188">
        <f>SUM('ADICIONES  2021'!C372:I372)</f>
        <v>0</v>
      </c>
      <c r="F372" s="41"/>
      <c r="G372" s="41"/>
      <c r="H372" s="41"/>
      <c r="I372" s="41"/>
      <c r="J372" s="41"/>
      <c r="K372" s="128">
        <f t="shared" si="647"/>
        <v>0</v>
      </c>
      <c r="L372" s="41"/>
      <c r="M372" s="41"/>
      <c r="N372" s="41"/>
      <c r="O372" s="41"/>
      <c r="P372" s="41">
        <v>0</v>
      </c>
      <c r="Q372" s="409"/>
      <c r="R372" s="128">
        <f t="shared" si="670"/>
        <v>0</v>
      </c>
      <c r="S372" s="41"/>
      <c r="T372" s="41"/>
      <c r="U372" s="41"/>
      <c r="V372" s="41"/>
      <c r="W372" s="41"/>
      <c r="X372" s="41"/>
      <c r="Y372" s="41"/>
      <c r="Z372" s="41"/>
      <c r="AA372" s="128">
        <f t="shared" si="669"/>
        <v>0</v>
      </c>
      <c r="AB372" s="128">
        <f t="shared" si="651"/>
        <v>0</v>
      </c>
      <c r="AC372" s="175" t="e">
        <f t="shared" si="621"/>
        <v>#DIV/0!</v>
      </c>
    </row>
    <row r="373" spans="2:29" ht="28.5" x14ac:dyDescent="0.2">
      <c r="B373" s="76" t="s">
        <v>1860</v>
      </c>
      <c r="C373" s="77" t="s">
        <v>1303</v>
      </c>
      <c r="D373" s="41"/>
      <c r="E373" s="188">
        <f>SUM('ADICIONES  2021'!C373:I373)</f>
        <v>56551936.780000001</v>
      </c>
      <c r="F373" s="41"/>
      <c r="G373" s="41"/>
      <c r="H373" s="41"/>
      <c r="I373" s="41"/>
      <c r="J373" s="41"/>
      <c r="K373" s="128">
        <f t="shared" si="647"/>
        <v>56551936.780000001</v>
      </c>
      <c r="L373" s="41"/>
      <c r="M373" s="41"/>
      <c r="N373" s="41"/>
      <c r="O373" s="41"/>
      <c r="P373" s="41">
        <v>56551936.780000001</v>
      </c>
      <c r="Q373" s="409"/>
      <c r="R373" s="128">
        <f t="shared" si="670"/>
        <v>56551936.780000001</v>
      </c>
      <c r="S373" s="41"/>
      <c r="T373" s="41"/>
      <c r="U373" s="41"/>
      <c r="V373" s="41"/>
      <c r="W373" s="41"/>
      <c r="X373" s="41"/>
      <c r="Y373" s="41"/>
      <c r="Z373" s="41"/>
      <c r="AA373" s="128">
        <f t="shared" si="669"/>
        <v>0</v>
      </c>
      <c r="AB373" s="128">
        <f t="shared" si="651"/>
        <v>56551936.780000001</v>
      </c>
      <c r="AC373" s="175">
        <f t="shared" si="621"/>
        <v>1</v>
      </c>
    </row>
    <row r="374" spans="2:29" ht="28.5" x14ac:dyDescent="0.2">
      <c r="B374" s="76" t="s">
        <v>1306</v>
      </c>
      <c r="C374" s="77" t="s">
        <v>1307</v>
      </c>
      <c r="D374" s="41"/>
      <c r="E374" s="188">
        <f>SUM('ADICIONES  2021'!C374:I374)</f>
        <v>10991322</v>
      </c>
      <c r="F374" s="41"/>
      <c r="G374" s="41"/>
      <c r="H374" s="41"/>
      <c r="I374" s="41"/>
      <c r="J374" s="41"/>
      <c r="K374" s="128">
        <f t="shared" si="647"/>
        <v>10991322</v>
      </c>
      <c r="L374" s="41"/>
      <c r="M374" s="41"/>
      <c r="N374" s="41"/>
      <c r="O374" s="41"/>
      <c r="P374" s="41">
        <v>10991322</v>
      </c>
      <c r="Q374" s="409"/>
      <c r="R374" s="128">
        <f t="shared" si="670"/>
        <v>10991322</v>
      </c>
      <c r="S374" s="41"/>
      <c r="T374" s="41"/>
      <c r="U374" s="41"/>
      <c r="V374" s="41"/>
      <c r="W374" s="41"/>
      <c r="X374" s="41"/>
      <c r="Y374" s="41"/>
      <c r="Z374" s="41"/>
      <c r="AA374" s="128">
        <f t="shared" si="669"/>
        <v>0</v>
      </c>
      <c r="AB374" s="128">
        <f t="shared" si="651"/>
        <v>10991322</v>
      </c>
      <c r="AC374" s="175">
        <f t="shared" si="621"/>
        <v>1</v>
      </c>
    </row>
    <row r="375" spans="2:29" ht="28.5" x14ac:dyDescent="0.2">
      <c r="B375" s="76" t="s">
        <v>1308</v>
      </c>
      <c r="C375" s="77" t="s">
        <v>1309</v>
      </c>
      <c r="D375" s="41"/>
      <c r="E375" s="188">
        <f>SUM('ADICIONES  2021'!C375:I375)</f>
        <v>9502617</v>
      </c>
      <c r="F375" s="41"/>
      <c r="G375" s="41"/>
      <c r="H375" s="41"/>
      <c r="I375" s="41"/>
      <c r="J375" s="41"/>
      <c r="K375" s="128">
        <f t="shared" si="647"/>
        <v>9502617</v>
      </c>
      <c r="L375" s="41"/>
      <c r="M375" s="41"/>
      <c r="N375" s="41"/>
      <c r="O375" s="41"/>
      <c r="P375" s="41">
        <v>9502617</v>
      </c>
      <c r="Q375" s="409"/>
      <c r="R375" s="128">
        <f t="shared" si="670"/>
        <v>9502617</v>
      </c>
      <c r="S375" s="41"/>
      <c r="T375" s="41"/>
      <c r="U375" s="41"/>
      <c r="V375" s="41"/>
      <c r="W375" s="41"/>
      <c r="X375" s="41"/>
      <c r="Y375" s="41"/>
      <c r="Z375" s="41"/>
      <c r="AA375" s="128">
        <f t="shared" si="669"/>
        <v>0</v>
      </c>
      <c r="AB375" s="128">
        <f t="shared" si="651"/>
        <v>9502617</v>
      </c>
      <c r="AC375" s="175">
        <f t="shared" si="621"/>
        <v>1</v>
      </c>
    </row>
    <row r="376" spans="2:29" ht="28.5" x14ac:dyDescent="0.2">
      <c r="B376" s="76" t="s">
        <v>1310</v>
      </c>
      <c r="C376" s="77" t="s">
        <v>1311</v>
      </c>
      <c r="D376" s="41"/>
      <c r="E376" s="188">
        <f>SUM('ADICIONES  2021'!C376:I376)</f>
        <v>32953848.239999998</v>
      </c>
      <c r="F376" s="41"/>
      <c r="G376" s="41"/>
      <c r="H376" s="41"/>
      <c r="I376" s="41"/>
      <c r="J376" s="41"/>
      <c r="K376" s="128">
        <f t="shared" si="647"/>
        <v>32953848.239999998</v>
      </c>
      <c r="L376" s="41"/>
      <c r="M376" s="41"/>
      <c r="N376" s="41"/>
      <c r="O376" s="41"/>
      <c r="P376" s="41">
        <v>32953848.239999998</v>
      </c>
      <c r="Q376" s="409"/>
      <c r="R376" s="128">
        <f t="shared" si="670"/>
        <v>32953848.239999998</v>
      </c>
      <c r="S376" s="41"/>
      <c r="T376" s="41"/>
      <c r="U376" s="41"/>
      <c r="V376" s="41"/>
      <c r="W376" s="41"/>
      <c r="X376" s="41"/>
      <c r="Y376" s="41"/>
      <c r="Z376" s="41"/>
      <c r="AA376" s="128">
        <f t="shared" si="660"/>
        <v>0</v>
      </c>
      <c r="AB376" s="128">
        <f t="shared" si="651"/>
        <v>32953848.239999998</v>
      </c>
      <c r="AC376" s="175">
        <f t="shared" si="621"/>
        <v>1</v>
      </c>
    </row>
    <row r="377" spans="2:29" ht="42.75" x14ac:dyDescent="0.2">
      <c r="B377" s="76" t="s">
        <v>1312</v>
      </c>
      <c r="C377" s="77" t="s">
        <v>1313</v>
      </c>
      <c r="D377" s="41"/>
      <c r="E377" s="188">
        <f>SUM('ADICIONES  2021'!C377:I377)</f>
        <v>69861319.959999993</v>
      </c>
      <c r="F377" s="41"/>
      <c r="G377" s="41"/>
      <c r="H377" s="41"/>
      <c r="I377" s="41"/>
      <c r="J377" s="41"/>
      <c r="K377" s="128">
        <f t="shared" si="647"/>
        <v>69861319.959999993</v>
      </c>
      <c r="L377" s="41"/>
      <c r="M377" s="41"/>
      <c r="N377" s="41"/>
      <c r="O377" s="41"/>
      <c r="P377" s="41">
        <v>69861319.959999993</v>
      </c>
      <c r="Q377" s="409"/>
      <c r="R377" s="128">
        <f t="shared" si="649"/>
        <v>69861319.959999993</v>
      </c>
      <c r="S377" s="41"/>
      <c r="T377" s="41"/>
      <c r="U377" s="41"/>
      <c r="V377" s="41"/>
      <c r="W377" s="41"/>
      <c r="X377" s="41"/>
      <c r="Y377" s="41"/>
      <c r="Z377" s="41"/>
      <c r="AA377" s="128">
        <f t="shared" si="660"/>
        <v>0</v>
      </c>
      <c r="AB377" s="128">
        <f t="shared" si="651"/>
        <v>69861319.959999993</v>
      </c>
      <c r="AC377" s="175">
        <f t="shared" si="621"/>
        <v>1</v>
      </c>
    </row>
    <row r="378" spans="2:29" ht="14.25" x14ac:dyDescent="0.2">
      <c r="B378" s="76" t="s">
        <v>1314</v>
      </c>
      <c r="C378" s="77" t="s">
        <v>1315</v>
      </c>
      <c r="D378" s="41"/>
      <c r="E378" s="188">
        <f>SUM('ADICIONES  2021'!C378:I378)</f>
        <v>14891617.699999999</v>
      </c>
      <c r="F378" s="41"/>
      <c r="G378" s="41"/>
      <c r="H378" s="41"/>
      <c r="I378" s="41"/>
      <c r="J378" s="41"/>
      <c r="K378" s="128">
        <f t="shared" si="647"/>
        <v>14891617.699999999</v>
      </c>
      <c r="L378" s="41"/>
      <c r="M378" s="41"/>
      <c r="N378" s="41"/>
      <c r="O378" s="41"/>
      <c r="P378" s="41">
        <v>14891617.699999999</v>
      </c>
      <c r="Q378" s="409"/>
      <c r="R378" s="128">
        <f t="shared" si="649"/>
        <v>14891617.699999999</v>
      </c>
      <c r="S378" s="41"/>
      <c r="T378" s="41"/>
      <c r="U378" s="41"/>
      <c r="V378" s="41"/>
      <c r="W378" s="41"/>
      <c r="X378" s="41"/>
      <c r="Y378" s="41"/>
      <c r="Z378" s="41"/>
      <c r="AA378" s="128">
        <f t="shared" si="660"/>
        <v>0</v>
      </c>
      <c r="AB378" s="128">
        <f t="shared" si="651"/>
        <v>14891617.699999999</v>
      </c>
      <c r="AC378" s="175">
        <f t="shared" si="621"/>
        <v>1</v>
      </c>
    </row>
    <row r="379" spans="2:29" ht="28.5" x14ac:dyDescent="0.2">
      <c r="B379" s="76" t="s">
        <v>1316</v>
      </c>
      <c r="C379" s="77" t="s">
        <v>1317</v>
      </c>
      <c r="D379" s="41"/>
      <c r="E379" s="188">
        <f>SUM('ADICIONES  2021'!C379:I379)</f>
        <v>5287463</v>
      </c>
      <c r="F379" s="41"/>
      <c r="G379" s="41"/>
      <c r="H379" s="41"/>
      <c r="I379" s="41"/>
      <c r="J379" s="41"/>
      <c r="K379" s="128">
        <f t="shared" si="647"/>
        <v>5287463</v>
      </c>
      <c r="L379" s="41"/>
      <c r="M379" s="41"/>
      <c r="N379" s="41"/>
      <c r="O379" s="41"/>
      <c r="P379" s="41">
        <v>5287463</v>
      </c>
      <c r="Q379" s="409"/>
      <c r="R379" s="128">
        <f t="shared" si="649"/>
        <v>5287463</v>
      </c>
      <c r="S379" s="41"/>
      <c r="T379" s="41"/>
      <c r="U379" s="41"/>
      <c r="V379" s="41"/>
      <c r="W379" s="41"/>
      <c r="X379" s="41"/>
      <c r="Y379" s="41"/>
      <c r="Z379" s="41"/>
      <c r="AA379" s="128">
        <f t="shared" si="660"/>
        <v>0</v>
      </c>
      <c r="AB379" s="128">
        <f t="shared" si="651"/>
        <v>5287463</v>
      </c>
      <c r="AC379" s="175">
        <f t="shared" si="621"/>
        <v>1</v>
      </c>
    </row>
    <row r="380" spans="2:29" ht="28.5" x14ac:dyDescent="0.2">
      <c r="B380" s="76" t="s">
        <v>1318</v>
      </c>
      <c r="C380" s="77" t="s">
        <v>1319</v>
      </c>
      <c r="D380" s="41"/>
      <c r="E380" s="188">
        <f>SUM('ADICIONES  2021'!C380:I380)</f>
        <v>853831345</v>
      </c>
      <c r="F380" s="41"/>
      <c r="G380" s="41"/>
      <c r="H380" s="41"/>
      <c r="I380" s="41"/>
      <c r="J380" s="41"/>
      <c r="K380" s="128">
        <f t="shared" si="647"/>
        <v>853831345</v>
      </c>
      <c r="L380" s="41"/>
      <c r="M380" s="41"/>
      <c r="N380" s="41"/>
      <c r="O380" s="41"/>
      <c r="P380" s="41">
        <v>853831345</v>
      </c>
      <c r="Q380" s="409"/>
      <c r="R380" s="128">
        <f t="shared" si="649"/>
        <v>853831345</v>
      </c>
      <c r="S380" s="41"/>
      <c r="T380" s="41"/>
      <c r="U380" s="41"/>
      <c r="V380" s="41"/>
      <c r="W380" s="41"/>
      <c r="X380" s="41"/>
      <c r="Y380" s="41"/>
      <c r="Z380" s="41"/>
      <c r="AA380" s="128">
        <f t="shared" si="660"/>
        <v>0</v>
      </c>
      <c r="AB380" s="128">
        <f t="shared" si="651"/>
        <v>853831345</v>
      </c>
      <c r="AC380" s="175">
        <f t="shared" si="621"/>
        <v>1</v>
      </c>
    </row>
    <row r="381" spans="2:29" ht="42.75" x14ac:dyDescent="0.2">
      <c r="B381" s="76" t="s">
        <v>1320</v>
      </c>
      <c r="C381" s="77" t="s">
        <v>1321</v>
      </c>
      <c r="D381" s="41"/>
      <c r="E381" s="188">
        <f>SUM('ADICIONES  2021'!C381:I381)</f>
        <v>20854350.050000001</v>
      </c>
      <c r="F381" s="41"/>
      <c r="G381" s="41"/>
      <c r="H381" s="41"/>
      <c r="I381" s="41"/>
      <c r="J381" s="41"/>
      <c r="K381" s="128">
        <f t="shared" si="647"/>
        <v>20854350.050000001</v>
      </c>
      <c r="L381" s="41"/>
      <c r="M381" s="41"/>
      <c r="N381" s="41"/>
      <c r="O381" s="41"/>
      <c r="P381" s="41">
        <v>20854350.050000001</v>
      </c>
      <c r="Q381" s="409"/>
      <c r="R381" s="128">
        <f t="shared" si="649"/>
        <v>20854350.050000001</v>
      </c>
      <c r="S381" s="41"/>
      <c r="T381" s="41"/>
      <c r="U381" s="41"/>
      <c r="V381" s="41"/>
      <c r="W381" s="41"/>
      <c r="X381" s="41"/>
      <c r="Y381" s="41"/>
      <c r="Z381" s="41"/>
      <c r="AA381" s="128">
        <f t="shared" si="660"/>
        <v>0</v>
      </c>
      <c r="AB381" s="128">
        <f t="shared" si="651"/>
        <v>20854350.050000001</v>
      </c>
      <c r="AC381" s="175">
        <f t="shared" si="621"/>
        <v>1</v>
      </c>
    </row>
    <row r="382" spans="2:29" ht="28.5" x14ac:dyDescent="0.2">
      <c r="B382" s="76" t="s">
        <v>1322</v>
      </c>
      <c r="C382" s="77" t="s">
        <v>1323</v>
      </c>
      <c r="D382" s="41"/>
      <c r="E382" s="188">
        <f>SUM('ADICIONES  2021'!C382:I382)</f>
        <v>312401632.33999997</v>
      </c>
      <c r="F382" s="41"/>
      <c r="G382" s="41"/>
      <c r="H382" s="41"/>
      <c r="I382" s="41"/>
      <c r="J382" s="41"/>
      <c r="K382" s="128">
        <f t="shared" si="647"/>
        <v>312401632.33999997</v>
      </c>
      <c r="L382" s="41"/>
      <c r="M382" s="41"/>
      <c r="N382" s="41"/>
      <c r="O382" s="41"/>
      <c r="P382" s="41">
        <v>312401632.33999997</v>
      </c>
      <c r="Q382" s="409"/>
      <c r="R382" s="128">
        <f t="shared" si="649"/>
        <v>312401632.33999997</v>
      </c>
      <c r="S382" s="41"/>
      <c r="T382" s="41"/>
      <c r="U382" s="41"/>
      <c r="V382" s="41"/>
      <c r="W382" s="41"/>
      <c r="X382" s="41"/>
      <c r="Y382" s="41"/>
      <c r="Z382" s="41"/>
      <c r="AA382" s="128">
        <f t="shared" si="660"/>
        <v>0</v>
      </c>
      <c r="AB382" s="128">
        <f t="shared" si="651"/>
        <v>312401632.33999997</v>
      </c>
      <c r="AC382" s="175">
        <f t="shared" si="621"/>
        <v>1</v>
      </c>
    </row>
    <row r="383" spans="2:29" ht="14.25" x14ac:dyDescent="0.2">
      <c r="B383" s="76" t="s">
        <v>1324</v>
      </c>
      <c r="C383" s="77" t="s">
        <v>1325</v>
      </c>
      <c r="D383" s="41"/>
      <c r="E383" s="188">
        <f>SUM('ADICIONES  2021'!C383:I383)</f>
        <v>415035594.76999998</v>
      </c>
      <c r="F383" s="41"/>
      <c r="G383" s="41"/>
      <c r="H383" s="41"/>
      <c r="I383" s="41"/>
      <c r="J383" s="41"/>
      <c r="K383" s="128">
        <f t="shared" si="647"/>
        <v>415035594.76999998</v>
      </c>
      <c r="L383" s="41"/>
      <c r="M383" s="41"/>
      <c r="N383" s="41"/>
      <c r="O383" s="41"/>
      <c r="P383" s="41">
        <v>415035594.76999998</v>
      </c>
      <c r="Q383" s="409"/>
      <c r="R383" s="128">
        <f t="shared" si="649"/>
        <v>415035594.76999998</v>
      </c>
      <c r="S383" s="41"/>
      <c r="T383" s="41"/>
      <c r="U383" s="41"/>
      <c r="V383" s="41"/>
      <c r="W383" s="41"/>
      <c r="X383" s="41"/>
      <c r="Y383" s="41"/>
      <c r="Z383" s="41"/>
      <c r="AA383" s="128">
        <f t="shared" si="660"/>
        <v>0</v>
      </c>
      <c r="AB383" s="128">
        <f t="shared" si="651"/>
        <v>415035594.76999998</v>
      </c>
      <c r="AC383" s="175">
        <f t="shared" si="621"/>
        <v>1</v>
      </c>
    </row>
    <row r="384" spans="2:29" ht="28.5" x14ac:dyDescent="0.2">
      <c r="B384" s="76" t="s">
        <v>1326</v>
      </c>
      <c r="C384" s="77" t="s">
        <v>1327</v>
      </c>
      <c r="D384" s="41"/>
      <c r="E384" s="188">
        <f>SUM('ADICIONES  2021'!C384:I384)</f>
        <v>12023107.65</v>
      </c>
      <c r="F384" s="41"/>
      <c r="G384" s="41"/>
      <c r="H384" s="41"/>
      <c r="I384" s="41"/>
      <c r="J384" s="41"/>
      <c r="K384" s="128">
        <f t="shared" si="647"/>
        <v>12023107.65</v>
      </c>
      <c r="L384" s="41"/>
      <c r="M384" s="41"/>
      <c r="N384" s="41"/>
      <c r="O384" s="41"/>
      <c r="P384" s="41">
        <v>12023107.65</v>
      </c>
      <c r="Q384" s="409"/>
      <c r="R384" s="128">
        <f t="shared" si="649"/>
        <v>12023107.65</v>
      </c>
      <c r="S384" s="41"/>
      <c r="T384" s="41"/>
      <c r="U384" s="41"/>
      <c r="V384" s="41"/>
      <c r="W384" s="41"/>
      <c r="X384" s="41"/>
      <c r="Y384" s="41"/>
      <c r="Z384" s="41"/>
      <c r="AA384" s="128">
        <f t="shared" si="660"/>
        <v>0</v>
      </c>
      <c r="AB384" s="128">
        <f t="shared" si="651"/>
        <v>12023107.65</v>
      </c>
      <c r="AC384" s="175">
        <f t="shared" si="621"/>
        <v>1</v>
      </c>
    </row>
    <row r="385" spans="2:29" ht="28.5" x14ac:dyDescent="0.2">
      <c r="B385" s="76" t="s">
        <v>1328</v>
      </c>
      <c r="C385" s="77" t="s">
        <v>1329</v>
      </c>
      <c r="D385" s="41"/>
      <c r="E385" s="188">
        <f>SUM('ADICIONES  2021'!C385:I385)</f>
        <v>72840664.370000005</v>
      </c>
      <c r="F385" s="41"/>
      <c r="G385" s="41"/>
      <c r="H385" s="41"/>
      <c r="I385" s="41"/>
      <c r="J385" s="41"/>
      <c r="K385" s="128">
        <f t="shared" si="647"/>
        <v>72840664.370000005</v>
      </c>
      <c r="L385" s="41"/>
      <c r="M385" s="41"/>
      <c r="N385" s="41"/>
      <c r="O385" s="41"/>
      <c r="P385" s="41">
        <v>72840664.370000005</v>
      </c>
      <c r="Q385" s="409"/>
      <c r="R385" s="128">
        <f t="shared" si="649"/>
        <v>72840664.370000005</v>
      </c>
      <c r="S385" s="41"/>
      <c r="T385" s="41"/>
      <c r="U385" s="41"/>
      <c r="V385" s="41"/>
      <c r="W385" s="41"/>
      <c r="X385" s="41"/>
      <c r="Y385" s="41"/>
      <c r="Z385" s="41"/>
      <c r="AA385" s="128">
        <f t="shared" si="660"/>
        <v>0</v>
      </c>
      <c r="AB385" s="128">
        <f t="shared" si="651"/>
        <v>72840664.370000005</v>
      </c>
      <c r="AC385" s="175">
        <f t="shared" si="621"/>
        <v>1</v>
      </c>
    </row>
    <row r="386" spans="2:29" ht="28.5" x14ac:dyDescent="0.2">
      <c r="B386" s="76" t="s">
        <v>1330</v>
      </c>
      <c r="C386" s="77" t="s">
        <v>1331</v>
      </c>
      <c r="D386" s="41"/>
      <c r="E386" s="188">
        <f>SUM('ADICIONES  2021'!C386:I386)</f>
        <v>173605723</v>
      </c>
      <c r="F386" s="41"/>
      <c r="G386" s="41"/>
      <c r="H386" s="41"/>
      <c r="I386" s="41"/>
      <c r="J386" s="41"/>
      <c r="K386" s="128">
        <f t="shared" si="647"/>
        <v>173605723</v>
      </c>
      <c r="L386" s="41"/>
      <c r="M386" s="41"/>
      <c r="N386" s="41"/>
      <c r="O386" s="41"/>
      <c r="P386" s="41">
        <v>173605723</v>
      </c>
      <c r="Q386" s="409"/>
      <c r="R386" s="128">
        <f t="shared" si="649"/>
        <v>173605723</v>
      </c>
      <c r="S386" s="41"/>
      <c r="T386" s="41"/>
      <c r="U386" s="41"/>
      <c r="V386" s="41"/>
      <c r="W386" s="41"/>
      <c r="X386" s="41"/>
      <c r="Y386" s="41"/>
      <c r="Z386" s="41"/>
      <c r="AA386" s="128">
        <f t="shared" si="660"/>
        <v>0</v>
      </c>
      <c r="AB386" s="128">
        <f t="shared" si="651"/>
        <v>173605723</v>
      </c>
      <c r="AC386" s="175">
        <f t="shared" si="621"/>
        <v>1</v>
      </c>
    </row>
    <row r="387" spans="2:29" ht="28.5" x14ac:dyDescent="0.2">
      <c r="B387" s="76" t="s">
        <v>1332</v>
      </c>
      <c r="C387" s="77" t="s">
        <v>1333</v>
      </c>
      <c r="D387" s="41"/>
      <c r="E387" s="188">
        <f>SUM('ADICIONES  2021'!C387:I387)</f>
        <v>462785030.63</v>
      </c>
      <c r="F387" s="41"/>
      <c r="G387" s="41"/>
      <c r="H387" s="41"/>
      <c r="I387" s="41"/>
      <c r="J387" s="41"/>
      <c r="K387" s="128">
        <f t="shared" si="647"/>
        <v>462785030.63</v>
      </c>
      <c r="L387" s="41"/>
      <c r="M387" s="41"/>
      <c r="N387" s="41"/>
      <c r="O387" s="41"/>
      <c r="P387" s="41">
        <v>462785030.63</v>
      </c>
      <c r="Q387" s="409"/>
      <c r="R387" s="128">
        <f t="shared" si="649"/>
        <v>462785030.63</v>
      </c>
      <c r="S387" s="41"/>
      <c r="T387" s="41"/>
      <c r="U387" s="41"/>
      <c r="V387" s="41"/>
      <c r="W387" s="41"/>
      <c r="X387" s="41"/>
      <c r="Y387" s="41"/>
      <c r="Z387" s="41"/>
      <c r="AA387" s="128">
        <f t="shared" si="660"/>
        <v>0</v>
      </c>
      <c r="AB387" s="128">
        <f t="shared" si="651"/>
        <v>462785030.63</v>
      </c>
      <c r="AC387" s="175">
        <f t="shared" si="621"/>
        <v>1</v>
      </c>
    </row>
    <row r="388" spans="2:29" ht="28.5" x14ac:dyDescent="0.2">
      <c r="B388" s="76" t="s">
        <v>1334</v>
      </c>
      <c r="C388" s="77" t="s">
        <v>1335</v>
      </c>
      <c r="D388" s="41"/>
      <c r="E388" s="188">
        <f>SUM('ADICIONES  2021'!C388:I388)</f>
        <v>47055319</v>
      </c>
      <c r="F388" s="41"/>
      <c r="G388" s="41"/>
      <c r="H388" s="41"/>
      <c r="I388" s="41"/>
      <c r="J388" s="41"/>
      <c r="K388" s="128">
        <f t="shared" si="647"/>
        <v>47055319</v>
      </c>
      <c r="L388" s="41"/>
      <c r="M388" s="41"/>
      <c r="N388" s="41"/>
      <c r="O388" s="41"/>
      <c r="P388" s="41">
        <v>47055319</v>
      </c>
      <c r="Q388" s="409"/>
      <c r="R388" s="128">
        <f t="shared" si="649"/>
        <v>47055319</v>
      </c>
      <c r="S388" s="41"/>
      <c r="T388" s="41"/>
      <c r="U388" s="41"/>
      <c r="V388" s="41"/>
      <c r="W388" s="41"/>
      <c r="X388" s="41"/>
      <c r="Y388" s="41"/>
      <c r="Z388" s="41"/>
      <c r="AA388" s="128">
        <f t="shared" si="660"/>
        <v>0</v>
      </c>
      <c r="AB388" s="128">
        <f t="shared" si="651"/>
        <v>47055319</v>
      </c>
      <c r="AC388" s="175">
        <f t="shared" si="621"/>
        <v>1</v>
      </c>
    </row>
    <row r="389" spans="2:29" ht="14.25" x14ac:dyDescent="0.2">
      <c r="B389" s="76" t="s">
        <v>1336</v>
      </c>
      <c r="C389" s="77" t="s">
        <v>1337</v>
      </c>
      <c r="D389" s="41"/>
      <c r="E389" s="188">
        <f>SUM('ADICIONES  2021'!C389:I389)</f>
        <v>130075777</v>
      </c>
      <c r="F389" s="41"/>
      <c r="G389" s="41"/>
      <c r="H389" s="41"/>
      <c r="I389" s="41"/>
      <c r="J389" s="41"/>
      <c r="K389" s="128">
        <f t="shared" si="647"/>
        <v>130075777</v>
      </c>
      <c r="L389" s="41"/>
      <c r="M389" s="41"/>
      <c r="N389" s="41"/>
      <c r="O389" s="41"/>
      <c r="P389" s="41">
        <v>130075777</v>
      </c>
      <c r="Q389" s="409"/>
      <c r="R389" s="128">
        <f t="shared" si="649"/>
        <v>130075777</v>
      </c>
      <c r="S389" s="41"/>
      <c r="T389" s="41"/>
      <c r="U389" s="41"/>
      <c r="V389" s="41"/>
      <c r="W389" s="41"/>
      <c r="X389" s="41"/>
      <c r="Y389" s="41"/>
      <c r="Z389" s="41"/>
      <c r="AA389" s="128">
        <f t="shared" si="660"/>
        <v>0</v>
      </c>
      <c r="AB389" s="128">
        <f t="shared" si="651"/>
        <v>130075777</v>
      </c>
      <c r="AC389" s="175">
        <f t="shared" si="621"/>
        <v>1</v>
      </c>
    </row>
    <row r="390" spans="2:29" ht="28.5" x14ac:dyDescent="0.2">
      <c r="B390" s="76" t="s">
        <v>1338</v>
      </c>
      <c r="C390" s="77" t="s">
        <v>1339</v>
      </c>
      <c r="D390" s="41"/>
      <c r="E390" s="188">
        <f>SUM('ADICIONES  2021'!C390:I390)</f>
        <v>268763643.69999999</v>
      </c>
      <c r="F390" s="41"/>
      <c r="G390" s="41"/>
      <c r="H390" s="41"/>
      <c r="I390" s="41"/>
      <c r="J390" s="41"/>
      <c r="K390" s="128">
        <f t="shared" si="647"/>
        <v>268763643.69999999</v>
      </c>
      <c r="L390" s="41"/>
      <c r="M390" s="41"/>
      <c r="N390" s="41"/>
      <c r="O390" s="41"/>
      <c r="P390" s="41">
        <v>268763643.69999999</v>
      </c>
      <c r="Q390" s="409"/>
      <c r="R390" s="128">
        <f t="shared" si="649"/>
        <v>268763643.69999999</v>
      </c>
      <c r="S390" s="41"/>
      <c r="T390" s="41"/>
      <c r="U390" s="41"/>
      <c r="V390" s="41"/>
      <c r="W390" s="41"/>
      <c r="X390" s="41"/>
      <c r="Y390" s="41"/>
      <c r="Z390" s="41"/>
      <c r="AA390" s="128">
        <f t="shared" si="660"/>
        <v>0</v>
      </c>
      <c r="AB390" s="128">
        <f t="shared" si="651"/>
        <v>268763643.69999999</v>
      </c>
      <c r="AC390" s="175">
        <f t="shared" si="621"/>
        <v>1</v>
      </c>
    </row>
    <row r="391" spans="2:29" ht="28.5" x14ac:dyDescent="0.2">
      <c r="B391" s="76" t="s">
        <v>1340</v>
      </c>
      <c r="C391" s="77" t="s">
        <v>1341</v>
      </c>
      <c r="D391" s="41"/>
      <c r="E391" s="188">
        <f>SUM('ADICIONES  2021'!C391:I391)</f>
        <v>40305269</v>
      </c>
      <c r="F391" s="41"/>
      <c r="G391" s="41"/>
      <c r="H391" s="41"/>
      <c r="I391" s="41"/>
      <c r="J391" s="41"/>
      <c r="K391" s="128">
        <f t="shared" si="647"/>
        <v>40305269</v>
      </c>
      <c r="L391" s="41"/>
      <c r="M391" s="41"/>
      <c r="N391" s="41"/>
      <c r="O391" s="41"/>
      <c r="P391" s="41">
        <v>40305269</v>
      </c>
      <c r="Q391" s="409"/>
      <c r="R391" s="128">
        <f t="shared" si="649"/>
        <v>40305269</v>
      </c>
      <c r="S391" s="41"/>
      <c r="T391" s="41"/>
      <c r="U391" s="41"/>
      <c r="V391" s="41"/>
      <c r="W391" s="41"/>
      <c r="X391" s="41"/>
      <c r="Y391" s="41"/>
      <c r="Z391" s="41"/>
      <c r="AA391" s="128">
        <f t="shared" si="660"/>
        <v>0</v>
      </c>
      <c r="AB391" s="128">
        <f t="shared" si="651"/>
        <v>40305269</v>
      </c>
      <c r="AC391" s="175">
        <f t="shared" si="621"/>
        <v>1</v>
      </c>
    </row>
    <row r="392" spans="2:29" ht="28.5" x14ac:dyDescent="0.2">
      <c r="B392" s="76" t="s">
        <v>1342</v>
      </c>
      <c r="C392" s="77" t="s">
        <v>1343</v>
      </c>
      <c r="D392" s="41"/>
      <c r="E392" s="188">
        <f>SUM('ADICIONES  2021'!C392:I392)</f>
        <v>58229838</v>
      </c>
      <c r="F392" s="41"/>
      <c r="G392" s="41"/>
      <c r="H392" s="41"/>
      <c r="I392" s="41"/>
      <c r="J392" s="41"/>
      <c r="K392" s="128">
        <f t="shared" si="647"/>
        <v>58229838</v>
      </c>
      <c r="L392" s="41"/>
      <c r="M392" s="41"/>
      <c r="N392" s="41"/>
      <c r="O392" s="41"/>
      <c r="P392" s="41">
        <v>58229838</v>
      </c>
      <c r="Q392" s="409"/>
      <c r="R392" s="128">
        <f t="shared" si="649"/>
        <v>58229838</v>
      </c>
      <c r="S392" s="41"/>
      <c r="T392" s="41"/>
      <c r="U392" s="41"/>
      <c r="V392" s="41"/>
      <c r="W392" s="41"/>
      <c r="X392" s="41"/>
      <c r="Y392" s="41"/>
      <c r="Z392" s="41"/>
      <c r="AA392" s="128">
        <f t="shared" si="660"/>
        <v>0</v>
      </c>
      <c r="AB392" s="128">
        <f t="shared" si="651"/>
        <v>58229838</v>
      </c>
      <c r="AC392" s="175">
        <f t="shared" si="621"/>
        <v>1</v>
      </c>
    </row>
    <row r="393" spans="2:29" ht="28.5" x14ac:dyDescent="0.2">
      <c r="B393" s="76" t="s">
        <v>1344</v>
      </c>
      <c r="C393" s="77" t="s">
        <v>1345</v>
      </c>
      <c r="D393" s="41"/>
      <c r="E393" s="188">
        <f>SUM('ADICIONES  2021'!C393:I393)</f>
        <v>444246350.97000003</v>
      </c>
      <c r="F393" s="41"/>
      <c r="G393" s="41"/>
      <c r="H393" s="41"/>
      <c r="I393" s="41"/>
      <c r="J393" s="41"/>
      <c r="K393" s="128">
        <f t="shared" si="647"/>
        <v>444246350.97000003</v>
      </c>
      <c r="L393" s="41"/>
      <c r="M393" s="41"/>
      <c r="N393" s="41"/>
      <c r="O393" s="41"/>
      <c r="P393" s="41">
        <v>444246350.97000003</v>
      </c>
      <c r="Q393" s="409"/>
      <c r="R393" s="128">
        <f t="shared" si="649"/>
        <v>444246350.97000003</v>
      </c>
      <c r="S393" s="41"/>
      <c r="T393" s="41"/>
      <c r="U393" s="41"/>
      <c r="V393" s="41"/>
      <c r="W393" s="41"/>
      <c r="X393" s="41"/>
      <c r="Y393" s="41"/>
      <c r="Z393" s="41"/>
      <c r="AA393" s="128">
        <f t="shared" si="660"/>
        <v>0</v>
      </c>
      <c r="AB393" s="128">
        <f t="shared" si="651"/>
        <v>444246350.97000003</v>
      </c>
      <c r="AC393" s="175">
        <f t="shared" si="621"/>
        <v>1</v>
      </c>
    </row>
    <row r="394" spans="2:29" ht="28.5" x14ac:dyDescent="0.2">
      <c r="B394" s="76" t="s">
        <v>1346</v>
      </c>
      <c r="C394" s="77" t="s">
        <v>1347</v>
      </c>
      <c r="D394" s="41"/>
      <c r="E394" s="188">
        <f>SUM('ADICIONES  2021'!C394:I394)</f>
        <v>32415997.789999999</v>
      </c>
      <c r="F394" s="41"/>
      <c r="G394" s="41"/>
      <c r="H394" s="41"/>
      <c r="I394" s="41"/>
      <c r="J394" s="41"/>
      <c r="K394" s="128">
        <f t="shared" si="647"/>
        <v>32415997.789999999</v>
      </c>
      <c r="L394" s="41"/>
      <c r="M394" s="41"/>
      <c r="N394" s="41"/>
      <c r="O394" s="41"/>
      <c r="P394" s="41">
        <v>32415997.789999999</v>
      </c>
      <c r="Q394" s="409"/>
      <c r="R394" s="128">
        <f t="shared" si="649"/>
        <v>32415997.789999999</v>
      </c>
      <c r="S394" s="41"/>
      <c r="T394" s="41"/>
      <c r="U394" s="41"/>
      <c r="V394" s="41"/>
      <c r="W394" s="41"/>
      <c r="X394" s="41"/>
      <c r="Y394" s="41"/>
      <c r="Z394" s="41"/>
      <c r="AA394" s="128">
        <f t="shared" si="660"/>
        <v>0</v>
      </c>
      <c r="AB394" s="128">
        <f t="shared" si="651"/>
        <v>32415997.789999999</v>
      </c>
      <c r="AC394" s="175">
        <f t="shared" si="621"/>
        <v>1</v>
      </c>
    </row>
    <row r="395" spans="2:29" ht="28.5" x14ac:dyDescent="0.2">
      <c r="B395" s="76" t="s">
        <v>1348</v>
      </c>
      <c r="C395" s="77" t="s">
        <v>1349</v>
      </c>
      <c r="D395" s="41"/>
      <c r="E395" s="188">
        <f>SUM('ADICIONES  2021'!C395:I395)</f>
        <v>44617201.549999997</v>
      </c>
      <c r="F395" s="41"/>
      <c r="G395" s="41"/>
      <c r="H395" s="41"/>
      <c r="I395" s="41"/>
      <c r="J395" s="41"/>
      <c r="K395" s="128">
        <f t="shared" si="647"/>
        <v>44617201.549999997</v>
      </c>
      <c r="L395" s="41"/>
      <c r="M395" s="41"/>
      <c r="N395" s="41"/>
      <c r="O395" s="41"/>
      <c r="P395" s="41">
        <v>44617201.549999997</v>
      </c>
      <c r="Q395" s="409"/>
      <c r="R395" s="128">
        <f t="shared" si="649"/>
        <v>44617201.549999997</v>
      </c>
      <c r="S395" s="41"/>
      <c r="T395" s="41"/>
      <c r="U395" s="41"/>
      <c r="V395" s="41"/>
      <c r="W395" s="41"/>
      <c r="X395" s="41"/>
      <c r="Y395" s="41"/>
      <c r="Z395" s="41"/>
      <c r="AA395" s="128">
        <f t="shared" si="660"/>
        <v>0</v>
      </c>
      <c r="AB395" s="128">
        <f t="shared" si="651"/>
        <v>44617201.549999997</v>
      </c>
      <c r="AC395" s="175">
        <f t="shared" si="621"/>
        <v>1</v>
      </c>
    </row>
    <row r="396" spans="2:29" ht="28.5" x14ac:dyDescent="0.2">
      <c r="B396" s="76" t="s">
        <v>1350</v>
      </c>
      <c r="C396" s="77" t="s">
        <v>1351</v>
      </c>
      <c r="D396" s="41"/>
      <c r="E396" s="188">
        <f>SUM('ADICIONES  2021'!C396:I396)</f>
        <v>36269653.659999996</v>
      </c>
      <c r="F396" s="41"/>
      <c r="G396" s="41"/>
      <c r="H396" s="41"/>
      <c r="I396" s="41"/>
      <c r="J396" s="41"/>
      <c r="K396" s="128">
        <f t="shared" si="647"/>
        <v>36269653.659999996</v>
      </c>
      <c r="L396" s="41"/>
      <c r="M396" s="41"/>
      <c r="N396" s="41"/>
      <c r="O396" s="41"/>
      <c r="P396" s="41">
        <v>36269653.659999996</v>
      </c>
      <c r="Q396" s="409"/>
      <c r="R396" s="128">
        <f t="shared" si="649"/>
        <v>36269653.659999996</v>
      </c>
      <c r="S396" s="41"/>
      <c r="T396" s="41"/>
      <c r="U396" s="41"/>
      <c r="V396" s="41"/>
      <c r="W396" s="41"/>
      <c r="X396" s="41"/>
      <c r="Y396" s="41"/>
      <c r="Z396" s="41"/>
      <c r="AA396" s="128">
        <f t="shared" si="660"/>
        <v>0</v>
      </c>
      <c r="AB396" s="128">
        <f t="shared" si="651"/>
        <v>36269653.659999996</v>
      </c>
      <c r="AC396" s="175">
        <f t="shared" si="621"/>
        <v>1</v>
      </c>
    </row>
    <row r="397" spans="2:29" ht="28.5" x14ac:dyDescent="0.2">
      <c r="B397" s="76" t="s">
        <v>1352</v>
      </c>
      <c r="C397" s="77" t="s">
        <v>1353</v>
      </c>
      <c r="D397" s="41"/>
      <c r="E397" s="188">
        <f>SUM('ADICIONES  2021'!C397:I397)</f>
        <v>14895643.09</v>
      </c>
      <c r="F397" s="41"/>
      <c r="G397" s="41"/>
      <c r="H397" s="41"/>
      <c r="I397" s="41"/>
      <c r="J397" s="41"/>
      <c r="K397" s="128">
        <f t="shared" si="647"/>
        <v>14895643.09</v>
      </c>
      <c r="L397" s="41"/>
      <c r="M397" s="41"/>
      <c r="N397" s="41"/>
      <c r="O397" s="41"/>
      <c r="P397" s="41">
        <v>14895643.09</v>
      </c>
      <c r="Q397" s="409"/>
      <c r="R397" s="128">
        <f t="shared" si="649"/>
        <v>14895643.09</v>
      </c>
      <c r="S397" s="41"/>
      <c r="T397" s="41"/>
      <c r="U397" s="41"/>
      <c r="V397" s="41"/>
      <c r="W397" s="41"/>
      <c r="X397" s="41"/>
      <c r="Y397" s="41"/>
      <c r="Z397" s="41"/>
      <c r="AA397" s="128">
        <f t="shared" si="660"/>
        <v>0</v>
      </c>
      <c r="AB397" s="128">
        <f t="shared" si="651"/>
        <v>14895643.09</v>
      </c>
      <c r="AC397" s="175">
        <f t="shared" si="621"/>
        <v>1</v>
      </c>
    </row>
    <row r="398" spans="2:29" ht="28.5" x14ac:dyDescent="0.2">
      <c r="B398" s="76" t="s">
        <v>1354</v>
      </c>
      <c r="C398" s="77" t="s">
        <v>1355</v>
      </c>
      <c r="D398" s="41"/>
      <c r="E398" s="188">
        <f>SUM('ADICIONES  2021'!C398:I398)</f>
        <v>25901939.120000001</v>
      </c>
      <c r="F398" s="41"/>
      <c r="G398" s="41"/>
      <c r="H398" s="41"/>
      <c r="I398" s="41"/>
      <c r="J398" s="41"/>
      <c r="K398" s="128">
        <f t="shared" si="647"/>
        <v>25901939.120000001</v>
      </c>
      <c r="L398" s="41"/>
      <c r="M398" s="41"/>
      <c r="N398" s="41"/>
      <c r="O398" s="41"/>
      <c r="P398" s="41">
        <v>25901939.120000001</v>
      </c>
      <c r="Q398" s="409"/>
      <c r="R398" s="128">
        <f t="shared" si="649"/>
        <v>25901939.120000001</v>
      </c>
      <c r="S398" s="41"/>
      <c r="T398" s="41"/>
      <c r="U398" s="41"/>
      <c r="V398" s="41"/>
      <c r="W398" s="41"/>
      <c r="X398" s="41"/>
      <c r="Y398" s="41"/>
      <c r="Z398" s="41"/>
      <c r="AA398" s="128">
        <f t="shared" si="660"/>
        <v>0</v>
      </c>
      <c r="AB398" s="128">
        <f t="shared" si="651"/>
        <v>25901939.120000001</v>
      </c>
      <c r="AC398" s="175">
        <f t="shared" si="621"/>
        <v>1</v>
      </c>
    </row>
    <row r="399" spans="2:29" ht="28.5" x14ac:dyDescent="0.2">
      <c r="B399" s="76" t="s">
        <v>1356</v>
      </c>
      <c r="C399" s="77" t="s">
        <v>1357</v>
      </c>
      <c r="D399" s="41"/>
      <c r="E399" s="188">
        <f>SUM('ADICIONES  2021'!C399:I399)</f>
        <v>18769435.469999999</v>
      </c>
      <c r="F399" s="41"/>
      <c r="G399" s="41"/>
      <c r="H399" s="41"/>
      <c r="I399" s="41"/>
      <c r="J399" s="41"/>
      <c r="K399" s="128">
        <f t="shared" si="647"/>
        <v>18769435.469999999</v>
      </c>
      <c r="L399" s="41"/>
      <c r="M399" s="41"/>
      <c r="N399" s="41"/>
      <c r="O399" s="41"/>
      <c r="P399" s="41">
        <v>18769435.469999999</v>
      </c>
      <c r="Q399" s="409"/>
      <c r="R399" s="128">
        <f t="shared" si="649"/>
        <v>18769435.469999999</v>
      </c>
      <c r="S399" s="41"/>
      <c r="T399" s="41"/>
      <c r="U399" s="41"/>
      <c r="V399" s="41"/>
      <c r="W399" s="41"/>
      <c r="X399" s="41"/>
      <c r="Y399" s="41"/>
      <c r="Z399" s="41"/>
      <c r="AA399" s="128">
        <f t="shared" si="660"/>
        <v>0</v>
      </c>
      <c r="AB399" s="128">
        <f t="shared" si="651"/>
        <v>18769435.469999999</v>
      </c>
      <c r="AC399" s="175">
        <f t="shared" si="621"/>
        <v>1</v>
      </c>
    </row>
    <row r="400" spans="2:29" ht="15.75" x14ac:dyDescent="0.2">
      <c r="B400" s="81" t="s">
        <v>1218</v>
      </c>
      <c r="C400" s="79" t="s">
        <v>1219</v>
      </c>
      <c r="D400" s="78">
        <f t="shared" ref="D400" si="671">+D402+D401</f>
        <v>0</v>
      </c>
      <c r="E400" s="187">
        <f>SUM('ADICIONES  2021'!C400:I400)</f>
        <v>42687015851.779999</v>
      </c>
      <c r="F400" s="78">
        <f t="shared" ref="F400:J400" si="672">+F402+F401</f>
        <v>0</v>
      </c>
      <c r="G400" s="78">
        <f t="shared" si="672"/>
        <v>0</v>
      </c>
      <c r="H400" s="78">
        <f t="shared" si="672"/>
        <v>2500000000</v>
      </c>
      <c r="I400" s="78">
        <f t="shared" si="672"/>
        <v>0</v>
      </c>
      <c r="J400" s="78">
        <f t="shared" si="672"/>
        <v>0</v>
      </c>
      <c r="K400" s="78">
        <f t="shared" si="647"/>
        <v>40187015851.779999</v>
      </c>
      <c r="L400" s="78">
        <f t="shared" ref="L400:Q400" si="673">+L402+L401</f>
        <v>0</v>
      </c>
      <c r="M400" s="78">
        <f t="shared" si="673"/>
        <v>0</v>
      </c>
      <c r="N400" s="78">
        <f t="shared" si="673"/>
        <v>0</v>
      </c>
      <c r="O400" s="78">
        <f t="shared" si="673"/>
        <v>0</v>
      </c>
      <c r="P400" s="78">
        <f t="shared" si="673"/>
        <v>41585805014.779999</v>
      </c>
      <c r="Q400" s="408">
        <f t="shared" si="673"/>
        <v>0</v>
      </c>
      <c r="R400" s="78">
        <f t="shared" si="649"/>
        <v>41585805014.779999</v>
      </c>
      <c r="S400" s="78">
        <f t="shared" ref="S400:Z400" si="674">+S402+S401</f>
        <v>0</v>
      </c>
      <c r="T400" s="78">
        <f t="shared" si="674"/>
        <v>0</v>
      </c>
      <c r="U400" s="78">
        <f t="shared" si="674"/>
        <v>0</v>
      </c>
      <c r="V400" s="78">
        <f t="shared" si="674"/>
        <v>0</v>
      </c>
      <c r="W400" s="78">
        <f t="shared" si="674"/>
        <v>0</v>
      </c>
      <c r="X400" s="78">
        <f t="shared" si="674"/>
        <v>0</v>
      </c>
      <c r="Y400" s="78">
        <f t="shared" si="674"/>
        <v>0</v>
      </c>
      <c r="Z400" s="78">
        <f t="shared" si="674"/>
        <v>0</v>
      </c>
      <c r="AA400" s="78">
        <f t="shared" si="660"/>
        <v>0</v>
      </c>
      <c r="AB400" s="78">
        <f t="shared" si="651"/>
        <v>41585805014.779999</v>
      </c>
      <c r="AC400" s="174">
        <f t="shared" si="621"/>
        <v>1.0348069925908181</v>
      </c>
    </row>
    <row r="401" spans="2:29" ht="15.75" x14ac:dyDescent="0.2">
      <c r="B401" s="76" t="s">
        <v>1220</v>
      </c>
      <c r="C401" s="77" t="s">
        <v>1219</v>
      </c>
      <c r="D401" s="78"/>
      <c r="E401" s="188">
        <f>SUM('ADICIONES  2021'!C401:I401)</f>
        <v>41585805014.779999</v>
      </c>
      <c r="F401" s="78"/>
      <c r="G401" s="78"/>
      <c r="H401" s="126">
        <v>2500000000</v>
      </c>
      <c r="I401" s="78"/>
      <c r="J401" s="78"/>
      <c r="K401" s="128">
        <f t="shared" si="647"/>
        <v>39085805014.779999</v>
      </c>
      <c r="L401" s="78"/>
      <c r="M401" s="78"/>
      <c r="N401" s="78"/>
      <c r="O401" s="78"/>
      <c r="P401" s="126">
        <v>41585805014.779999</v>
      </c>
      <c r="Q401" s="408"/>
      <c r="R401" s="128">
        <f t="shared" si="649"/>
        <v>41585805014.779999</v>
      </c>
      <c r="S401" s="78"/>
      <c r="T401" s="78"/>
      <c r="U401" s="78"/>
      <c r="V401" s="78"/>
      <c r="W401" s="78"/>
      <c r="X401" s="78"/>
      <c r="Y401" s="78"/>
      <c r="Z401" s="78"/>
      <c r="AA401" s="128">
        <f t="shared" ref="AA401" si="675">SUM(S401:Z401)</f>
        <v>0</v>
      </c>
      <c r="AB401" s="128">
        <f t="shared" si="651"/>
        <v>41585805014.779999</v>
      </c>
      <c r="AC401" s="175">
        <f t="shared" si="621"/>
        <v>1.0639618398304613</v>
      </c>
    </row>
    <row r="402" spans="2:29" ht="14.25" x14ac:dyDescent="0.2">
      <c r="B402" s="76" t="s">
        <v>1220</v>
      </c>
      <c r="C402" s="77" t="s">
        <v>1219</v>
      </c>
      <c r="D402" s="41"/>
      <c r="E402" s="188">
        <f>SUM('ADICIONES  2021'!C402:I402)</f>
        <v>1101210837</v>
      </c>
      <c r="F402" s="41"/>
      <c r="G402" s="41"/>
      <c r="H402" s="41"/>
      <c r="I402" s="41"/>
      <c r="J402" s="41"/>
      <c r="K402" s="128">
        <f t="shared" si="647"/>
        <v>1101210837</v>
      </c>
      <c r="L402" s="41"/>
      <c r="M402" s="41"/>
      <c r="N402" s="41"/>
      <c r="O402" s="41"/>
      <c r="P402" s="41">
        <v>0</v>
      </c>
      <c r="Q402" s="409"/>
      <c r="R402" s="128">
        <f t="shared" si="649"/>
        <v>0</v>
      </c>
      <c r="S402" s="41"/>
      <c r="T402" s="41"/>
      <c r="U402" s="41"/>
      <c r="V402" s="41"/>
      <c r="W402" s="41"/>
      <c r="X402" s="41"/>
      <c r="Y402" s="41"/>
      <c r="Z402" s="41"/>
      <c r="AA402" s="128">
        <f t="shared" si="660"/>
        <v>0</v>
      </c>
      <c r="AB402" s="128">
        <f t="shared" si="651"/>
        <v>0</v>
      </c>
      <c r="AC402" s="175">
        <f t="shared" si="621"/>
        <v>0</v>
      </c>
    </row>
    <row r="403" spans="2:29" ht="15.75" x14ac:dyDescent="0.2">
      <c r="B403" s="81" t="s">
        <v>1221</v>
      </c>
      <c r="C403" s="79" t="s">
        <v>1222</v>
      </c>
      <c r="D403" s="78">
        <f t="shared" ref="D403" si="676">+D405+D404</f>
        <v>0</v>
      </c>
      <c r="E403" s="187">
        <f>SUM('ADICIONES  2021'!C403:I403)</f>
        <v>2713942085.6799998</v>
      </c>
      <c r="F403" s="78">
        <f t="shared" ref="F403:J403" si="677">+F405+F404</f>
        <v>0</v>
      </c>
      <c r="G403" s="78">
        <f t="shared" si="677"/>
        <v>0</v>
      </c>
      <c r="H403" s="78">
        <f t="shared" si="677"/>
        <v>0</v>
      </c>
      <c r="I403" s="78">
        <f t="shared" si="677"/>
        <v>0</v>
      </c>
      <c r="J403" s="78">
        <f t="shared" si="677"/>
        <v>0</v>
      </c>
      <c r="K403" s="78">
        <f t="shared" si="647"/>
        <v>2713942085.6799998</v>
      </c>
      <c r="L403" s="78">
        <f t="shared" ref="L403:Q403" si="678">+L405+L404</f>
        <v>0</v>
      </c>
      <c r="M403" s="78">
        <f t="shared" si="678"/>
        <v>0</v>
      </c>
      <c r="N403" s="78">
        <f t="shared" si="678"/>
        <v>0</v>
      </c>
      <c r="O403" s="78">
        <f t="shared" si="678"/>
        <v>0</v>
      </c>
      <c r="P403" s="78">
        <f t="shared" si="678"/>
        <v>997499585.67999995</v>
      </c>
      <c r="Q403" s="408">
        <f t="shared" si="678"/>
        <v>0</v>
      </c>
      <c r="R403" s="78">
        <f t="shared" si="649"/>
        <v>997499585.67999995</v>
      </c>
      <c r="S403" s="78">
        <f t="shared" ref="S403:Z403" si="679">+S405+S404</f>
        <v>0</v>
      </c>
      <c r="T403" s="78">
        <f t="shared" si="679"/>
        <v>0</v>
      </c>
      <c r="U403" s="78">
        <f t="shared" si="679"/>
        <v>0</v>
      </c>
      <c r="V403" s="78">
        <f t="shared" si="679"/>
        <v>0</v>
      </c>
      <c r="W403" s="78">
        <f t="shared" si="679"/>
        <v>0</v>
      </c>
      <c r="X403" s="78">
        <f t="shared" si="679"/>
        <v>0</v>
      </c>
      <c r="Y403" s="78">
        <f t="shared" si="679"/>
        <v>0</v>
      </c>
      <c r="Z403" s="78">
        <f t="shared" si="679"/>
        <v>0</v>
      </c>
      <c r="AA403" s="78">
        <f t="shared" si="660"/>
        <v>0</v>
      </c>
      <c r="AB403" s="78">
        <f t="shared" si="651"/>
        <v>997499585.67999995</v>
      </c>
      <c r="AC403" s="174">
        <f t="shared" si="621"/>
        <v>0.36754637873197965</v>
      </c>
    </row>
    <row r="404" spans="2:29" x14ac:dyDescent="0.2">
      <c r="B404" s="76" t="s">
        <v>1223</v>
      </c>
      <c r="C404" s="77" t="s">
        <v>1222</v>
      </c>
      <c r="D404" s="126"/>
      <c r="E404" s="188">
        <f>SUM('ADICIONES  2021'!C404:I404)</f>
        <v>997499585.67999995</v>
      </c>
      <c r="F404" s="126"/>
      <c r="G404" s="126"/>
      <c r="H404" s="126"/>
      <c r="I404" s="126"/>
      <c r="J404" s="126"/>
      <c r="K404" s="128">
        <f t="shared" si="647"/>
        <v>997499585.67999995</v>
      </c>
      <c r="L404" s="126"/>
      <c r="M404" s="126"/>
      <c r="N404" s="126"/>
      <c r="O404" s="126"/>
      <c r="P404" s="126">
        <v>997499585.67999995</v>
      </c>
      <c r="Q404" s="413"/>
      <c r="R404" s="128">
        <f t="shared" si="649"/>
        <v>997499585.67999995</v>
      </c>
      <c r="S404" s="126"/>
      <c r="T404" s="126"/>
      <c r="U404" s="126"/>
      <c r="V404" s="126"/>
      <c r="W404" s="126"/>
      <c r="X404" s="126"/>
      <c r="Y404" s="126"/>
      <c r="Z404" s="126"/>
      <c r="AA404" s="128">
        <f t="shared" ref="AA404" si="680">SUM(S404:Z404)</f>
        <v>0</v>
      </c>
      <c r="AB404" s="128">
        <f t="shared" si="651"/>
        <v>997499585.67999995</v>
      </c>
      <c r="AC404" s="175">
        <f t="shared" si="621"/>
        <v>1</v>
      </c>
    </row>
    <row r="405" spans="2:29" ht="14.25" x14ac:dyDescent="0.2">
      <c r="B405" s="76" t="s">
        <v>1223</v>
      </c>
      <c r="C405" s="77" t="s">
        <v>1222</v>
      </c>
      <c r="D405" s="41"/>
      <c r="E405" s="188">
        <f>SUM('ADICIONES  2021'!C405:I405)</f>
        <v>1716442500</v>
      </c>
      <c r="F405" s="41"/>
      <c r="G405" s="41"/>
      <c r="H405" s="41"/>
      <c r="I405" s="41"/>
      <c r="J405" s="41"/>
      <c r="K405" s="128">
        <f t="shared" si="647"/>
        <v>1716442500</v>
      </c>
      <c r="L405" s="41"/>
      <c r="M405" s="41"/>
      <c r="N405" s="41"/>
      <c r="O405" s="41"/>
      <c r="P405" s="41">
        <v>0</v>
      </c>
      <c r="Q405" s="409"/>
      <c r="R405" s="128">
        <f t="shared" si="649"/>
        <v>0</v>
      </c>
      <c r="S405" s="41"/>
      <c r="T405" s="41"/>
      <c r="U405" s="41"/>
      <c r="V405" s="41"/>
      <c r="W405" s="41"/>
      <c r="X405" s="41"/>
      <c r="Y405" s="41"/>
      <c r="Z405" s="41"/>
      <c r="AA405" s="128">
        <f t="shared" si="660"/>
        <v>0</v>
      </c>
      <c r="AB405" s="128">
        <f t="shared" si="651"/>
        <v>0</v>
      </c>
      <c r="AC405" s="175">
        <f t="shared" si="621"/>
        <v>0</v>
      </c>
    </row>
    <row r="406" spans="2:29" ht="31.5" x14ac:dyDescent="0.2">
      <c r="B406" s="81" t="s">
        <v>1224</v>
      </c>
      <c r="C406" s="79" t="s">
        <v>1225</v>
      </c>
      <c r="D406" s="162">
        <f t="shared" ref="D406" si="681">SUM(D407:D413)</f>
        <v>0</v>
      </c>
      <c r="E406" s="187">
        <f>SUM('ADICIONES  2021'!C406:I406)</f>
        <v>10008855518.799999</v>
      </c>
      <c r="F406" s="162">
        <f t="shared" ref="F406:J406" si="682">SUM(F407:F413)</f>
        <v>0</v>
      </c>
      <c r="G406" s="162">
        <f t="shared" si="682"/>
        <v>0</v>
      </c>
      <c r="H406" s="162">
        <f t="shared" si="682"/>
        <v>0</v>
      </c>
      <c r="I406" s="162">
        <f t="shared" si="682"/>
        <v>0</v>
      </c>
      <c r="J406" s="162">
        <f t="shared" si="682"/>
        <v>0</v>
      </c>
      <c r="K406" s="78">
        <f t="shared" si="647"/>
        <v>10008855518.799999</v>
      </c>
      <c r="L406" s="162">
        <f t="shared" ref="L406:Q406" si="683">SUM(L407:L413)</f>
        <v>0</v>
      </c>
      <c r="M406" s="162">
        <f t="shared" si="683"/>
        <v>0</v>
      </c>
      <c r="N406" s="162">
        <f t="shared" si="683"/>
        <v>0</v>
      </c>
      <c r="O406" s="162">
        <f t="shared" si="683"/>
        <v>0</v>
      </c>
      <c r="P406" s="162">
        <f t="shared" si="683"/>
        <v>7293701458.1300001</v>
      </c>
      <c r="Q406" s="418">
        <f t="shared" si="683"/>
        <v>0</v>
      </c>
      <c r="R406" s="78">
        <f t="shared" si="649"/>
        <v>7293701458.1300001</v>
      </c>
      <c r="S406" s="162">
        <f t="shared" ref="S406:Z406" si="684">SUM(S407:S413)</f>
        <v>0</v>
      </c>
      <c r="T406" s="162">
        <f t="shared" si="684"/>
        <v>0</v>
      </c>
      <c r="U406" s="162">
        <f t="shared" si="684"/>
        <v>0</v>
      </c>
      <c r="V406" s="162">
        <f t="shared" si="684"/>
        <v>0</v>
      </c>
      <c r="W406" s="162">
        <f t="shared" si="684"/>
        <v>0</v>
      </c>
      <c r="X406" s="162">
        <f t="shared" si="684"/>
        <v>0</v>
      </c>
      <c r="Y406" s="162">
        <f t="shared" si="684"/>
        <v>0</v>
      </c>
      <c r="Z406" s="162">
        <f t="shared" si="684"/>
        <v>0</v>
      </c>
      <c r="AA406" s="78">
        <f t="shared" si="660"/>
        <v>0</v>
      </c>
      <c r="AB406" s="78">
        <f t="shared" si="651"/>
        <v>7293701458.1300001</v>
      </c>
      <c r="AC406" s="174">
        <f t="shared" si="621"/>
        <v>0.72872482217671886</v>
      </c>
    </row>
    <row r="407" spans="2:29" ht="28.5" x14ac:dyDescent="0.2">
      <c r="B407" s="76" t="s">
        <v>1226</v>
      </c>
      <c r="C407" s="77" t="s">
        <v>1227</v>
      </c>
      <c r="D407" s="41"/>
      <c r="E407" s="188">
        <f>SUM('ADICIONES  2021'!C407:I407)</f>
        <v>627750443.66999996</v>
      </c>
      <c r="F407" s="41"/>
      <c r="G407" s="41"/>
      <c r="H407" s="41"/>
      <c r="I407" s="41"/>
      <c r="J407" s="41"/>
      <c r="K407" s="128">
        <f t="shared" si="647"/>
        <v>627750443.66999996</v>
      </c>
      <c r="L407" s="41"/>
      <c r="M407" s="41"/>
      <c r="N407" s="41"/>
      <c r="O407" s="41"/>
      <c r="P407" s="41">
        <v>0</v>
      </c>
      <c r="Q407" s="409"/>
      <c r="R407" s="128">
        <f t="shared" si="649"/>
        <v>0</v>
      </c>
      <c r="S407" s="41"/>
      <c r="T407" s="41"/>
      <c r="U407" s="41"/>
      <c r="V407" s="41"/>
      <c r="W407" s="41"/>
      <c r="X407" s="41"/>
      <c r="Y407" s="41"/>
      <c r="Z407" s="41"/>
      <c r="AA407" s="128">
        <f t="shared" si="660"/>
        <v>0</v>
      </c>
      <c r="AB407" s="128">
        <f t="shared" si="651"/>
        <v>0</v>
      </c>
      <c r="AC407" s="175">
        <f t="shared" si="621"/>
        <v>0</v>
      </c>
    </row>
    <row r="408" spans="2:29" ht="28.5" x14ac:dyDescent="0.2">
      <c r="B408" s="76" t="s">
        <v>1228</v>
      </c>
      <c r="C408" s="77" t="s">
        <v>1229</v>
      </c>
      <c r="D408" s="41"/>
      <c r="E408" s="188">
        <f>SUM('ADICIONES  2021'!C408:I408)</f>
        <v>373443000</v>
      </c>
      <c r="F408" s="41"/>
      <c r="G408" s="41"/>
      <c r="H408" s="41"/>
      <c r="I408" s="41"/>
      <c r="J408" s="41"/>
      <c r="K408" s="128">
        <f t="shared" si="647"/>
        <v>373443000</v>
      </c>
      <c r="L408" s="41"/>
      <c r="M408" s="41"/>
      <c r="N408" s="41"/>
      <c r="O408" s="41"/>
      <c r="P408" s="41">
        <v>0</v>
      </c>
      <c r="Q408" s="409"/>
      <c r="R408" s="128">
        <f t="shared" si="649"/>
        <v>0</v>
      </c>
      <c r="S408" s="41"/>
      <c r="T408" s="41"/>
      <c r="U408" s="41"/>
      <c r="V408" s="41"/>
      <c r="W408" s="41"/>
      <c r="X408" s="41"/>
      <c r="Y408" s="41"/>
      <c r="Z408" s="41"/>
      <c r="AA408" s="128">
        <f t="shared" si="660"/>
        <v>0</v>
      </c>
      <c r="AB408" s="128">
        <f t="shared" si="651"/>
        <v>0</v>
      </c>
      <c r="AC408" s="175">
        <f t="shared" si="621"/>
        <v>0</v>
      </c>
    </row>
    <row r="409" spans="2:29" ht="28.5" x14ac:dyDescent="0.2">
      <c r="B409" s="76" t="s">
        <v>1230</v>
      </c>
      <c r="C409" s="77" t="s">
        <v>1231</v>
      </c>
      <c r="D409" s="41"/>
      <c r="E409" s="188">
        <f>SUM('ADICIONES  2021'!C409:I409)</f>
        <v>626557000</v>
      </c>
      <c r="F409" s="41"/>
      <c r="G409" s="41"/>
      <c r="H409" s="41"/>
      <c r="I409" s="41"/>
      <c r="J409" s="41"/>
      <c r="K409" s="128">
        <f t="shared" si="647"/>
        <v>626557000</v>
      </c>
      <c r="L409" s="41"/>
      <c r="M409" s="41"/>
      <c r="N409" s="41"/>
      <c r="O409" s="41"/>
      <c r="P409" s="41">
        <v>0</v>
      </c>
      <c r="Q409" s="409"/>
      <c r="R409" s="128">
        <f t="shared" si="649"/>
        <v>0</v>
      </c>
      <c r="S409" s="41"/>
      <c r="T409" s="41"/>
      <c r="U409" s="41"/>
      <c r="V409" s="41"/>
      <c r="W409" s="41"/>
      <c r="X409" s="41"/>
      <c r="Y409" s="41"/>
      <c r="Z409" s="41"/>
      <c r="AA409" s="128">
        <f t="shared" si="660"/>
        <v>0</v>
      </c>
      <c r="AB409" s="128">
        <f t="shared" si="651"/>
        <v>0</v>
      </c>
      <c r="AC409" s="175">
        <f t="shared" si="621"/>
        <v>0</v>
      </c>
    </row>
    <row r="410" spans="2:29" ht="28.5" x14ac:dyDescent="0.2">
      <c r="B410" s="76" t="s">
        <v>1232</v>
      </c>
      <c r="C410" s="77" t="s">
        <v>1233</v>
      </c>
      <c r="D410" s="41"/>
      <c r="E410" s="188">
        <f>SUM('ADICIONES  2021'!C410:I410)</f>
        <v>322809000</v>
      </c>
      <c r="F410" s="41"/>
      <c r="G410" s="41"/>
      <c r="H410" s="41"/>
      <c r="I410" s="41"/>
      <c r="J410" s="41"/>
      <c r="K410" s="128">
        <f t="shared" si="647"/>
        <v>322809000</v>
      </c>
      <c r="L410" s="41"/>
      <c r="M410" s="41"/>
      <c r="N410" s="41"/>
      <c r="O410" s="41"/>
      <c r="P410" s="41">
        <v>0</v>
      </c>
      <c r="Q410" s="409"/>
      <c r="R410" s="128">
        <f t="shared" si="649"/>
        <v>0</v>
      </c>
      <c r="S410" s="41"/>
      <c r="T410" s="41"/>
      <c r="U410" s="41"/>
      <c r="V410" s="41"/>
      <c r="W410" s="41"/>
      <c r="X410" s="41"/>
      <c r="Y410" s="41"/>
      <c r="Z410" s="41"/>
      <c r="AA410" s="128">
        <f t="shared" si="660"/>
        <v>0</v>
      </c>
      <c r="AB410" s="128">
        <f t="shared" si="651"/>
        <v>0</v>
      </c>
      <c r="AC410" s="175">
        <f t="shared" si="621"/>
        <v>0</v>
      </c>
    </row>
    <row r="411" spans="2:29" ht="28.5" x14ac:dyDescent="0.2">
      <c r="B411" s="76" t="s">
        <v>1234</v>
      </c>
      <c r="C411" s="77" t="s">
        <v>1235</v>
      </c>
      <c r="D411" s="41"/>
      <c r="E411" s="188">
        <f>SUM('ADICIONES  2021'!C411:I411)</f>
        <v>270394617</v>
      </c>
      <c r="F411" s="41"/>
      <c r="G411" s="41"/>
      <c r="H411" s="41"/>
      <c r="I411" s="41"/>
      <c r="J411" s="41"/>
      <c r="K411" s="128">
        <f t="shared" si="647"/>
        <v>270394617</v>
      </c>
      <c r="L411" s="41"/>
      <c r="M411" s="41"/>
      <c r="N411" s="41"/>
      <c r="O411" s="41"/>
      <c r="P411" s="41">
        <v>0</v>
      </c>
      <c r="Q411" s="409"/>
      <c r="R411" s="128">
        <f t="shared" si="649"/>
        <v>0</v>
      </c>
      <c r="S411" s="41"/>
      <c r="T411" s="41"/>
      <c r="U411" s="41"/>
      <c r="V411" s="41"/>
      <c r="W411" s="41"/>
      <c r="X411" s="41"/>
      <c r="Y411" s="41"/>
      <c r="Z411" s="41"/>
      <c r="AA411" s="128">
        <f t="shared" si="660"/>
        <v>0</v>
      </c>
      <c r="AB411" s="128">
        <f t="shared" si="651"/>
        <v>0</v>
      </c>
      <c r="AC411" s="175">
        <f t="shared" si="621"/>
        <v>0</v>
      </c>
    </row>
    <row r="412" spans="2:29" ht="28.5" x14ac:dyDescent="0.2">
      <c r="B412" s="76" t="s">
        <v>1236</v>
      </c>
      <c r="C412" s="77" t="s">
        <v>1237</v>
      </c>
      <c r="D412" s="41"/>
      <c r="E412" s="188">
        <f>SUM('ADICIONES  2021'!C412:I412)</f>
        <v>494200000</v>
      </c>
      <c r="F412" s="41"/>
      <c r="G412" s="41"/>
      <c r="H412" s="41"/>
      <c r="I412" s="41"/>
      <c r="J412" s="41"/>
      <c r="K412" s="128">
        <f t="shared" si="647"/>
        <v>494200000</v>
      </c>
      <c r="L412" s="41"/>
      <c r="M412" s="41"/>
      <c r="N412" s="41"/>
      <c r="O412" s="41"/>
      <c r="P412" s="41">
        <v>0</v>
      </c>
      <c r="Q412" s="409"/>
      <c r="R412" s="128">
        <f t="shared" si="649"/>
        <v>0</v>
      </c>
      <c r="S412" s="41"/>
      <c r="T412" s="41"/>
      <c r="U412" s="41"/>
      <c r="V412" s="41"/>
      <c r="W412" s="41"/>
      <c r="X412" s="41"/>
      <c r="Y412" s="41"/>
      <c r="Z412" s="41"/>
      <c r="AA412" s="128">
        <f t="shared" si="660"/>
        <v>0</v>
      </c>
      <c r="AB412" s="128">
        <f t="shared" si="651"/>
        <v>0</v>
      </c>
      <c r="AC412" s="175">
        <f t="shared" si="621"/>
        <v>0</v>
      </c>
    </row>
    <row r="413" spans="2:29" ht="28.5" x14ac:dyDescent="0.2">
      <c r="B413" s="76" t="s">
        <v>1358</v>
      </c>
      <c r="C413" s="77" t="s">
        <v>1359</v>
      </c>
      <c r="D413" s="41"/>
      <c r="E413" s="188">
        <f>SUM('ADICIONES  2021'!C413:I413)</f>
        <v>7293701458.1300001</v>
      </c>
      <c r="F413" s="41"/>
      <c r="G413" s="41"/>
      <c r="H413" s="41"/>
      <c r="I413" s="41"/>
      <c r="J413" s="41"/>
      <c r="K413" s="128">
        <f t="shared" si="647"/>
        <v>7293701458.1300001</v>
      </c>
      <c r="L413" s="41"/>
      <c r="M413" s="41"/>
      <c r="N413" s="41"/>
      <c r="O413" s="41"/>
      <c r="P413" s="41">
        <v>7293701458.1300001</v>
      </c>
      <c r="Q413" s="409"/>
      <c r="R413" s="128">
        <f t="shared" si="649"/>
        <v>7293701458.1300001</v>
      </c>
      <c r="S413" s="41"/>
      <c r="T413" s="41"/>
      <c r="U413" s="41"/>
      <c r="V413" s="41"/>
      <c r="W413" s="41"/>
      <c r="X413" s="41"/>
      <c r="Y413" s="41"/>
      <c r="Z413" s="41"/>
      <c r="AA413" s="128">
        <f t="shared" ref="AA413" si="685">SUM(S413:Z413)</f>
        <v>0</v>
      </c>
      <c r="AB413" s="128">
        <f t="shared" si="651"/>
        <v>7293701458.1300001</v>
      </c>
      <c r="AC413" s="175">
        <f t="shared" si="621"/>
        <v>1</v>
      </c>
    </row>
    <row r="414" spans="2:29" ht="19.5" x14ac:dyDescent="0.2">
      <c r="B414" s="81" t="s">
        <v>1238</v>
      </c>
      <c r="C414" s="79" t="s">
        <v>1239</v>
      </c>
      <c r="D414" s="162">
        <f>SUM(D415:D454)</f>
        <v>0</v>
      </c>
      <c r="E414" s="187">
        <f>SUM('ADICIONES  2021'!C414:I414)</f>
        <v>16378541905.35</v>
      </c>
      <c r="F414" s="162">
        <f>SUM(F415:F454)</f>
        <v>0</v>
      </c>
      <c r="G414" s="162">
        <f>SUM(G415:G454)</f>
        <v>0</v>
      </c>
      <c r="H414" s="162">
        <f>SUM(H415:H454)</f>
        <v>0</v>
      </c>
      <c r="I414" s="162">
        <f>SUM(I415:I454)</f>
        <v>0</v>
      </c>
      <c r="J414" s="162">
        <f>SUM(J415:J454)</f>
        <v>0</v>
      </c>
      <c r="K414" s="78">
        <f t="shared" si="647"/>
        <v>16378541905.35</v>
      </c>
      <c r="L414" s="162">
        <f t="shared" ref="L414:Q414" si="686">SUM(L415:L454)</f>
        <v>0</v>
      </c>
      <c r="M414" s="162">
        <f t="shared" si="686"/>
        <v>0</v>
      </c>
      <c r="N414" s="162">
        <f t="shared" si="686"/>
        <v>0</v>
      </c>
      <c r="O414" s="162">
        <f t="shared" si="686"/>
        <v>0</v>
      </c>
      <c r="P414" s="162">
        <f t="shared" si="686"/>
        <v>3212038162.3699999</v>
      </c>
      <c r="Q414" s="418">
        <f t="shared" si="686"/>
        <v>0.01</v>
      </c>
      <c r="R414" s="78">
        <f t="shared" si="649"/>
        <v>3212038162.3800001</v>
      </c>
      <c r="S414" s="162">
        <f t="shared" ref="S414:Z414" si="687">SUM(S415:S454)</f>
        <v>0</v>
      </c>
      <c r="T414" s="162">
        <f t="shared" si="687"/>
        <v>0</v>
      </c>
      <c r="U414" s="162">
        <f t="shared" si="687"/>
        <v>0</v>
      </c>
      <c r="V414" s="162">
        <f t="shared" si="687"/>
        <v>0</v>
      </c>
      <c r="W414" s="162">
        <f t="shared" si="687"/>
        <v>0</v>
      </c>
      <c r="X414" s="162">
        <f t="shared" si="687"/>
        <v>0</v>
      </c>
      <c r="Y414" s="162">
        <f t="shared" si="687"/>
        <v>0</v>
      </c>
      <c r="Z414" s="162">
        <f t="shared" si="687"/>
        <v>0</v>
      </c>
      <c r="AA414" s="78">
        <f t="shared" si="660"/>
        <v>0</v>
      </c>
      <c r="AB414" s="78">
        <f t="shared" si="651"/>
        <v>3212038162.3800001</v>
      </c>
      <c r="AC414" s="174">
        <f t="shared" si="621"/>
        <v>0.19611258321662917</v>
      </c>
    </row>
    <row r="415" spans="2:29" ht="28.5" x14ac:dyDescent="0.2">
      <c r="B415" s="76" t="s">
        <v>1240</v>
      </c>
      <c r="C415" s="77" t="s">
        <v>1241</v>
      </c>
      <c r="D415" s="41"/>
      <c r="E415" s="188">
        <f>SUM('ADICIONES  2021'!C415:I415)</f>
        <v>13381639410.690001</v>
      </c>
      <c r="F415" s="41"/>
      <c r="G415" s="41"/>
      <c r="H415" s="41"/>
      <c r="I415" s="41"/>
      <c r="J415" s="41"/>
      <c r="K415" s="128">
        <f t="shared" si="647"/>
        <v>13381639410.690001</v>
      </c>
      <c r="L415" s="41"/>
      <c r="M415" s="41"/>
      <c r="N415" s="41"/>
      <c r="O415" s="41"/>
      <c r="P415" s="41">
        <v>0</v>
      </c>
      <c r="Q415" s="409"/>
      <c r="R415" s="128">
        <f t="shared" si="649"/>
        <v>0</v>
      </c>
      <c r="S415" s="41"/>
      <c r="T415" s="41"/>
      <c r="U415" s="41"/>
      <c r="V415" s="41"/>
      <c r="W415" s="41"/>
      <c r="X415" s="41"/>
      <c r="Y415" s="41"/>
      <c r="Z415" s="41"/>
      <c r="AA415" s="128">
        <f t="shared" si="660"/>
        <v>0</v>
      </c>
      <c r="AB415" s="128">
        <f t="shared" si="651"/>
        <v>0</v>
      </c>
      <c r="AC415" s="175">
        <f t="shared" si="621"/>
        <v>0</v>
      </c>
    </row>
    <row r="416" spans="2:29" ht="57" x14ac:dyDescent="0.2">
      <c r="B416" s="76" t="s">
        <v>1360</v>
      </c>
      <c r="C416" s="77" t="s">
        <v>1361</v>
      </c>
      <c r="D416" s="41"/>
      <c r="E416" s="188">
        <f>SUM('ADICIONES  2021'!C416:I416)</f>
        <v>33000646.48</v>
      </c>
      <c r="F416" s="41"/>
      <c r="G416" s="41"/>
      <c r="H416" s="41"/>
      <c r="I416" s="41"/>
      <c r="J416" s="41"/>
      <c r="K416" s="128">
        <f t="shared" si="647"/>
        <v>33000646.48</v>
      </c>
      <c r="L416" s="41"/>
      <c r="M416" s="41"/>
      <c r="N416" s="41"/>
      <c r="O416" s="41"/>
      <c r="P416" s="41">
        <v>0</v>
      </c>
      <c r="Q416" s="409"/>
      <c r="R416" s="128">
        <f t="shared" si="649"/>
        <v>0</v>
      </c>
      <c r="S416" s="41"/>
      <c r="T416" s="41"/>
      <c r="U416" s="41"/>
      <c r="V416" s="41"/>
      <c r="W416" s="41"/>
      <c r="X416" s="41"/>
      <c r="Y416" s="41"/>
      <c r="Z416" s="41"/>
      <c r="AA416" s="128">
        <f t="shared" ref="AA416:AA479" si="688">SUM(S416:Z416)</f>
        <v>0</v>
      </c>
      <c r="AB416" s="128">
        <f t="shared" si="651"/>
        <v>0</v>
      </c>
      <c r="AC416" s="175">
        <f t="shared" si="621"/>
        <v>0</v>
      </c>
    </row>
    <row r="417" spans="2:29" ht="42.75" x14ac:dyDescent="0.2">
      <c r="B417" s="76" t="s">
        <v>1362</v>
      </c>
      <c r="C417" s="77" t="s">
        <v>1363</v>
      </c>
      <c r="D417" s="41"/>
      <c r="E417" s="188">
        <f>SUM('ADICIONES  2021'!C417:I417)</f>
        <v>58614890.990000002</v>
      </c>
      <c r="F417" s="41"/>
      <c r="G417" s="41"/>
      <c r="H417" s="41"/>
      <c r="I417" s="41"/>
      <c r="J417" s="41"/>
      <c r="K417" s="128">
        <f t="shared" si="647"/>
        <v>58614890.990000002</v>
      </c>
      <c r="L417" s="41"/>
      <c r="M417" s="41"/>
      <c r="N417" s="41"/>
      <c r="O417" s="41"/>
      <c r="P417" s="41">
        <v>641385109</v>
      </c>
      <c r="Q417" s="409">
        <v>0.01</v>
      </c>
      <c r="R417" s="128">
        <f t="shared" si="649"/>
        <v>641385109.00999999</v>
      </c>
      <c r="S417" s="41"/>
      <c r="T417" s="41"/>
      <c r="U417" s="41"/>
      <c r="V417" s="41"/>
      <c r="W417" s="41"/>
      <c r="X417" s="41"/>
      <c r="Y417" s="41"/>
      <c r="Z417" s="41"/>
      <c r="AA417" s="128">
        <f t="shared" si="688"/>
        <v>0</v>
      </c>
      <c r="AB417" s="128">
        <f t="shared" si="651"/>
        <v>641385109.00999999</v>
      </c>
      <c r="AC417" s="175">
        <f t="shared" si="621"/>
        <v>10.942357789583257</v>
      </c>
    </row>
    <row r="418" spans="2:29" ht="28.5" x14ac:dyDescent="0.2">
      <c r="B418" s="76" t="s">
        <v>1364</v>
      </c>
      <c r="C418" s="77" t="s">
        <v>1365</v>
      </c>
      <c r="D418" s="41"/>
      <c r="E418" s="188">
        <f>SUM('ADICIONES  2021'!C418:I418)</f>
        <v>904400</v>
      </c>
      <c r="F418" s="41"/>
      <c r="G418" s="41"/>
      <c r="H418" s="41"/>
      <c r="I418" s="41"/>
      <c r="J418" s="41"/>
      <c r="K418" s="128">
        <f t="shared" si="647"/>
        <v>904400</v>
      </c>
      <c r="L418" s="41"/>
      <c r="M418" s="41"/>
      <c r="N418" s="41"/>
      <c r="O418" s="41"/>
      <c r="P418" s="41">
        <v>904400</v>
      </c>
      <c r="Q418" s="409"/>
      <c r="R418" s="128">
        <f t="shared" si="649"/>
        <v>904400</v>
      </c>
      <c r="S418" s="41"/>
      <c r="T418" s="41"/>
      <c r="U418" s="41"/>
      <c r="V418" s="41"/>
      <c r="W418" s="41"/>
      <c r="X418" s="41"/>
      <c r="Y418" s="41"/>
      <c r="Z418" s="41"/>
      <c r="AA418" s="128">
        <f t="shared" si="688"/>
        <v>0</v>
      </c>
      <c r="AB418" s="128">
        <f t="shared" si="651"/>
        <v>904400</v>
      </c>
      <c r="AC418" s="175">
        <f t="shared" si="621"/>
        <v>1</v>
      </c>
    </row>
    <row r="419" spans="2:29" ht="57" x14ac:dyDescent="0.2">
      <c r="B419" s="76" t="s">
        <v>1366</v>
      </c>
      <c r="C419" s="77" t="s">
        <v>1367</v>
      </c>
      <c r="D419" s="41"/>
      <c r="E419" s="188">
        <f>SUM('ADICIONES  2021'!C419:I419)</f>
        <v>61823651.520000003</v>
      </c>
      <c r="F419" s="41"/>
      <c r="G419" s="41"/>
      <c r="H419" s="41"/>
      <c r="I419" s="41"/>
      <c r="J419" s="41"/>
      <c r="K419" s="128">
        <f t="shared" si="647"/>
        <v>61823651.520000003</v>
      </c>
      <c r="L419" s="41"/>
      <c r="M419" s="41"/>
      <c r="N419" s="41"/>
      <c r="O419" s="41"/>
      <c r="P419" s="41">
        <v>61823651.520000003</v>
      </c>
      <c r="Q419" s="409"/>
      <c r="R419" s="128">
        <f t="shared" si="649"/>
        <v>61823651.520000003</v>
      </c>
      <c r="S419" s="41"/>
      <c r="T419" s="41"/>
      <c r="U419" s="41"/>
      <c r="V419" s="41"/>
      <c r="W419" s="41"/>
      <c r="X419" s="41"/>
      <c r="Y419" s="41"/>
      <c r="Z419" s="41"/>
      <c r="AA419" s="128">
        <f t="shared" si="688"/>
        <v>0</v>
      </c>
      <c r="AB419" s="128">
        <f t="shared" si="651"/>
        <v>61823651.520000003</v>
      </c>
      <c r="AC419" s="175">
        <f t="shared" si="621"/>
        <v>1</v>
      </c>
    </row>
    <row r="420" spans="2:29" ht="57" x14ac:dyDescent="0.2">
      <c r="B420" s="76" t="s">
        <v>1368</v>
      </c>
      <c r="C420" s="77" t="s">
        <v>1369</v>
      </c>
      <c r="D420" s="41"/>
      <c r="E420" s="188">
        <f>SUM('ADICIONES  2021'!C420:I420)</f>
        <v>30584154.91</v>
      </c>
      <c r="F420" s="41"/>
      <c r="G420" s="41"/>
      <c r="H420" s="41"/>
      <c r="I420" s="41"/>
      <c r="J420" s="41"/>
      <c r="K420" s="128">
        <f t="shared" si="647"/>
        <v>30584154.91</v>
      </c>
      <c r="L420" s="41"/>
      <c r="M420" s="41"/>
      <c r="N420" s="41"/>
      <c r="O420" s="41"/>
      <c r="P420" s="41">
        <v>30584154.91</v>
      </c>
      <c r="Q420" s="409"/>
      <c r="R420" s="128">
        <f t="shared" si="649"/>
        <v>30584154.91</v>
      </c>
      <c r="S420" s="41"/>
      <c r="T420" s="41"/>
      <c r="U420" s="41"/>
      <c r="V420" s="41"/>
      <c r="W420" s="41"/>
      <c r="X420" s="41"/>
      <c r="Y420" s="41"/>
      <c r="Z420" s="41"/>
      <c r="AA420" s="128">
        <f t="shared" si="688"/>
        <v>0</v>
      </c>
      <c r="AB420" s="128">
        <f t="shared" si="651"/>
        <v>30584154.91</v>
      </c>
      <c r="AC420" s="175">
        <f t="shared" si="621"/>
        <v>1</v>
      </c>
    </row>
    <row r="421" spans="2:29" ht="57" x14ac:dyDescent="0.2">
      <c r="B421" s="76" t="s">
        <v>1370</v>
      </c>
      <c r="C421" s="77" t="s">
        <v>1371</v>
      </c>
      <c r="D421" s="41"/>
      <c r="E421" s="188">
        <f>SUM('ADICIONES  2021'!C421:I421)</f>
        <v>33558609</v>
      </c>
      <c r="F421" s="41"/>
      <c r="G421" s="41"/>
      <c r="H421" s="41"/>
      <c r="I421" s="41"/>
      <c r="J421" s="41"/>
      <c r="K421" s="128">
        <f t="shared" si="647"/>
        <v>33558609</v>
      </c>
      <c r="L421" s="41"/>
      <c r="M421" s="41"/>
      <c r="N421" s="41"/>
      <c r="O421" s="41"/>
      <c r="P421" s="41">
        <v>33558609</v>
      </c>
      <c r="Q421" s="409"/>
      <c r="R421" s="128">
        <f t="shared" si="649"/>
        <v>33558609</v>
      </c>
      <c r="S421" s="41"/>
      <c r="T421" s="41"/>
      <c r="U421" s="41"/>
      <c r="V421" s="41"/>
      <c r="W421" s="41"/>
      <c r="X421" s="41"/>
      <c r="Y421" s="41"/>
      <c r="Z421" s="41"/>
      <c r="AA421" s="128">
        <f t="shared" si="688"/>
        <v>0</v>
      </c>
      <c r="AB421" s="128">
        <f t="shared" si="651"/>
        <v>33558609</v>
      </c>
      <c r="AC421" s="175">
        <f t="shared" si="621"/>
        <v>1</v>
      </c>
    </row>
    <row r="422" spans="2:29" ht="57" x14ac:dyDescent="0.2">
      <c r="B422" s="76" t="s">
        <v>1372</v>
      </c>
      <c r="C422" s="77" t="s">
        <v>1373</v>
      </c>
      <c r="D422" s="41"/>
      <c r="E422" s="188">
        <f>SUM('ADICIONES  2021'!C422:I422)</f>
        <v>22027527.539999999</v>
      </c>
      <c r="F422" s="41"/>
      <c r="G422" s="41"/>
      <c r="H422" s="41"/>
      <c r="I422" s="41"/>
      <c r="J422" s="41"/>
      <c r="K422" s="128">
        <f t="shared" si="647"/>
        <v>22027527.539999999</v>
      </c>
      <c r="L422" s="41"/>
      <c r="M422" s="41"/>
      <c r="N422" s="41"/>
      <c r="O422" s="41"/>
      <c r="P422" s="41">
        <v>22027527.539999999</v>
      </c>
      <c r="Q422" s="409"/>
      <c r="R422" s="128">
        <f t="shared" si="649"/>
        <v>22027527.539999999</v>
      </c>
      <c r="S422" s="41"/>
      <c r="T422" s="41"/>
      <c r="U422" s="41"/>
      <c r="V422" s="41"/>
      <c r="W422" s="41"/>
      <c r="X422" s="41"/>
      <c r="Y422" s="41"/>
      <c r="Z422" s="41"/>
      <c r="AA422" s="128">
        <f t="shared" si="688"/>
        <v>0</v>
      </c>
      <c r="AB422" s="128">
        <f t="shared" si="651"/>
        <v>22027527.539999999</v>
      </c>
      <c r="AC422" s="175">
        <f t="shared" si="621"/>
        <v>1</v>
      </c>
    </row>
    <row r="423" spans="2:29" ht="42.75" x14ac:dyDescent="0.2">
      <c r="B423" s="76" t="s">
        <v>1374</v>
      </c>
      <c r="C423" s="77" t="s">
        <v>1375</v>
      </c>
      <c r="D423" s="41"/>
      <c r="E423" s="188">
        <f>SUM('ADICIONES  2021'!C423:I423)</f>
        <v>1000000</v>
      </c>
      <c r="F423" s="41"/>
      <c r="G423" s="41"/>
      <c r="H423" s="41"/>
      <c r="I423" s="41"/>
      <c r="J423" s="41"/>
      <c r="K423" s="128">
        <f t="shared" si="647"/>
        <v>1000000</v>
      </c>
      <c r="L423" s="41"/>
      <c r="M423" s="41"/>
      <c r="N423" s="41"/>
      <c r="O423" s="41"/>
      <c r="P423" s="41">
        <v>0</v>
      </c>
      <c r="Q423" s="409"/>
      <c r="R423" s="128">
        <f t="shared" si="649"/>
        <v>0</v>
      </c>
      <c r="S423" s="41"/>
      <c r="T423" s="41"/>
      <c r="U423" s="41"/>
      <c r="V423" s="41"/>
      <c r="W423" s="41"/>
      <c r="X423" s="41"/>
      <c r="Y423" s="41"/>
      <c r="Z423" s="41"/>
      <c r="AA423" s="128">
        <f t="shared" si="688"/>
        <v>0</v>
      </c>
      <c r="AB423" s="128">
        <f t="shared" si="651"/>
        <v>0</v>
      </c>
      <c r="AC423" s="175">
        <f t="shared" si="621"/>
        <v>0</v>
      </c>
    </row>
    <row r="424" spans="2:29" ht="28.5" x14ac:dyDescent="0.2">
      <c r="B424" s="76" t="s">
        <v>1376</v>
      </c>
      <c r="C424" s="77" t="s">
        <v>1377</v>
      </c>
      <c r="D424" s="41"/>
      <c r="E424" s="188">
        <f>SUM('ADICIONES  2021'!C424:I424)</f>
        <v>39345</v>
      </c>
      <c r="F424" s="41"/>
      <c r="G424" s="41"/>
      <c r="H424" s="41"/>
      <c r="I424" s="41"/>
      <c r="J424" s="41"/>
      <c r="K424" s="128">
        <f t="shared" si="647"/>
        <v>39345</v>
      </c>
      <c r="L424" s="41"/>
      <c r="M424" s="41"/>
      <c r="N424" s="41"/>
      <c r="O424" s="41"/>
      <c r="P424" s="41">
        <v>0</v>
      </c>
      <c r="Q424" s="409"/>
      <c r="R424" s="128">
        <f t="shared" si="649"/>
        <v>0</v>
      </c>
      <c r="S424" s="41"/>
      <c r="T424" s="41"/>
      <c r="U424" s="41"/>
      <c r="V424" s="41"/>
      <c r="W424" s="41"/>
      <c r="X424" s="41"/>
      <c r="Y424" s="41"/>
      <c r="Z424" s="41"/>
      <c r="AA424" s="128">
        <f t="shared" si="688"/>
        <v>0</v>
      </c>
      <c r="AB424" s="128">
        <f t="shared" si="651"/>
        <v>0</v>
      </c>
      <c r="AC424" s="175">
        <f t="shared" si="621"/>
        <v>0</v>
      </c>
    </row>
    <row r="425" spans="2:29" ht="42.75" x14ac:dyDescent="0.2">
      <c r="B425" s="76" t="s">
        <v>1378</v>
      </c>
      <c r="C425" s="77" t="s">
        <v>1379</v>
      </c>
      <c r="D425" s="41"/>
      <c r="E425" s="188">
        <f>SUM('ADICIONES  2021'!C425:I425)</f>
        <v>5000000</v>
      </c>
      <c r="F425" s="41"/>
      <c r="G425" s="41"/>
      <c r="H425" s="41"/>
      <c r="I425" s="41"/>
      <c r="J425" s="41"/>
      <c r="K425" s="128">
        <f t="shared" si="647"/>
        <v>5000000</v>
      </c>
      <c r="L425" s="41"/>
      <c r="M425" s="41"/>
      <c r="N425" s="41"/>
      <c r="O425" s="41"/>
      <c r="P425" s="41">
        <v>0</v>
      </c>
      <c r="Q425" s="409"/>
      <c r="R425" s="128">
        <f t="shared" si="649"/>
        <v>0</v>
      </c>
      <c r="S425" s="41"/>
      <c r="T425" s="41"/>
      <c r="U425" s="41"/>
      <c r="V425" s="41"/>
      <c r="W425" s="41"/>
      <c r="X425" s="41"/>
      <c r="Y425" s="41"/>
      <c r="Z425" s="41"/>
      <c r="AA425" s="128">
        <f t="shared" si="688"/>
        <v>0</v>
      </c>
      <c r="AB425" s="128">
        <f t="shared" si="651"/>
        <v>0</v>
      </c>
      <c r="AC425" s="175">
        <f t="shared" si="621"/>
        <v>0</v>
      </c>
    </row>
    <row r="426" spans="2:29" ht="42.75" x14ac:dyDescent="0.2">
      <c r="B426" s="76" t="s">
        <v>1380</v>
      </c>
      <c r="C426" s="77" t="s">
        <v>1381</v>
      </c>
      <c r="D426" s="41"/>
      <c r="E426" s="188">
        <f>SUM('ADICIONES  2021'!C426:I426)</f>
        <v>73806183.269999996</v>
      </c>
      <c r="F426" s="41"/>
      <c r="G426" s="41"/>
      <c r="H426" s="41"/>
      <c r="I426" s="41"/>
      <c r="J426" s="41"/>
      <c r="K426" s="128">
        <f t="shared" si="647"/>
        <v>73806183.269999996</v>
      </c>
      <c r="L426" s="41"/>
      <c r="M426" s="41"/>
      <c r="N426" s="41"/>
      <c r="O426" s="41"/>
      <c r="P426" s="41">
        <v>73806183.269999996</v>
      </c>
      <c r="Q426" s="409"/>
      <c r="R426" s="128">
        <f t="shared" si="649"/>
        <v>73806183.269999996</v>
      </c>
      <c r="S426" s="41"/>
      <c r="T426" s="41"/>
      <c r="U426" s="41"/>
      <c r="V426" s="41"/>
      <c r="W426" s="41"/>
      <c r="X426" s="41"/>
      <c r="Y426" s="41"/>
      <c r="Z426" s="41"/>
      <c r="AA426" s="128">
        <f t="shared" si="688"/>
        <v>0</v>
      </c>
      <c r="AB426" s="128">
        <f t="shared" si="651"/>
        <v>73806183.269999996</v>
      </c>
      <c r="AC426" s="175">
        <f t="shared" si="621"/>
        <v>1</v>
      </c>
    </row>
    <row r="427" spans="2:29" ht="42.75" x14ac:dyDescent="0.2">
      <c r="B427" s="76" t="s">
        <v>1382</v>
      </c>
      <c r="C427" s="77" t="s">
        <v>1383</v>
      </c>
      <c r="D427" s="41"/>
      <c r="E427" s="188">
        <f>SUM('ADICIONES  2021'!C427:I427)</f>
        <v>71598144.590000004</v>
      </c>
      <c r="F427" s="41"/>
      <c r="G427" s="41"/>
      <c r="H427" s="41"/>
      <c r="I427" s="41"/>
      <c r="J427" s="41"/>
      <c r="K427" s="128">
        <f t="shared" si="647"/>
        <v>71598144.590000004</v>
      </c>
      <c r="L427" s="41"/>
      <c r="M427" s="41"/>
      <c r="N427" s="41"/>
      <c r="O427" s="41"/>
      <c r="P427" s="41">
        <v>71598144.590000004</v>
      </c>
      <c r="Q427" s="409"/>
      <c r="R427" s="128">
        <f t="shared" si="649"/>
        <v>71598144.590000004</v>
      </c>
      <c r="S427" s="41"/>
      <c r="T427" s="41"/>
      <c r="U427" s="41"/>
      <c r="V427" s="41"/>
      <c r="W427" s="41"/>
      <c r="X427" s="41"/>
      <c r="Y427" s="41"/>
      <c r="Z427" s="41"/>
      <c r="AA427" s="128">
        <f t="shared" si="688"/>
        <v>0</v>
      </c>
      <c r="AB427" s="128">
        <f t="shared" si="651"/>
        <v>71598144.590000004</v>
      </c>
      <c r="AC427" s="175">
        <f t="shared" si="621"/>
        <v>1</v>
      </c>
    </row>
    <row r="428" spans="2:29" ht="42.75" x14ac:dyDescent="0.2">
      <c r="B428" s="76" t="s">
        <v>1384</v>
      </c>
      <c r="C428" s="77" t="s">
        <v>1385</v>
      </c>
      <c r="D428" s="41"/>
      <c r="E428" s="188">
        <f>SUM('ADICIONES  2021'!C428:I428)</f>
        <v>189005952.12</v>
      </c>
      <c r="F428" s="41"/>
      <c r="G428" s="41"/>
      <c r="H428" s="41"/>
      <c r="I428" s="41"/>
      <c r="J428" s="41"/>
      <c r="K428" s="128">
        <f t="shared" si="647"/>
        <v>189005952.12</v>
      </c>
      <c r="L428" s="41"/>
      <c r="M428" s="41"/>
      <c r="N428" s="41"/>
      <c r="O428" s="41"/>
      <c r="P428" s="41">
        <v>189005952.12</v>
      </c>
      <c r="Q428" s="409"/>
      <c r="R428" s="128">
        <f t="shared" si="649"/>
        <v>189005952.12</v>
      </c>
      <c r="S428" s="41"/>
      <c r="T428" s="41"/>
      <c r="U428" s="41"/>
      <c r="V428" s="41"/>
      <c r="W428" s="41"/>
      <c r="X428" s="41"/>
      <c r="Y428" s="41"/>
      <c r="Z428" s="41"/>
      <c r="AA428" s="128">
        <f t="shared" si="688"/>
        <v>0</v>
      </c>
      <c r="AB428" s="128">
        <f t="shared" si="651"/>
        <v>189005952.12</v>
      </c>
      <c r="AC428" s="175">
        <f t="shared" si="621"/>
        <v>1</v>
      </c>
    </row>
    <row r="429" spans="2:29" ht="42.75" x14ac:dyDescent="0.2">
      <c r="B429" s="76" t="s">
        <v>1386</v>
      </c>
      <c r="C429" s="77" t="s">
        <v>1387</v>
      </c>
      <c r="D429" s="41"/>
      <c r="E429" s="188">
        <f>SUM('ADICIONES  2021'!C429:I429)</f>
        <v>34422031.479999997</v>
      </c>
      <c r="F429" s="41"/>
      <c r="G429" s="41"/>
      <c r="H429" s="41"/>
      <c r="I429" s="41"/>
      <c r="J429" s="41"/>
      <c r="K429" s="128">
        <f t="shared" si="647"/>
        <v>34422031.479999997</v>
      </c>
      <c r="L429" s="41"/>
      <c r="M429" s="41"/>
      <c r="N429" s="41"/>
      <c r="O429" s="41"/>
      <c r="P429" s="41">
        <v>34422031.479999997</v>
      </c>
      <c r="Q429" s="409"/>
      <c r="R429" s="128">
        <f t="shared" si="649"/>
        <v>34422031.479999997</v>
      </c>
      <c r="S429" s="41"/>
      <c r="T429" s="41"/>
      <c r="U429" s="41"/>
      <c r="V429" s="41"/>
      <c r="W429" s="41"/>
      <c r="X429" s="41"/>
      <c r="Y429" s="41"/>
      <c r="Z429" s="41"/>
      <c r="AA429" s="128">
        <f t="shared" si="688"/>
        <v>0</v>
      </c>
      <c r="AB429" s="128">
        <f t="shared" si="651"/>
        <v>34422031.479999997</v>
      </c>
      <c r="AC429" s="175">
        <f t="shared" si="621"/>
        <v>1</v>
      </c>
    </row>
    <row r="430" spans="2:29" ht="42.75" x14ac:dyDescent="0.2">
      <c r="B430" s="76" t="s">
        <v>1388</v>
      </c>
      <c r="C430" s="77" t="s">
        <v>1389</v>
      </c>
      <c r="D430" s="41"/>
      <c r="E430" s="188">
        <f>SUM('ADICIONES  2021'!C430:I430)</f>
        <v>72427111</v>
      </c>
      <c r="F430" s="41"/>
      <c r="G430" s="41"/>
      <c r="H430" s="41"/>
      <c r="I430" s="41"/>
      <c r="J430" s="41"/>
      <c r="K430" s="128">
        <f t="shared" si="647"/>
        <v>72427111</v>
      </c>
      <c r="L430" s="41"/>
      <c r="M430" s="41"/>
      <c r="N430" s="41"/>
      <c r="O430" s="41"/>
      <c r="P430" s="41">
        <v>72427111</v>
      </c>
      <c r="Q430" s="409"/>
      <c r="R430" s="128">
        <f t="shared" si="649"/>
        <v>72427111</v>
      </c>
      <c r="S430" s="41"/>
      <c r="T430" s="41"/>
      <c r="U430" s="41"/>
      <c r="V430" s="41"/>
      <c r="W430" s="41"/>
      <c r="X430" s="41"/>
      <c r="Y430" s="41"/>
      <c r="Z430" s="41"/>
      <c r="AA430" s="128">
        <f t="shared" si="688"/>
        <v>0</v>
      </c>
      <c r="AB430" s="128">
        <f t="shared" si="651"/>
        <v>72427111</v>
      </c>
      <c r="AC430" s="175">
        <f t="shared" si="621"/>
        <v>1</v>
      </c>
    </row>
    <row r="431" spans="2:29" ht="42.75" x14ac:dyDescent="0.2">
      <c r="B431" s="76" t="s">
        <v>1390</v>
      </c>
      <c r="C431" s="77" t="s">
        <v>1391</v>
      </c>
      <c r="D431" s="41"/>
      <c r="E431" s="188">
        <f>SUM('ADICIONES  2021'!C431:I431)</f>
        <v>32342202.43</v>
      </c>
      <c r="F431" s="41"/>
      <c r="G431" s="41"/>
      <c r="H431" s="41"/>
      <c r="I431" s="41"/>
      <c r="J431" s="41"/>
      <c r="K431" s="128">
        <f t="shared" si="647"/>
        <v>32342202.43</v>
      </c>
      <c r="L431" s="41"/>
      <c r="M431" s="41"/>
      <c r="N431" s="41"/>
      <c r="O431" s="41"/>
      <c r="P431" s="41">
        <v>32342202.43</v>
      </c>
      <c r="Q431" s="409"/>
      <c r="R431" s="128">
        <f t="shared" si="649"/>
        <v>32342202.43</v>
      </c>
      <c r="S431" s="41"/>
      <c r="T431" s="41"/>
      <c r="U431" s="41"/>
      <c r="V431" s="41"/>
      <c r="W431" s="41"/>
      <c r="X431" s="41"/>
      <c r="Y431" s="41"/>
      <c r="Z431" s="41"/>
      <c r="AA431" s="128">
        <f t="shared" si="688"/>
        <v>0</v>
      </c>
      <c r="AB431" s="128">
        <f t="shared" si="651"/>
        <v>32342202.43</v>
      </c>
      <c r="AC431" s="175">
        <f t="shared" si="621"/>
        <v>1</v>
      </c>
    </row>
    <row r="432" spans="2:29" ht="42.75" x14ac:dyDescent="0.2">
      <c r="B432" s="76" t="s">
        <v>1392</v>
      </c>
      <c r="C432" s="77" t="s">
        <v>1393</v>
      </c>
      <c r="D432" s="41"/>
      <c r="E432" s="188">
        <f>SUM('ADICIONES  2021'!C432:I432)</f>
        <v>33527630.84</v>
      </c>
      <c r="F432" s="41"/>
      <c r="G432" s="41"/>
      <c r="H432" s="41"/>
      <c r="I432" s="41"/>
      <c r="J432" s="41"/>
      <c r="K432" s="128">
        <f t="shared" si="647"/>
        <v>33527630.84</v>
      </c>
      <c r="L432" s="41"/>
      <c r="M432" s="41"/>
      <c r="N432" s="41"/>
      <c r="O432" s="41"/>
      <c r="P432" s="41">
        <v>33527630.84</v>
      </c>
      <c r="Q432" s="409"/>
      <c r="R432" s="128">
        <f t="shared" si="649"/>
        <v>33527630.84</v>
      </c>
      <c r="S432" s="41"/>
      <c r="T432" s="41"/>
      <c r="U432" s="41"/>
      <c r="V432" s="41"/>
      <c r="W432" s="41"/>
      <c r="X432" s="41"/>
      <c r="Y432" s="41"/>
      <c r="Z432" s="41"/>
      <c r="AA432" s="128">
        <f t="shared" si="688"/>
        <v>0</v>
      </c>
      <c r="AB432" s="128">
        <f t="shared" si="651"/>
        <v>33527630.84</v>
      </c>
      <c r="AC432" s="175">
        <f t="shared" si="621"/>
        <v>1</v>
      </c>
    </row>
    <row r="433" spans="2:29" ht="42.75" x14ac:dyDescent="0.2">
      <c r="B433" s="76" t="s">
        <v>1394</v>
      </c>
      <c r="C433" s="77" t="s">
        <v>1395</v>
      </c>
      <c r="D433" s="41"/>
      <c r="E433" s="188">
        <f>SUM('ADICIONES  2021'!C433:I433)</f>
        <v>17525824</v>
      </c>
      <c r="F433" s="41"/>
      <c r="G433" s="41"/>
      <c r="H433" s="41"/>
      <c r="I433" s="41"/>
      <c r="J433" s="41"/>
      <c r="K433" s="128">
        <f t="shared" si="647"/>
        <v>17525824</v>
      </c>
      <c r="L433" s="41"/>
      <c r="M433" s="41"/>
      <c r="N433" s="41"/>
      <c r="O433" s="41"/>
      <c r="P433" s="41">
        <v>17525824</v>
      </c>
      <c r="Q433" s="409"/>
      <c r="R433" s="128">
        <f t="shared" si="649"/>
        <v>17525824</v>
      </c>
      <c r="S433" s="41"/>
      <c r="T433" s="41"/>
      <c r="U433" s="41"/>
      <c r="V433" s="41"/>
      <c r="W433" s="41"/>
      <c r="X433" s="41"/>
      <c r="Y433" s="41"/>
      <c r="Z433" s="41"/>
      <c r="AA433" s="128">
        <f t="shared" si="688"/>
        <v>0</v>
      </c>
      <c r="AB433" s="128">
        <f t="shared" si="651"/>
        <v>17525824</v>
      </c>
      <c r="AC433" s="175">
        <f t="shared" si="621"/>
        <v>1</v>
      </c>
    </row>
    <row r="434" spans="2:29" ht="42.75" x14ac:dyDescent="0.2">
      <c r="B434" s="76" t="s">
        <v>1396</v>
      </c>
      <c r="C434" s="77" t="s">
        <v>1397</v>
      </c>
      <c r="D434" s="41"/>
      <c r="E434" s="188">
        <f>SUM('ADICIONES  2021'!C434:I434)</f>
        <v>85052927</v>
      </c>
      <c r="F434" s="41"/>
      <c r="G434" s="41"/>
      <c r="H434" s="41"/>
      <c r="I434" s="41"/>
      <c r="J434" s="41"/>
      <c r="K434" s="128">
        <f t="shared" si="647"/>
        <v>85052927</v>
      </c>
      <c r="L434" s="41"/>
      <c r="M434" s="41"/>
      <c r="N434" s="41"/>
      <c r="O434" s="41"/>
      <c r="P434" s="41">
        <v>85052927</v>
      </c>
      <c r="Q434" s="409"/>
      <c r="R434" s="128">
        <f t="shared" si="649"/>
        <v>85052927</v>
      </c>
      <c r="S434" s="41"/>
      <c r="T434" s="41"/>
      <c r="U434" s="41"/>
      <c r="V434" s="41"/>
      <c r="W434" s="41"/>
      <c r="X434" s="41"/>
      <c r="Y434" s="41"/>
      <c r="Z434" s="41"/>
      <c r="AA434" s="128">
        <f t="shared" si="688"/>
        <v>0</v>
      </c>
      <c r="AB434" s="128">
        <f t="shared" si="651"/>
        <v>85052927</v>
      </c>
      <c r="AC434" s="175">
        <f t="shared" si="621"/>
        <v>1</v>
      </c>
    </row>
    <row r="435" spans="2:29" ht="42.75" x14ac:dyDescent="0.2">
      <c r="B435" s="76" t="s">
        <v>1398</v>
      </c>
      <c r="C435" s="77" t="s">
        <v>1399</v>
      </c>
      <c r="D435" s="41"/>
      <c r="E435" s="188">
        <f>SUM('ADICIONES  2021'!C435:I435)</f>
        <v>94636419.859999999</v>
      </c>
      <c r="F435" s="41"/>
      <c r="G435" s="41"/>
      <c r="H435" s="41"/>
      <c r="I435" s="41"/>
      <c r="J435" s="41"/>
      <c r="K435" s="128">
        <f t="shared" si="647"/>
        <v>94636419.859999999</v>
      </c>
      <c r="L435" s="41"/>
      <c r="M435" s="41"/>
      <c r="N435" s="41"/>
      <c r="O435" s="41"/>
      <c r="P435" s="41">
        <v>94636419.859999999</v>
      </c>
      <c r="Q435" s="409"/>
      <c r="R435" s="128">
        <f t="shared" si="649"/>
        <v>94636419.859999999</v>
      </c>
      <c r="S435" s="41"/>
      <c r="T435" s="41"/>
      <c r="U435" s="41"/>
      <c r="V435" s="41"/>
      <c r="W435" s="41"/>
      <c r="X435" s="41"/>
      <c r="Y435" s="41"/>
      <c r="Z435" s="41"/>
      <c r="AA435" s="128">
        <f t="shared" si="688"/>
        <v>0</v>
      </c>
      <c r="AB435" s="128">
        <f t="shared" si="651"/>
        <v>94636419.859999999</v>
      </c>
      <c r="AC435" s="175">
        <f t="shared" si="621"/>
        <v>1</v>
      </c>
    </row>
    <row r="436" spans="2:29" ht="42.75" x14ac:dyDescent="0.2">
      <c r="B436" s="76" t="s">
        <v>1400</v>
      </c>
      <c r="C436" s="77" t="s">
        <v>1401</v>
      </c>
      <c r="D436" s="41"/>
      <c r="E436" s="188">
        <f>SUM('ADICIONES  2021'!C436:I436)</f>
        <v>25528495</v>
      </c>
      <c r="F436" s="41"/>
      <c r="G436" s="41"/>
      <c r="H436" s="41"/>
      <c r="I436" s="41"/>
      <c r="J436" s="41"/>
      <c r="K436" s="128">
        <f t="shared" si="647"/>
        <v>25528495</v>
      </c>
      <c r="L436" s="41"/>
      <c r="M436" s="41"/>
      <c r="N436" s="41"/>
      <c r="O436" s="41"/>
      <c r="P436" s="41">
        <v>25528495</v>
      </c>
      <c r="Q436" s="409"/>
      <c r="R436" s="128">
        <f t="shared" si="649"/>
        <v>25528495</v>
      </c>
      <c r="S436" s="41"/>
      <c r="T436" s="41"/>
      <c r="U436" s="41"/>
      <c r="V436" s="41"/>
      <c r="W436" s="41"/>
      <c r="X436" s="41"/>
      <c r="Y436" s="41"/>
      <c r="Z436" s="41"/>
      <c r="AA436" s="128">
        <f t="shared" si="688"/>
        <v>0</v>
      </c>
      <c r="AB436" s="128">
        <f t="shared" si="651"/>
        <v>25528495</v>
      </c>
      <c r="AC436" s="175">
        <f t="shared" si="621"/>
        <v>1</v>
      </c>
    </row>
    <row r="437" spans="2:29" ht="42.75" x14ac:dyDescent="0.2">
      <c r="B437" s="76" t="s">
        <v>1402</v>
      </c>
      <c r="C437" s="77" t="s">
        <v>1403</v>
      </c>
      <c r="D437" s="41"/>
      <c r="E437" s="188">
        <f>SUM('ADICIONES  2021'!C437:I437)</f>
        <v>41780393.460000001</v>
      </c>
      <c r="F437" s="41"/>
      <c r="G437" s="41"/>
      <c r="H437" s="41"/>
      <c r="I437" s="41"/>
      <c r="J437" s="41"/>
      <c r="K437" s="128">
        <f t="shared" si="647"/>
        <v>41780393.460000001</v>
      </c>
      <c r="L437" s="41"/>
      <c r="M437" s="41"/>
      <c r="N437" s="41"/>
      <c r="O437" s="41"/>
      <c r="P437" s="41">
        <v>41780393.460000001</v>
      </c>
      <c r="Q437" s="409"/>
      <c r="R437" s="128">
        <f t="shared" si="649"/>
        <v>41780393.460000001</v>
      </c>
      <c r="S437" s="41"/>
      <c r="T437" s="41"/>
      <c r="U437" s="41"/>
      <c r="V437" s="41"/>
      <c r="W437" s="41"/>
      <c r="X437" s="41"/>
      <c r="Y437" s="41"/>
      <c r="Z437" s="41"/>
      <c r="AA437" s="128">
        <f t="shared" si="688"/>
        <v>0</v>
      </c>
      <c r="AB437" s="128">
        <f t="shared" si="651"/>
        <v>41780393.460000001</v>
      </c>
      <c r="AC437" s="175">
        <f t="shared" si="621"/>
        <v>1</v>
      </c>
    </row>
    <row r="438" spans="2:29" ht="42.75" x14ac:dyDescent="0.2">
      <c r="B438" s="76" t="s">
        <v>1404</v>
      </c>
      <c r="C438" s="77" t="s">
        <v>1405</v>
      </c>
      <c r="D438" s="41"/>
      <c r="E438" s="188">
        <f>SUM('ADICIONES  2021'!C438:I438)</f>
        <v>85319865.069999993</v>
      </c>
      <c r="F438" s="41"/>
      <c r="G438" s="41"/>
      <c r="H438" s="41"/>
      <c r="I438" s="41"/>
      <c r="J438" s="41"/>
      <c r="K438" s="128">
        <f t="shared" si="647"/>
        <v>85319865.069999993</v>
      </c>
      <c r="L438" s="41"/>
      <c r="M438" s="41"/>
      <c r="N438" s="41"/>
      <c r="O438" s="41"/>
      <c r="P438" s="41">
        <v>85319865.069999993</v>
      </c>
      <c r="Q438" s="409"/>
      <c r="R438" s="128">
        <f t="shared" si="649"/>
        <v>85319865.069999993</v>
      </c>
      <c r="S438" s="41"/>
      <c r="T438" s="41"/>
      <c r="U438" s="41"/>
      <c r="V438" s="41"/>
      <c r="W438" s="41"/>
      <c r="X438" s="41"/>
      <c r="Y438" s="41"/>
      <c r="Z438" s="41"/>
      <c r="AA438" s="128">
        <f t="shared" si="688"/>
        <v>0</v>
      </c>
      <c r="AB438" s="128">
        <f t="shared" si="651"/>
        <v>85319865.069999993</v>
      </c>
      <c r="AC438" s="175">
        <f t="shared" si="621"/>
        <v>1</v>
      </c>
    </row>
    <row r="439" spans="2:29" ht="42.75" x14ac:dyDescent="0.2">
      <c r="B439" s="76" t="s">
        <v>1406</v>
      </c>
      <c r="C439" s="77" t="s">
        <v>1407</v>
      </c>
      <c r="D439" s="41"/>
      <c r="E439" s="188">
        <f>SUM('ADICIONES  2021'!C439:I439)</f>
        <v>60300003.909999996</v>
      </c>
      <c r="F439" s="41"/>
      <c r="G439" s="41"/>
      <c r="H439" s="41"/>
      <c r="I439" s="41"/>
      <c r="J439" s="41"/>
      <c r="K439" s="128">
        <f t="shared" si="647"/>
        <v>60300003.909999996</v>
      </c>
      <c r="L439" s="41"/>
      <c r="M439" s="41"/>
      <c r="N439" s="41"/>
      <c r="O439" s="41"/>
      <c r="P439" s="41">
        <v>60300003.909999996</v>
      </c>
      <c r="Q439" s="409"/>
      <c r="R439" s="128">
        <f t="shared" si="649"/>
        <v>60300003.909999996</v>
      </c>
      <c r="S439" s="41"/>
      <c r="T439" s="41"/>
      <c r="U439" s="41"/>
      <c r="V439" s="41"/>
      <c r="W439" s="41"/>
      <c r="X439" s="41"/>
      <c r="Y439" s="41"/>
      <c r="Z439" s="41"/>
      <c r="AA439" s="128">
        <f t="shared" si="688"/>
        <v>0</v>
      </c>
      <c r="AB439" s="128">
        <f t="shared" si="651"/>
        <v>60300003.909999996</v>
      </c>
      <c r="AC439" s="175">
        <f t="shared" si="621"/>
        <v>1</v>
      </c>
    </row>
    <row r="440" spans="2:29" ht="42.75" x14ac:dyDescent="0.2">
      <c r="B440" s="76" t="s">
        <v>1408</v>
      </c>
      <c r="C440" s="77" t="s">
        <v>1409</v>
      </c>
      <c r="D440" s="41"/>
      <c r="E440" s="188">
        <f>SUM('ADICIONES  2021'!C440:I440)</f>
        <v>301199556.44</v>
      </c>
      <c r="F440" s="41"/>
      <c r="G440" s="41"/>
      <c r="H440" s="41"/>
      <c r="I440" s="41"/>
      <c r="J440" s="41"/>
      <c r="K440" s="128">
        <f t="shared" si="647"/>
        <v>301199556.44</v>
      </c>
      <c r="L440" s="41"/>
      <c r="M440" s="41"/>
      <c r="N440" s="41"/>
      <c r="O440" s="41"/>
      <c r="P440" s="41">
        <v>241932662.97</v>
      </c>
      <c r="Q440" s="409"/>
      <c r="R440" s="128">
        <f t="shared" si="649"/>
        <v>241932662.97</v>
      </c>
      <c r="S440" s="41"/>
      <c r="T440" s="41"/>
      <c r="U440" s="41"/>
      <c r="V440" s="41"/>
      <c r="W440" s="41"/>
      <c r="X440" s="41"/>
      <c r="Y440" s="41"/>
      <c r="Z440" s="41"/>
      <c r="AA440" s="128">
        <f t="shared" si="688"/>
        <v>0</v>
      </c>
      <c r="AB440" s="128">
        <f t="shared" si="651"/>
        <v>241932662.97</v>
      </c>
      <c r="AC440" s="175">
        <f t="shared" si="621"/>
        <v>0.80323047560062999</v>
      </c>
    </row>
    <row r="441" spans="2:29" ht="28.5" x14ac:dyDescent="0.2">
      <c r="B441" s="76" t="s">
        <v>1410</v>
      </c>
      <c r="C441" s="77" t="s">
        <v>1411</v>
      </c>
      <c r="D441" s="41"/>
      <c r="E441" s="188">
        <f>SUM('ADICIONES  2021'!C441:I441)</f>
        <v>3657.3</v>
      </c>
      <c r="F441" s="41"/>
      <c r="G441" s="41"/>
      <c r="H441" s="41"/>
      <c r="I441" s="41"/>
      <c r="J441" s="41"/>
      <c r="K441" s="128">
        <f t="shared" si="647"/>
        <v>3657.3</v>
      </c>
      <c r="L441" s="41"/>
      <c r="M441" s="41"/>
      <c r="N441" s="41"/>
      <c r="O441" s="41"/>
      <c r="P441" s="41">
        <v>3657.3</v>
      </c>
      <c r="Q441" s="409"/>
      <c r="R441" s="128">
        <f t="shared" si="649"/>
        <v>3657.3</v>
      </c>
      <c r="S441" s="41"/>
      <c r="T441" s="41"/>
      <c r="U441" s="41"/>
      <c r="V441" s="41"/>
      <c r="W441" s="41"/>
      <c r="X441" s="41"/>
      <c r="Y441" s="41"/>
      <c r="Z441" s="41"/>
      <c r="AA441" s="128">
        <f t="shared" si="688"/>
        <v>0</v>
      </c>
      <c r="AB441" s="128">
        <f t="shared" si="651"/>
        <v>3657.3</v>
      </c>
      <c r="AC441" s="175">
        <f t="shared" si="621"/>
        <v>1</v>
      </c>
    </row>
    <row r="442" spans="2:29" ht="28.5" x14ac:dyDescent="0.2">
      <c r="B442" s="76" t="s">
        <v>1412</v>
      </c>
      <c r="C442" s="77" t="s">
        <v>1413</v>
      </c>
      <c r="D442" s="41"/>
      <c r="E442" s="188">
        <f>SUM('ADICIONES  2021'!C442:I442)</f>
        <v>12903.3</v>
      </c>
      <c r="F442" s="41"/>
      <c r="G442" s="41"/>
      <c r="H442" s="41"/>
      <c r="I442" s="41"/>
      <c r="J442" s="41"/>
      <c r="K442" s="128">
        <f t="shared" si="647"/>
        <v>12903.3</v>
      </c>
      <c r="L442" s="41"/>
      <c r="M442" s="41"/>
      <c r="N442" s="41"/>
      <c r="O442" s="41"/>
      <c r="P442" s="41">
        <v>12903.3</v>
      </c>
      <c r="Q442" s="409"/>
      <c r="R442" s="128">
        <f t="shared" si="649"/>
        <v>12903.3</v>
      </c>
      <c r="S442" s="41"/>
      <c r="T442" s="41"/>
      <c r="U442" s="41"/>
      <c r="V442" s="41"/>
      <c r="W442" s="41"/>
      <c r="X442" s="41"/>
      <c r="Y442" s="41"/>
      <c r="Z442" s="41"/>
      <c r="AA442" s="128">
        <f t="shared" si="688"/>
        <v>0</v>
      </c>
      <c r="AB442" s="128">
        <f t="shared" si="651"/>
        <v>12903.3</v>
      </c>
      <c r="AC442" s="175">
        <f t="shared" si="621"/>
        <v>1</v>
      </c>
    </row>
    <row r="443" spans="2:29" ht="42.75" x14ac:dyDescent="0.2">
      <c r="B443" s="76" t="s">
        <v>1414</v>
      </c>
      <c r="C443" s="77" t="s">
        <v>1415</v>
      </c>
      <c r="D443" s="41"/>
      <c r="E443" s="188">
        <f>SUM('ADICIONES  2021'!C443:I443)</f>
        <v>22717903.440000001</v>
      </c>
      <c r="F443" s="41"/>
      <c r="G443" s="41"/>
      <c r="H443" s="41"/>
      <c r="I443" s="41"/>
      <c r="J443" s="41"/>
      <c r="K443" s="128">
        <f t="shared" si="647"/>
        <v>22717903.440000001</v>
      </c>
      <c r="L443" s="41"/>
      <c r="M443" s="41"/>
      <c r="N443" s="41"/>
      <c r="O443" s="41"/>
      <c r="P443" s="41">
        <v>22717903.440000001</v>
      </c>
      <c r="Q443" s="409"/>
      <c r="R443" s="128">
        <f t="shared" si="649"/>
        <v>22717903.440000001</v>
      </c>
      <c r="S443" s="41"/>
      <c r="T443" s="41"/>
      <c r="U443" s="41"/>
      <c r="V443" s="41"/>
      <c r="W443" s="41"/>
      <c r="X443" s="41"/>
      <c r="Y443" s="41"/>
      <c r="Z443" s="41"/>
      <c r="AA443" s="128">
        <f t="shared" si="688"/>
        <v>0</v>
      </c>
      <c r="AB443" s="128">
        <f t="shared" si="651"/>
        <v>22717903.440000001</v>
      </c>
      <c r="AC443" s="175">
        <f t="shared" si="621"/>
        <v>1</v>
      </c>
    </row>
    <row r="444" spans="2:29" ht="28.5" x14ac:dyDescent="0.2">
      <c r="B444" s="76" t="s">
        <v>1416</v>
      </c>
      <c r="C444" s="77" t="s">
        <v>1417</v>
      </c>
      <c r="D444" s="41"/>
      <c r="E444" s="188">
        <f>SUM('ADICIONES  2021'!C444:I444)</f>
        <v>16455472</v>
      </c>
      <c r="F444" s="41"/>
      <c r="G444" s="41"/>
      <c r="H444" s="41"/>
      <c r="I444" s="41"/>
      <c r="J444" s="41"/>
      <c r="K444" s="128">
        <f t="shared" si="647"/>
        <v>16455472</v>
      </c>
      <c r="L444" s="41"/>
      <c r="M444" s="41"/>
      <c r="N444" s="41"/>
      <c r="O444" s="41"/>
      <c r="P444" s="41">
        <v>0</v>
      </c>
      <c r="Q444" s="409"/>
      <c r="R444" s="128">
        <f t="shared" si="649"/>
        <v>0</v>
      </c>
      <c r="S444" s="41"/>
      <c r="T444" s="41"/>
      <c r="U444" s="41"/>
      <c r="V444" s="41"/>
      <c r="W444" s="41"/>
      <c r="X444" s="41"/>
      <c r="Y444" s="41"/>
      <c r="Z444" s="41"/>
      <c r="AA444" s="128">
        <f t="shared" si="688"/>
        <v>0</v>
      </c>
      <c r="AB444" s="128">
        <f t="shared" si="651"/>
        <v>0</v>
      </c>
      <c r="AC444" s="175">
        <f t="shared" si="621"/>
        <v>0</v>
      </c>
    </row>
    <row r="445" spans="2:29" ht="42.75" x14ac:dyDescent="0.2">
      <c r="B445" s="76" t="s">
        <v>1418</v>
      </c>
      <c r="C445" s="77" t="s">
        <v>1419</v>
      </c>
      <c r="D445" s="41"/>
      <c r="E445" s="188">
        <f>SUM('ADICIONES  2021'!C445:I445)</f>
        <v>47459103.359999999</v>
      </c>
      <c r="F445" s="41"/>
      <c r="G445" s="41"/>
      <c r="H445" s="41"/>
      <c r="I445" s="41"/>
      <c r="J445" s="41"/>
      <c r="K445" s="128">
        <f t="shared" si="647"/>
        <v>47459103.359999999</v>
      </c>
      <c r="L445" s="41"/>
      <c r="M445" s="41"/>
      <c r="N445" s="41"/>
      <c r="O445" s="41"/>
      <c r="P445" s="41">
        <v>47459103.359999999</v>
      </c>
      <c r="Q445" s="409"/>
      <c r="R445" s="128">
        <f t="shared" si="649"/>
        <v>47459103.359999999</v>
      </c>
      <c r="S445" s="41"/>
      <c r="T445" s="41"/>
      <c r="U445" s="41"/>
      <c r="V445" s="41"/>
      <c r="W445" s="41"/>
      <c r="X445" s="41"/>
      <c r="Y445" s="41"/>
      <c r="Z445" s="41"/>
      <c r="AA445" s="128">
        <f t="shared" si="688"/>
        <v>0</v>
      </c>
      <c r="AB445" s="128">
        <f t="shared" si="651"/>
        <v>47459103.359999999</v>
      </c>
      <c r="AC445" s="175">
        <f t="shared" si="621"/>
        <v>1</v>
      </c>
    </row>
    <row r="446" spans="2:29" ht="14.25" x14ac:dyDescent="0.2">
      <c r="B446" s="76" t="s">
        <v>1420</v>
      </c>
      <c r="C446" s="77" t="s">
        <v>1421</v>
      </c>
      <c r="D446" s="41"/>
      <c r="E446" s="188">
        <f>SUM('ADICIONES  2021'!C446:I446)</f>
        <v>6022349.8899999997</v>
      </c>
      <c r="F446" s="41"/>
      <c r="G446" s="41"/>
      <c r="H446" s="41"/>
      <c r="I446" s="41"/>
      <c r="J446" s="41"/>
      <c r="K446" s="128">
        <f t="shared" si="647"/>
        <v>6022349.8899999997</v>
      </c>
      <c r="L446" s="41"/>
      <c r="M446" s="41"/>
      <c r="N446" s="41"/>
      <c r="O446" s="41"/>
      <c r="P446" s="41">
        <v>6022349.8899999997</v>
      </c>
      <c r="Q446" s="409"/>
      <c r="R446" s="128">
        <f t="shared" si="649"/>
        <v>6022349.8899999997</v>
      </c>
      <c r="S446" s="41"/>
      <c r="T446" s="41"/>
      <c r="U446" s="41"/>
      <c r="V446" s="41"/>
      <c r="W446" s="41"/>
      <c r="X446" s="41"/>
      <c r="Y446" s="41"/>
      <c r="Z446" s="41"/>
      <c r="AA446" s="128">
        <f t="shared" si="688"/>
        <v>0</v>
      </c>
      <c r="AB446" s="128">
        <f t="shared" si="651"/>
        <v>6022349.8899999997</v>
      </c>
      <c r="AC446" s="175">
        <f t="shared" si="621"/>
        <v>1</v>
      </c>
    </row>
    <row r="447" spans="2:29" ht="28.5" x14ac:dyDescent="0.2">
      <c r="B447" s="76" t="s">
        <v>1422</v>
      </c>
      <c r="C447" s="77" t="s">
        <v>1423</v>
      </c>
      <c r="D447" s="41"/>
      <c r="E447" s="188">
        <f>SUM('ADICIONES  2021'!C447:I447)</f>
        <v>57681818</v>
      </c>
      <c r="F447" s="41"/>
      <c r="G447" s="41"/>
      <c r="H447" s="41"/>
      <c r="I447" s="41"/>
      <c r="J447" s="41"/>
      <c r="K447" s="128">
        <f t="shared" si="647"/>
        <v>57681818</v>
      </c>
      <c r="L447" s="41"/>
      <c r="M447" s="41"/>
      <c r="N447" s="41"/>
      <c r="O447" s="41"/>
      <c r="P447" s="41">
        <v>57681818</v>
      </c>
      <c r="Q447" s="409"/>
      <c r="R447" s="128">
        <f t="shared" si="649"/>
        <v>57681818</v>
      </c>
      <c r="S447" s="41"/>
      <c r="T447" s="41"/>
      <c r="U447" s="41"/>
      <c r="V447" s="41"/>
      <c r="W447" s="41"/>
      <c r="X447" s="41"/>
      <c r="Y447" s="41"/>
      <c r="Z447" s="41"/>
      <c r="AA447" s="128">
        <f t="shared" si="688"/>
        <v>0</v>
      </c>
      <c r="AB447" s="128">
        <f t="shared" si="651"/>
        <v>57681818</v>
      </c>
      <c r="AC447" s="175">
        <f t="shared" si="621"/>
        <v>1</v>
      </c>
    </row>
    <row r="448" spans="2:29" ht="28.5" x14ac:dyDescent="0.2">
      <c r="B448" s="76" t="s">
        <v>1424</v>
      </c>
      <c r="C448" s="77" t="s">
        <v>1425</v>
      </c>
      <c r="D448" s="41"/>
      <c r="E448" s="188">
        <f>SUM('ADICIONES  2021'!C448:I448)</f>
        <v>30448635</v>
      </c>
      <c r="F448" s="41"/>
      <c r="G448" s="41"/>
      <c r="H448" s="41"/>
      <c r="I448" s="41"/>
      <c r="J448" s="41"/>
      <c r="K448" s="128">
        <f t="shared" si="647"/>
        <v>30448635</v>
      </c>
      <c r="L448" s="41"/>
      <c r="M448" s="41"/>
      <c r="N448" s="41"/>
      <c r="O448" s="41"/>
      <c r="P448" s="41">
        <v>0</v>
      </c>
      <c r="Q448" s="409"/>
      <c r="R448" s="128">
        <f t="shared" si="649"/>
        <v>0</v>
      </c>
      <c r="S448" s="41"/>
      <c r="T448" s="41"/>
      <c r="U448" s="41"/>
      <c r="V448" s="41"/>
      <c r="W448" s="41"/>
      <c r="X448" s="41"/>
      <c r="Y448" s="41"/>
      <c r="Z448" s="41"/>
      <c r="AA448" s="128">
        <f t="shared" si="688"/>
        <v>0</v>
      </c>
      <c r="AB448" s="128">
        <f t="shared" si="651"/>
        <v>0</v>
      </c>
      <c r="AC448" s="175">
        <f t="shared" si="621"/>
        <v>0</v>
      </c>
    </row>
    <row r="449" spans="2:29" ht="42.75" x14ac:dyDescent="0.2">
      <c r="B449" s="76" t="s">
        <v>1426</v>
      </c>
      <c r="C449" s="77" t="s">
        <v>1427</v>
      </c>
      <c r="D449" s="41"/>
      <c r="E449" s="188">
        <f>SUM('ADICIONES  2021'!C449:I449)</f>
        <v>222423558.34999999</v>
      </c>
      <c r="F449" s="41"/>
      <c r="G449" s="41"/>
      <c r="H449" s="41"/>
      <c r="I449" s="41"/>
      <c r="J449" s="41"/>
      <c r="K449" s="128">
        <f t="shared" si="647"/>
        <v>222423558.34999999</v>
      </c>
      <c r="L449" s="41"/>
      <c r="M449" s="41"/>
      <c r="N449" s="41"/>
      <c r="O449" s="41"/>
      <c r="P449" s="41">
        <v>0</v>
      </c>
      <c r="Q449" s="409"/>
      <c r="R449" s="128">
        <f t="shared" si="649"/>
        <v>0</v>
      </c>
      <c r="S449" s="41"/>
      <c r="T449" s="41"/>
      <c r="U449" s="41"/>
      <c r="V449" s="41"/>
      <c r="W449" s="41"/>
      <c r="X449" s="41"/>
      <c r="Y449" s="41"/>
      <c r="Z449" s="41"/>
      <c r="AA449" s="128">
        <f t="shared" si="688"/>
        <v>0</v>
      </c>
      <c r="AB449" s="128">
        <f t="shared" si="651"/>
        <v>0</v>
      </c>
      <c r="AC449" s="175">
        <f t="shared" si="621"/>
        <v>0</v>
      </c>
    </row>
    <row r="450" spans="2:29" ht="57" x14ac:dyDescent="0.2">
      <c r="B450" s="76" t="s">
        <v>1428</v>
      </c>
      <c r="C450" s="77" t="s">
        <v>1429</v>
      </c>
      <c r="D450" s="41"/>
      <c r="E450" s="188">
        <f>SUM('ADICIONES  2021'!C450:I450)</f>
        <v>12286772.68</v>
      </c>
      <c r="F450" s="41"/>
      <c r="G450" s="41"/>
      <c r="H450" s="41"/>
      <c r="I450" s="41"/>
      <c r="J450" s="41"/>
      <c r="K450" s="128">
        <f t="shared" si="647"/>
        <v>12286772.68</v>
      </c>
      <c r="L450" s="41"/>
      <c r="M450" s="41"/>
      <c r="N450" s="41"/>
      <c r="O450" s="41"/>
      <c r="P450" s="41">
        <v>12286772.68</v>
      </c>
      <c r="Q450" s="409"/>
      <c r="R450" s="128">
        <f t="shared" si="649"/>
        <v>12286772.68</v>
      </c>
      <c r="S450" s="41"/>
      <c r="T450" s="41"/>
      <c r="U450" s="41"/>
      <c r="V450" s="41"/>
      <c r="W450" s="41"/>
      <c r="X450" s="41"/>
      <c r="Y450" s="41"/>
      <c r="Z450" s="41"/>
      <c r="AA450" s="128">
        <f t="shared" si="688"/>
        <v>0</v>
      </c>
      <c r="AB450" s="128">
        <f t="shared" si="651"/>
        <v>12286772.68</v>
      </c>
      <c r="AC450" s="175">
        <f t="shared" si="621"/>
        <v>1</v>
      </c>
    </row>
    <row r="451" spans="2:29" ht="28.5" x14ac:dyDescent="0.2">
      <c r="B451" s="76" t="s">
        <v>1430</v>
      </c>
      <c r="C451" s="77" t="s">
        <v>1431</v>
      </c>
      <c r="D451" s="41"/>
      <c r="E451" s="188">
        <f>SUM('ADICIONES  2021'!C451:I451)</f>
        <v>37760753.93</v>
      </c>
      <c r="F451" s="41"/>
      <c r="G451" s="41"/>
      <c r="H451" s="41"/>
      <c r="I451" s="41"/>
      <c r="J451" s="41"/>
      <c r="K451" s="128">
        <f t="shared" si="647"/>
        <v>37760753.93</v>
      </c>
      <c r="L451" s="41"/>
      <c r="M451" s="41"/>
      <c r="N451" s="41"/>
      <c r="O451" s="41"/>
      <c r="P451" s="41">
        <v>37760753.93</v>
      </c>
      <c r="Q451" s="409"/>
      <c r="R451" s="128">
        <f t="shared" si="649"/>
        <v>37760753.93</v>
      </c>
      <c r="S451" s="41"/>
      <c r="T451" s="41"/>
      <c r="U451" s="41"/>
      <c r="V451" s="41"/>
      <c r="W451" s="41"/>
      <c r="X451" s="41"/>
      <c r="Y451" s="41"/>
      <c r="Z451" s="41"/>
      <c r="AA451" s="128">
        <f t="shared" si="688"/>
        <v>0</v>
      </c>
      <c r="AB451" s="128">
        <f t="shared" si="651"/>
        <v>37760753.93</v>
      </c>
      <c r="AC451" s="175">
        <f t="shared" si="621"/>
        <v>1</v>
      </c>
    </row>
    <row r="452" spans="2:29" ht="28.5" x14ac:dyDescent="0.2">
      <c r="B452" s="76" t="s">
        <v>1432</v>
      </c>
      <c r="C452" s="77" t="s">
        <v>1433</v>
      </c>
      <c r="D452" s="41"/>
      <c r="E452" s="188">
        <f>SUM('ADICIONES  2021'!C452:I452)</f>
        <v>352624209.5</v>
      </c>
      <c r="F452" s="41"/>
      <c r="G452" s="41"/>
      <c r="H452" s="41"/>
      <c r="I452" s="41"/>
      <c r="J452" s="41"/>
      <c r="K452" s="128">
        <f t="shared" si="647"/>
        <v>352624209.5</v>
      </c>
      <c r="L452" s="41"/>
      <c r="M452" s="41"/>
      <c r="N452" s="41"/>
      <c r="O452" s="41"/>
      <c r="P452" s="41">
        <v>352624209.5</v>
      </c>
      <c r="Q452" s="409"/>
      <c r="R452" s="128">
        <f t="shared" si="649"/>
        <v>352624209.5</v>
      </c>
      <c r="S452" s="41"/>
      <c r="T452" s="41"/>
      <c r="U452" s="41"/>
      <c r="V452" s="41"/>
      <c r="W452" s="41"/>
      <c r="X452" s="41"/>
      <c r="Y452" s="41"/>
      <c r="Z452" s="41"/>
      <c r="AA452" s="128">
        <f t="shared" si="688"/>
        <v>0</v>
      </c>
      <c r="AB452" s="128">
        <f t="shared" si="651"/>
        <v>352624209.5</v>
      </c>
      <c r="AC452" s="175">
        <f t="shared" si="621"/>
        <v>1</v>
      </c>
    </row>
    <row r="453" spans="2:29" ht="28.5" x14ac:dyDescent="0.2">
      <c r="B453" s="76" t="s">
        <v>1434</v>
      </c>
      <c r="C453" s="77" t="s">
        <v>1435</v>
      </c>
      <c r="D453" s="41"/>
      <c r="E453" s="188">
        <f>SUM('ADICIONES  2021'!C453:I453)</f>
        <v>698000000</v>
      </c>
      <c r="F453" s="41"/>
      <c r="G453" s="41"/>
      <c r="H453" s="41"/>
      <c r="I453" s="41"/>
      <c r="J453" s="41"/>
      <c r="K453" s="128">
        <f t="shared" si="647"/>
        <v>698000000</v>
      </c>
      <c r="L453" s="41"/>
      <c r="M453" s="41"/>
      <c r="N453" s="41"/>
      <c r="O453" s="41"/>
      <c r="P453" s="41">
        <v>698000000</v>
      </c>
      <c r="Q453" s="409"/>
      <c r="R453" s="128">
        <f t="shared" si="649"/>
        <v>698000000</v>
      </c>
      <c r="S453" s="41"/>
      <c r="T453" s="41"/>
      <c r="U453" s="41"/>
      <c r="V453" s="41"/>
      <c r="W453" s="41"/>
      <c r="X453" s="41"/>
      <c r="Y453" s="41"/>
      <c r="Z453" s="41"/>
      <c r="AA453" s="128">
        <f t="shared" si="688"/>
        <v>0</v>
      </c>
      <c r="AB453" s="128">
        <f t="shared" si="651"/>
        <v>698000000</v>
      </c>
      <c r="AC453" s="175">
        <f t="shared" si="621"/>
        <v>1</v>
      </c>
    </row>
    <row r="454" spans="2:29" ht="42.75" x14ac:dyDescent="0.2">
      <c r="B454" s="76" t="s">
        <v>1436</v>
      </c>
      <c r="C454" s="77" t="s">
        <v>1437</v>
      </c>
      <c r="D454" s="41"/>
      <c r="E454" s="188">
        <f>SUM('ADICIONES  2021'!C454:I454)</f>
        <v>27979392</v>
      </c>
      <c r="F454" s="41"/>
      <c r="G454" s="41"/>
      <c r="H454" s="41"/>
      <c r="I454" s="41"/>
      <c r="J454" s="41"/>
      <c r="K454" s="128">
        <f t="shared" si="647"/>
        <v>27979392</v>
      </c>
      <c r="L454" s="41"/>
      <c r="M454" s="41"/>
      <c r="N454" s="41"/>
      <c r="O454" s="41"/>
      <c r="P454" s="41">
        <v>27979392</v>
      </c>
      <c r="Q454" s="409"/>
      <c r="R454" s="128">
        <f t="shared" si="649"/>
        <v>27979392</v>
      </c>
      <c r="S454" s="41"/>
      <c r="T454" s="41"/>
      <c r="U454" s="41"/>
      <c r="V454" s="41"/>
      <c r="W454" s="41"/>
      <c r="X454" s="41"/>
      <c r="Y454" s="41"/>
      <c r="Z454" s="41"/>
      <c r="AA454" s="128">
        <f t="shared" si="688"/>
        <v>0</v>
      </c>
      <c r="AB454" s="128">
        <f t="shared" si="651"/>
        <v>27979392</v>
      </c>
      <c r="AC454" s="175">
        <f t="shared" si="621"/>
        <v>1</v>
      </c>
    </row>
    <row r="455" spans="2:29" ht="15.75" x14ac:dyDescent="0.2">
      <c r="B455" s="81" t="s">
        <v>1438</v>
      </c>
      <c r="C455" s="79" t="s">
        <v>1439</v>
      </c>
      <c r="D455" s="146">
        <f>SUM(D456:D460)</f>
        <v>0</v>
      </c>
      <c r="E455" s="187">
        <f>SUM('ADICIONES  2021'!C455:I455)</f>
        <v>6442499.1399999997</v>
      </c>
      <c r="F455" s="146">
        <f>SUM(F456:F460)</f>
        <v>0</v>
      </c>
      <c r="G455" s="146">
        <f>SUM(G456:G460)</f>
        <v>0</v>
      </c>
      <c r="H455" s="146">
        <f>SUM(H456:H460)</f>
        <v>0</v>
      </c>
      <c r="I455" s="146">
        <f>SUM(I456:I460)</f>
        <v>0</v>
      </c>
      <c r="J455" s="146">
        <f>SUM(J456:J460)</f>
        <v>0</v>
      </c>
      <c r="K455" s="128">
        <f t="shared" si="647"/>
        <v>6442499.1399999997</v>
      </c>
      <c r="L455" s="146">
        <f t="shared" ref="L455:Q455" si="689">SUM(L456:L460)</f>
        <v>0</v>
      </c>
      <c r="M455" s="146">
        <f t="shared" si="689"/>
        <v>0</v>
      </c>
      <c r="N455" s="146">
        <f t="shared" si="689"/>
        <v>0</v>
      </c>
      <c r="O455" s="146">
        <f t="shared" si="689"/>
        <v>0</v>
      </c>
      <c r="P455" s="146">
        <f t="shared" si="689"/>
        <v>6442499.1399999997</v>
      </c>
      <c r="Q455" s="411">
        <f t="shared" si="689"/>
        <v>0</v>
      </c>
      <c r="R455" s="128">
        <f t="shared" si="649"/>
        <v>6442499.1399999997</v>
      </c>
      <c r="S455" s="146">
        <f t="shared" ref="S455:Z455" si="690">SUM(S456:S460)</f>
        <v>0</v>
      </c>
      <c r="T455" s="146">
        <f t="shared" si="690"/>
        <v>0</v>
      </c>
      <c r="U455" s="146">
        <f t="shared" si="690"/>
        <v>0</v>
      </c>
      <c r="V455" s="146">
        <f t="shared" si="690"/>
        <v>0</v>
      </c>
      <c r="W455" s="146">
        <f t="shared" si="690"/>
        <v>0</v>
      </c>
      <c r="X455" s="146">
        <f t="shared" si="690"/>
        <v>0</v>
      </c>
      <c r="Y455" s="146">
        <f t="shared" si="690"/>
        <v>0</v>
      </c>
      <c r="Z455" s="146">
        <f t="shared" si="690"/>
        <v>0</v>
      </c>
      <c r="AA455" s="128">
        <f t="shared" si="688"/>
        <v>0</v>
      </c>
      <c r="AB455" s="128">
        <f t="shared" si="651"/>
        <v>6442499.1399999997</v>
      </c>
      <c r="AC455" s="175">
        <f t="shared" si="621"/>
        <v>1</v>
      </c>
    </row>
    <row r="456" spans="2:29" ht="14.25" x14ac:dyDescent="0.2">
      <c r="B456" s="76" t="s">
        <v>1440</v>
      </c>
      <c r="C456" s="77" t="s">
        <v>1441</v>
      </c>
      <c r="D456" s="41"/>
      <c r="E456" s="188">
        <f>SUM('ADICIONES  2021'!C456:I456)</f>
        <v>5346270.54</v>
      </c>
      <c r="F456" s="41"/>
      <c r="G456" s="41"/>
      <c r="H456" s="41"/>
      <c r="I456" s="41"/>
      <c r="J456" s="41"/>
      <c r="K456" s="128">
        <f t="shared" si="647"/>
        <v>5346270.54</v>
      </c>
      <c r="L456" s="41"/>
      <c r="M456" s="41"/>
      <c r="N456" s="41"/>
      <c r="O456" s="41"/>
      <c r="P456" s="41">
        <v>5346270.54</v>
      </c>
      <c r="Q456" s="409"/>
      <c r="R456" s="128">
        <f t="shared" si="649"/>
        <v>5346270.54</v>
      </c>
      <c r="S456" s="41"/>
      <c r="T456" s="41"/>
      <c r="U456" s="41"/>
      <c r="V456" s="41"/>
      <c r="W456" s="41"/>
      <c r="X456" s="41"/>
      <c r="Y456" s="41"/>
      <c r="Z456" s="41"/>
      <c r="AA456" s="128">
        <f t="shared" si="688"/>
        <v>0</v>
      </c>
      <c r="AB456" s="128">
        <f t="shared" si="651"/>
        <v>5346270.54</v>
      </c>
      <c r="AC456" s="175">
        <f t="shared" si="621"/>
        <v>1</v>
      </c>
    </row>
    <row r="457" spans="2:29" ht="14.25" x14ac:dyDescent="0.2">
      <c r="B457" s="76" t="s">
        <v>1442</v>
      </c>
      <c r="C457" s="77" t="s">
        <v>1443</v>
      </c>
      <c r="D457" s="41"/>
      <c r="E457" s="188">
        <f>SUM('ADICIONES  2021'!C457:I457)</f>
        <v>144370.26</v>
      </c>
      <c r="F457" s="41"/>
      <c r="G457" s="41"/>
      <c r="H457" s="41"/>
      <c r="I457" s="41"/>
      <c r="J457" s="41"/>
      <c r="K457" s="128">
        <f t="shared" si="647"/>
        <v>144370.26</v>
      </c>
      <c r="L457" s="41"/>
      <c r="M457" s="41"/>
      <c r="N457" s="41"/>
      <c r="O457" s="41"/>
      <c r="P457" s="41">
        <v>144370.26</v>
      </c>
      <c r="Q457" s="409"/>
      <c r="R457" s="128">
        <f t="shared" si="649"/>
        <v>144370.26</v>
      </c>
      <c r="S457" s="41"/>
      <c r="T457" s="41"/>
      <c r="U457" s="41"/>
      <c r="V457" s="41"/>
      <c r="W457" s="41"/>
      <c r="X457" s="41"/>
      <c r="Y457" s="41"/>
      <c r="Z457" s="41"/>
      <c r="AA457" s="128">
        <f t="shared" si="688"/>
        <v>0</v>
      </c>
      <c r="AB457" s="128">
        <f t="shared" si="651"/>
        <v>144370.26</v>
      </c>
      <c r="AC457" s="175">
        <f t="shared" si="621"/>
        <v>1</v>
      </c>
    </row>
    <row r="458" spans="2:29" ht="14.25" x14ac:dyDescent="0.2">
      <c r="B458" s="76" t="s">
        <v>1444</v>
      </c>
      <c r="C458" s="77" t="s">
        <v>1445</v>
      </c>
      <c r="D458" s="41"/>
      <c r="E458" s="188">
        <f>SUM('ADICIONES  2021'!C458:I458)</f>
        <v>16785.169999999998</v>
      </c>
      <c r="F458" s="41"/>
      <c r="G458" s="41"/>
      <c r="H458" s="41"/>
      <c r="I458" s="41"/>
      <c r="J458" s="41"/>
      <c r="K458" s="128">
        <f t="shared" si="647"/>
        <v>16785.169999999998</v>
      </c>
      <c r="L458" s="41"/>
      <c r="M458" s="41"/>
      <c r="N458" s="41"/>
      <c r="O458" s="41"/>
      <c r="P458" s="41">
        <v>16785.169999999998</v>
      </c>
      <c r="Q458" s="409"/>
      <c r="R458" s="128">
        <f t="shared" si="649"/>
        <v>16785.169999999998</v>
      </c>
      <c r="S458" s="41"/>
      <c r="T458" s="41"/>
      <c r="U458" s="41"/>
      <c r="V458" s="41"/>
      <c r="W458" s="41"/>
      <c r="X458" s="41"/>
      <c r="Y458" s="41"/>
      <c r="Z458" s="41"/>
      <c r="AA458" s="128">
        <f t="shared" si="688"/>
        <v>0</v>
      </c>
      <c r="AB458" s="128">
        <f t="shared" si="651"/>
        <v>16785.169999999998</v>
      </c>
      <c r="AC458" s="175">
        <f t="shared" si="621"/>
        <v>1</v>
      </c>
    </row>
    <row r="459" spans="2:29" ht="14.25" x14ac:dyDescent="0.2">
      <c r="B459" s="76" t="s">
        <v>1446</v>
      </c>
      <c r="C459" s="77" t="s">
        <v>1447</v>
      </c>
      <c r="D459" s="41"/>
      <c r="E459" s="188">
        <f>SUM('ADICIONES  2021'!C459:I459)</f>
        <v>244473.17</v>
      </c>
      <c r="F459" s="41"/>
      <c r="G459" s="41"/>
      <c r="H459" s="41"/>
      <c r="I459" s="41"/>
      <c r="J459" s="41"/>
      <c r="K459" s="128">
        <f t="shared" si="647"/>
        <v>244473.17</v>
      </c>
      <c r="L459" s="41"/>
      <c r="M459" s="41"/>
      <c r="N459" s="41"/>
      <c r="O459" s="41"/>
      <c r="P459" s="41">
        <v>244473.17</v>
      </c>
      <c r="Q459" s="409"/>
      <c r="R459" s="128">
        <f t="shared" si="649"/>
        <v>244473.17</v>
      </c>
      <c r="S459" s="41"/>
      <c r="T459" s="41"/>
      <c r="U459" s="41"/>
      <c r="V459" s="41"/>
      <c r="W459" s="41"/>
      <c r="X459" s="41"/>
      <c r="Y459" s="41"/>
      <c r="Z459" s="41"/>
      <c r="AA459" s="128">
        <f t="shared" si="688"/>
        <v>0</v>
      </c>
      <c r="AB459" s="128">
        <f t="shared" si="651"/>
        <v>244473.17</v>
      </c>
      <c r="AC459" s="175">
        <f t="shared" si="621"/>
        <v>1</v>
      </c>
    </row>
    <row r="460" spans="2:29" ht="14.25" x14ac:dyDescent="0.2">
      <c r="B460" s="76" t="s">
        <v>1448</v>
      </c>
      <c r="C460" s="77" t="s">
        <v>1449</v>
      </c>
      <c r="D460" s="41"/>
      <c r="E460" s="188">
        <f>SUM('ADICIONES  2021'!C460:I460)</f>
        <v>690600</v>
      </c>
      <c r="F460" s="41"/>
      <c r="G460" s="41"/>
      <c r="H460" s="41"/>
      <c r="I460" s="41"/>
      <c r="J460" s="41"/>
      <c r="K460" s="128">
        <f t="shared" si="647"/>
        <v>690600</v>
      </c>
      <c r="L460" s="41"/>
      <c r="M460" s="41"/>
      <c r="N460" s="41"/>
      <c r="O460" s="41"/>
      <c r="P460" s="41">
        <v>690600</v>
      </c>
      <c r="Q460" s="409"/>
      <c r="R460" s="128">
        <f t="shared" si="649"/>
        <v>690600</v>
      </c>
      <c r="S460" s="41"/>
      <c r="T460" s="41"/>
      <c r="U460" s="41"/>
      <c r="V460" s="41"/>
      <c r="W460" s="41"/>
      <c r="X460" s="41"/>
      <c r="Y460" s="41"/>
      <c r="Z460" s="41"/>
      <c r="AA460" s="128">
        <f t="shared" si="688"/>
        <v>0</v>
      </c>
      <c r="AB460" s="128">
        <f t="shared" si="651"/>
        <v>690600</v>
      </c>
      <c r="AC460" s="175">
        <f t="shared" si="621"/>
        <v>1</v>
      </c>
    </row>
    <row r="461" spans="2:29" ht="15.75" x14ac:dyDescent="0.2">
      <c r="B461" s="81" t="s">
        <v>1450</v>
      </c>
      <c r="C461" s="79" t="s">
        <v>1451</v>
      </c>
      <c r="D461" s="146">
        <f>+D462+D464+D468+D471+D477+D482+D487+D490</f>
        <v>0</v>
      </c>
      <c r="E461" s="187">
        <f>SUM('ADICIONES  2021'!C461:I461)</f>
        <v>37711694342.109993</v>
      </c>
      <c r="F461" s="146">
        <f>+F462+F464+F468+F471+F477+F482+F487+F490</f>
        <v>0</v>
      </c>
      <c r="G461" s="146">
        <f>+G462+G464+G468+G471+G477+G482+G487+G490</f>
        <v>0</v>
      </c>
      <c r="H461" s="146">
        <f>+H462+H464+H468+H471+H477+H482+H487+H490</f>
        <v>0</v>
      </c>
      <c r="I461" s="146">
        <f>+I462+I464+I468+I471+I477+I482+I487+I490</f>
        <v>0</v>
      </c>
      <c r="J461" s="146">
        <f>+J462+J464+J468+J471+J477+J482+J487+J490</f>
        <v>0</v>
      </c>
      <c r="K461" s="128">
        <f t="shared" si="647"/>
        <v>37711694342.109993</v>
      </c>
      <c r="L461" s="146">
        <f t="shared" ref="L461:Q461" si="691">+L462+L464+L468+L471+L477+L482+L487+L490</f>
        <v>0</v>
      </c>
      <c r="M461" s="146">
        <f t="shared" si="691"/>
        <v>0</v>
      </c>
      <c r="N461" s="146">
        <f t="shared" si="691"/>
        <v>0</v>
      </c>
      <c r="O461" s="146">
        <f t="shared" si="691"/>
        <v>0</v>
      </c>
      <c r="P461" s="146">
        <f t="shared" si="691"/>
        <v>37711694342.109993</v>
      </c>
      <c r="Q461" s="411">
        <f t="shared" si="691"/>
        <v>0</v>
      </c>
      <c r="R461" s="128">
        <f t="shared" si="649"/>
        <v>37711694342.109993</v>
      </c>
      <c r="S461" s="146">
        <f t="shared" ref="S461:Z461" si="692">+S462+S464+S468+S471+S477+S482+S487+S490</f>
        <v>0</v>
      </c>
      <c r="T461" s="146">
        <f t="shared" si="692"/>
        <v>0</v>
      </c>
      <c r="U461" s="146">
        <f t="shared" si="692"/>
        <v>0</v>
      </c>
      <c r="V461" s="146">
        <f t="shared" si="692"/>
        <v>0</v>
      </c>
      <c r="W461" s="146">
        <f t="shared" si="692"/>
        <v>0</v>
      </c>
      <c r="X461" s="146">
        <f t="shared" si="692"/>
        <v>0</v>
      </c>
      <c r="Y461" s="146">
        <f t="shared" si="692"/>
        <v>0</v>
      </c>
      <c r="Z461" s="146">
        <f t="shared" si="692"/>
        <v>0</v>
      </c>
      <c r="AA461" s="128">
        <f t="shared" si="688"/>
        <v>0</v>
      </c>
      <c r="AB461" s="128">
        <f t="shared" si="651"/>
        <v>37711694342.109993</v>
      </c>
      <c r="AC461" s="175">
        <f t="shared" si="621"/>
        <v>1</v>
      </c>
    </row>
    <row r="462" spans="2:29" ht="31.5" x14ac:dyDescent="0.2">
      <c r="B462" s="81" t="s">
        <v>1452</v>
      </c>
      <c r="C462" s="79" t="s">
        <v>1453</v>
      </c>
      <c r="D462" s="146">
        <f>+D463</f>
        <v>0</v>
      </c>
      <c r="E462" s="187">
        <f>SUM('ADICIONES  2021'!C462:I462)</f>
        <v>1027049896.25</v>
      </c>
      <c r="F462" s="146">
        <f>+F463</f>
        <v>0</v>
      </c>
      <c r="G462" s="146">
        <f>+G463</f>
        <v>0</v>
      </c>
      <c r="H462" s="146">
        <f>+H463</f>
        <v>0</v>
      </c>
      <c r="I462" s="146">
        <f>+I463</f>
        <v>0</v>
      </c>
      <c r="J462" s="146">
        <f>+J463</f>
        <v>0</v>
      </c>
      <c r="K462" s="128">
        <f t="shared" si="647"/>
        <v>1027049896.25</v>
      </c>
      <c r="L462" s="146">
        <f t="shared" ref="L462:Q462" si="693">+L463</f>
        <v>0</v>
      </c>
      <c r="M462" s="146">
        <f t="shared" si="693"/>
        <v>0</v>
      </c>
      <c r="N462" s="146">
        <f t="shared" si="693"/>
        <v>0</v>
      </c>
      <c r="O462" s="146">
        <f t="shared" si="693"/>
        <v>0</v>
      </c>
      <c r="P462" s="146">
        <f t="shared" si="693"/>
        <v>1027049896.25</v>
      </c>
      <c r="Q462" s="411">
        <f t="shared" si="693"/>
        <v>0</v>
      </c>
      <c r="R462" s="128">
        <f t="shared" si="649"/>
        <v>1027049896.25</v>
      </c>
      <c r="S462" s="146">
        <f t="shared" ref="S462:Z462" si="694">+S463</f>
        <v>0</v>
      </c>
      <c r="T462" s="146">
        <f t="shared" si="694"/>
        <v>0</v>
      </c>
      <c r="U462" s="146">
        <f t="shared" si="694"/>
        <v>0</v>
      </c>
      <c r="V462" s="146">
        <f t="shared" si="694"/>
        <v>0</v>
      </c>
      <c r="W462" s="146">
        <f t="shared" si="694"/>
        <v>0</v>
      </c>
      <c r="X462" s="146">
        <f t="shared" si="694"/>
        <v>0</v>
      </c>
      <c r="Y462" s="146">
        <f t="shared" si="694"/>
        <v>0</v>
      </c>
      <c r="Z462" s="146">
        <f t="shared" si="694"/>
        <v>0</v>
      </c>
      <c r="AA462" s="128">
        <f t="shared" si="688"/>
        <v>0</v>
      </c>
      <c r="AB462" s="128">
        <f t="shared" si="651"/>
        <v>1027049896.25</v>
      </c>
      <c r="AC462" s="175">
        <f t="shared" si="621"/>
        <v>1</v>
      </c>
    </row>
    <row r="463" spans="2:29" ht="14.25" x14ac:dyDescent="0.2">
      <c r="B463" s="76" t="s">
        <v>1454</v>
      </c>
      <c r="C463" s="77" t="s">
        <v>1455</v>
      </c>
      <c r="D463" s="41"/>
      <c r="E463" s="188">
        <f>SUM('ADICIONES  2021'!C463:I463)</f>
        <v>1027049896.25</v>
      </c>
      <c r="F463" s="41"/>
      <c r="G463" s="41"/>
      <c r="H463" s="41"/>
      <c r="I463" s="41"/>
      <c r="J463" s="41"/>
      <c r="K463" s="128">
        <f t="shared" si="647"/>
        <v>1027049896.25</v>
      </c>
      <c r="L463" s="41"/>
      <c r="M463" s="41"/>
      <c r="N463" s="41"/>
      <c r="O463" s="41"/>
      <c r="P463" s="41">
        <v>1027049896.25</v>
      </c>
      <c r="Q463" s="409"/>
      <c r="R463" s="128">
        <f t="shared" si="649"/>
        <v>1027049896.25</v>
      </c>
      <c r="S463" s="41"/>
      <c r="T463" s="41"/>
      <c r="U463" s="41"/>
      <c r="V463" s="41"/>
      <c r="W463" s="41"/>
      <c r="X463" s="41"/>
      <c r="Y463" s="41"/>
      <c r="Z463" s="41"/>
      <c r="AA463" s="128">
        <f t="shared" si="688"/>
        <v>0</v>
      </c>
      <c r="AB463" s="128">
        <f t="shared" si="651"/>
        <v>1027049896.25</v>
      </c>
      <c r="AC463" s="175">
        <f t="shared" si="621"/>
        <v>1</v>
      </c>
    </row>
    <row r="464" spans="2:29" ht="31.5" x14ac:dyDescent="0.2">
      <c r="B464" s="81" t="s">
        <v>1456</v>
      </c>
      <c r="C464" s="79" t="s">
        <v>1457</v>
      </c>
      <c r="D464" s="146">
        <f>SUM(D465:D467)</f>
        <v>0</v>
      </c>
      <c r="E464" s="187">
        <f>SUM('ADICIONES  2021'!C464:I464)</f>
        <v>8110346950.25</v>
      </c>
      <c r="F464" s="146">
        <f>SUM(F465:F467)</f>
        <v>0</v>
      </c>
      <c r="G464" s="146">
        <f>SUM(G465:G467)</f>
        <v>0</v>
      </c>
      <c r="H464" s="146">
        <f>SUM(H465:H467)</f>
        <v>0</v>
      </c>
      <c r="I464" s="146">
        <f>SUM(I465:I467)</f>
        <v>0</v>
      </c>
      <c r="J464" s="146">
        <f>SUM(J465:J467)</f>
        <v>0</v>
      </c>
      <c r="K464" s="128">
        <f t="shared" si="647"/>
        <v>8110346950.25</v>
      </c>
      <c r="L464" s="146">
        <f t="shared" ref="L464:Q464" si="695">SUM(L465:L467)</f>
        <v>0</v>
      </c>
      <c r="M464" s="146">
        <f t="shared" si="695"/>
        <v>0</v>
      </c>
      <c r="N464" s="146">
        <f t="shared" si="695"/>
        <v>0</v>
      </c>
      <c r="O464" s="146">
        <f t="shared" si="695"/>
        <v>0</v>
      </c>
      <c r="P464" s="146">
        <f t="shared" si="695"/>
        <v>8110346950.25</v>
      </c>
      <c r="Q464" s="411">
        <f t="shared" si="695"/>
        <v>0</v>
      </c>
      <c r="R464" s="128">
        <f t="shared" si="649"/>
        <v>8110346950.25</v>
      </c>
      <c r="S464" s="146">
        <f t="shared" ref="S464:Z464" si="696">SUM(S465:S467)</f>
        <v>0</v>
      </c>
      <c r="T464" s="146">
        <f t="shared" si="696"/>
        <v>0</v>
      </c>
      <c r="U464" s="146">
        <f t="shared" si="696"/>
        <v>0</v>
      </c>
      <c r="V464" s="146">
        <f t="shared" si="696"/>
        <v>0</v>
      </c>
      <c r="W464" s="146">
        <f t="shared" si="696"/>
        <v>0</v>
      </c>
      <c r="X464" s="146">
        <f t="shared" si="696"/>
        <v>0</v>
      </c>
      <c r="Y464" s="146">
        <f t="shared" si="696"/>
        <v>0</v>
      </c>
      <c r="Z464" s="146">
        <f t="shared" si="696"/>
        <v>0</v>
      </c>
      <c r="AA464" s="128">
        <f t="shared" si="688"/>
        <v>0</v>
      </c>
      <c r="AB464" s="128">
        <f t="shared" si="651"/>
        <v>8110346950.25</v>
      </c>
      <c r="AC464" s="175">
        <f t="shared" si="621"/>
        <v>1</v>
      </c>
    </row>
    <row r="465" spans="2:29" ht="28.5" x14ac:dyDescent="0.2">
      <c r="B465" s="76" t="s">
        <v>1458</v>
      </c>
      <c r="C465" s="77" t="s">
        <v>1459</v>
      </c>
      <c r="D465" s="41"/>
      <c r="E465" s="188">
        <f>SUM('ADICIONES  2021'!C465:I465)</f>
        <v>1319548135.48</v>
      </c>
      <c r="F465" s="41"/>
      <c r="G465" s="41"/>
      <c r="H465" s="41"/>
      <c r="I465" s="41"/>
      <c r="J465" s="41"/>
      <c r="K465" s="128">
        <f t="shared" si="647"/>
        <v>1319548135.48</v>
      </c>
      <c r="L465" s="41"/>
      <c r="M465" s="41"/>
      <c r="N465" s="41"/>
      <c r="O465" s="41"/>
      <c r="P465" s="41">
        <v>1319548135.48</v>
      </c>
      <c r="Q465" s="409"/>
      <c r="R465" s="128">
        <f t="shared" si="649"/>
        <v>1319548135.48</v>
      </c>
      <c r="S465" s="41"/>
      <c r="T465" s="41"/>
      <c r="U465" s="41"/>
      <c r="V465" s="41"/>
      <c r="W465" s="41"/>
      <c r="X465" s="41"/>
      <c r="Y465" s="41"/>
      <c r="Z465" s="41"/>
      <c r="AA465" s="128">
        <f t="shared" si="688"/>
        <v>0</v>
      </c>
      <c r="AB465" s="128">
        <f t="shared" si="651"/>
        <v>1319548135.48</v>
      </c>
      <c r="AC465" s="175">
        <f t="shared" si="621"/>
        <v>1</v>
      </c>
    </row>
    <row r="466" spans="2:29" ht="28.5" x14ac:dyDescent="0.2">
      <c r="B466" s="76" t="s">
        <v>1460</v>
      </c>
      <c r="C466" s="77" t="s">
        <v>1461</v>
      </c>
      <c r="D466" s="41"/>
      <c r="E466" s="188">
        <f>SUM('ADICIONES  2021'!C466:I466)</f>
        <v>5006060287.7700005</v>
      </c>
      <c r="F466" s="41"/>
      <c r="G466" s="41"/>
      <c r="H466" s="41"/>
      <c r="I466" s="41"/>
      <c r="J466" s="41"/>
      <c r="K466" s="128">
        <f t="shared" si="647"/>
        <v>5006060287.7700005</v>
      </c>
      <c r="L466" s="41"/>
      <c r="M466" s="41"/>
      <c r="N466" s="41"/>
      <c r="O466" s="41"/>
      <c r="P466" s="41">
        <v>5006060287.7700005</v>
      </c>
      <c r="Q466" s="409"/>
      <c r="R466" s="128">
        <f t="shared" si="649"/>
        <v>5006060287.7700005</v>
      </c>
      <c r="S466" s="41"/>
      <c r="T466" s="41"/>
      <c r="U466" s="41"/>
      <c r="V466" s="41"/>
      <c r="W466" s="41"/>
      <c r="X466" s="41"/>
      <c r="Y466" s="41"/>
      <c r="Z466" s="41"/>
      <c r="AA466" s="128">
        <f t="shared" si="688"/>
        <v>0</v>
      </c>
      <c r="AB466" s="128">
        <f t="shared" si="651"/>
        <v>5006060287.7700005</v>
      </c>
      <c r="AC466" s="175">
        <f t="shared" si="621"/>
        <v>1</v>
      </c>
    </row>
    <row r="467" spans="2:29" ht="14.25" x14ac:dyDescent="0.2">
      <c r="B467" s="76" t="s">
        <v>1462</v>
      </c>
      <c r="C467" s="77" t="s">
        <v>1463</v>
      </c>
      <c r="D467" s="41"/>
      <c r="E467" s="188">
        <f>SUM('ADICIONES  2021'!C467:I467)</f>
        <v>1784738527</v>
      </c>
      <c r="F467" s="41"/>
      <c r="G467" s="41"/>
      <c r="H467" s="41"/>
      <c r="I467" s="41"/>
      <c r="J467" s="41"/>
      <c r="K467" s="128">
        <f t="shared" si="647"/>
        <v>1784738527</v>
      </c>
      <c r="L467" s="41"/>
      <c r="M467" s="41"/>
      <c r="N467" s="41"/>
      <c r="O467" s="41"/>
      <c r="P467" s="41">
        <v>1784738527</v>
      </c>
      <c r="Q467" s="409"/>
      <c r="R467" s="128">
        <f t="shared" si="649"/>
        <v>1784738527</v>
      </c>
      <c r="S467" s="41"/>
      <c r="T467" s="41"/>
      <c r="U467" s="41"/>
      <c r="V467" s="41"/>
      <c r="W467" s="41"/>
      <c r="X467" s="41"/>
      <c r="Y467" s="41"/>
      <c r="Z467" s="41"/>
      <c r="AA467" s="128">
        <f t="shared" si="688"/>
        <v>0</v>
      </c>
      <c r="AB467" s="128">
        <f t="shared" si="651"/>
        <v>1784738527</v>
      </c>
      <c r="AC467" s="175">
        <f t="shared" si="621"/>
        <v>1</v>
      </c>
    </row>
    <row r="468" spans="2:29" ht="15.75" x14ac:dyDescent="0.2">
      <c r="B468" s="81" t="s">
        <v>1464</v>
      </c>
      <c r="C468" s="79" t="s">
        <v>1465</v>
      </c>
      <c r="D468" s="146">
        <f>SUM(D469:D470)</f>
        <v>0</v>
      </c>
      <c r="E468" s="187">
        <f>SUM('ADICIONES  2021'!C468:I468)</f>
        <v>6021063253.3999996</v>
      </c>
      <c r="F468" s="146">
        <f>SUM(F469:F470)</f>
        <v>0</v>
      </c>
      <c r="G468" s="146">
        <f>SUM(G469:G470)</f>
        <v>0</v>
      </c>
      <c r="H468" s="146">
        <f>SUM(H469:H470)</f>
        <v>0</v>
      </c>
      <c r="I468" s="146">
        <f>SUM(I469:I470)</f>
        <v>0</v>
      </c>
      <c r="J468" s="146">
        <f>SUM(J469:J470)</f>
        <v>0</v>
      </c>
      <c r="K468" s="128">
        <f t="shared" si="647"/>
        <v>6021063253.3999996</v>
      </c>
      <c r="L468" s="146">
        <f t="shared" ref="L468:Q468" si="697">SUM(L469:L470)</f>
        <v>0</v>
      </c>
      <c r="M468" s="146">
        <f t="shared" si="697"/>
        <v>0</v>
      </c>
      <c r="N468" s="146">
        <f t="shared" si="697"/>
        <v>0</v>
      </c>
      <c r="O468" s="146">
        <f t="shared" si="697"/>
        <v>0</v>
      </c>
      <c r="P468" s="146">
        <f t="shared" si="697"/>
        <v>6021063253.3999996</v>
      </c>
      <c r="Q468" s="411">
        <f t="shared" si="697"/>
        <v>0</v>
      </c>
      <c r="R468" s="128">
        <f t="shared" si="649"/>
        <v>6021063253.3999996</v>
      </c>
      <c r="S468" s="146">
        <f t="shared" ref="S468:Z468" si="698">SUM(S469:S470)</f>
        <v>0</v>
      </c>
      <c r="T468" s="146">
        <f t="shared" si="698"/>
        <v>0</v>
      </c>
      <c r="U468" s="146">
        <f t="shared" si="698"/>
        <v>0</v>
      </c>
      <c r="V468" s="146">
        <f t="shared" si="698"/>
        <v>0</v>
      </c>
      <c r="W468" s="146">
        <f t="shared" si="698"/>
        <v>0</v>
      </c>
      <c r="X468" s="146">
        <f t="shared" si="698"/>
        <v>0</v>
      </c>
      <c r="Y468" s="146">
        <f t="shared" si="698"/>
        <v>0</v>
      </c>
      <c r="Z468" s="146">
        <f t="shared" si="698"/>
        <v>0</v>
      </c>
      <c r="AA468" s="128">
        <f t="shared" si="688"/>
        <v>0</v>
      </c>
      <c r="AB468" s="128">
        <f t="shared" si="651"/>
        <v>6021063253.3999996</v>
      </c>
      <c r="AC468" s="175">
        <f t="shared" si="621"/>
        <v>1</v>
      </c>
    </row>
    <row r="469" spans="2:29" ht="14.25" x14ac:dyDescent="0.2">
      <c r="B469" s="76" t="s">
        <v>1466</v>
      </c>
      <c r="C469" s="77" t="s">
        <v>1467</v>
      </c>
      <c r="D469" s="41"/>
      <c r="E469" s="188">
        <f>SUM('ADICIONES  2021'!C469:I469)</f>
        <v>3403959283</v>
      </c>
      <c r="F469" s="41"/>
      <c r="G469" s="41"/>
      <c r="H469" s="41"/>
      <c r="I469" s="41"/>
      <c r="J469" s="41"/>
      <c r="K469" s="128">
        <f t="shared" si="647"/>
        <v>3403959283</v>
      </c>
      <c r="L469" s="41"/>
      <c r="M469" s="41"/>
      <c r="N469" s="41"/>
      <c r="O469" s="41"/>
      <c r="P469" s="41">
        <v>3403959283</v>
      </c>
      <c r="Q469" s="409"/>
      <c r="R469" s="128">
        <f t="shared" si="649"/>
        <v>3403959283</v>
      </c>
      <c r="S469" s="41"/>
      <c r="T469" s="41"/>
      <c r="U469" s="41"/>
      <c r="V469" s="41"/>
      <c r="W469" s="41"/>
      <c r="X469" s="41"/>
      <c r="Y469" s="41"/>
      <c r="Z469" s="41"/>
      <c r="AA469" s="128">
        <f t="shared" si="688"/>
        <v>0</v>
      </c>
      <c r="AB469" s="128">
        <f t="shared" si="651"/>
        <v>3403959283</v>
      </c>
      <c r="AC469" s="175">
        <f t="shared" si="621"/>
        <v>1</v>
      </c>
    </row>
    <row r="470" spans="2:29" ht="14.25" x14ac:dyDescent="0.2">
      <c r="B470" s="76" t="s">
        <v>1468</v>
      </c>
      <c r="C470" s="77" t="s">
        <v>1469</v>
      </c>
      <c r="D470" s="41"/>
      <c r="E470" s="188">
        <f>SUM('ADICIONES  2021'!C470:I470)</f>
        <v>2617103970.4000001</v>
      </c>
      <c r="F470" s="41"/>
      <c r="G470" s="41"/>
      <c r="H470" s="41"/>
      <c r="I470" s="41"/>
      <c r="J470" s="41"/>
      <c r="K470" s="128">
        <f t="shared" si="647"/>
        <v>2617103970.4000001</v>
      </c>
      <c r="L470" s="41"/>
      <c r="M470" s="41"/>
      <c r="N470" s="41"/>
      <c r="O470" s="41"/>
      <c r="P470" s="41">
        <v>2617103970.4000001</v>
      </c>
      <c r="Q470" s="409"/>
      <c r="R470" s="128">
        <f t="shared" si="649"/>
        <v>2617103970.4000001</v>
      </c>
      <c r="S470" s="41"/>
      <c r="T470" s="41"/>
      <c r="U470" s="41"/>
      <c r="V470" s="41"/>
      <c r="W470" s="41"/>
      <c r="X470" s="41"/>
      <c r="Y470" s="41"/>
      <c r="Z470" s="41"/>
      <c r="AA470" s="128">
        <f t="shared" si="688"/>
        <v>0</v>
      </c>
      <c r="AB470" s="128">
        <f t="shared" si="651"/>
        <v>2617103970.4000001</v>
      </c>
      <c r="AC470" s="175">
        <f t="shared" si="621"/>
        <v>1</v>
      </c>
    </row>
    <row r="471" spans="2:29" ht="30" x14ac:dyDescent="0.2">
      <c r="B471" s="81" t="s">
        <v>1470</v>
      </c>
      <c r="C471" s="194" t="s">
        <v>1471</v>
      </c>
      <c r="D471" s="146">
        <f>SUM(D472:D476)</f>
        <v>0</v>
      </c>
      <c r="E471" s="187">
        <f>SUM('ADICIONES  2021'!C471:I471)</f>
        <v>5392091029.4700003</v>
      </c>
      <c r="F471" s="146">
        <f>SUM(F472:F476)</f>
        <v>0</v>
      </c>
      <c r="G471" s="146">
        <f>SUM(G472:G476)</f>
        <v>0</v>
      </c>
      <c r="H471" s="146">
        <f>SUM(H472:H476)</f>
        <v>0</v>
      </c>
      <c r="I471" s="146">
        <f>SUM(I472:I476)</f>
        <v>0</v>
      </c>
      <c r="J471" s="146">
        <f>SUM(J472:J476)</f>
        <v>0</v>
      </c>
      <c r="K471" s="128">
        <f t="shared" si="647"/>
        <v>5392091029.4700003</v>
      </c>
      <c r="L471" s="146">
        <f t="shared" ref="L471:Q471" si="699">SUM(L472:L476)</f>
        <v>0</v>
      </c>
      <c r="M471" s="146">
        <f t="shared" si="699"/>
        <v>0</v>
      </c>
      <c r="N471" s="146">
        <f t="shared" si="699"/>
        <v>0</v>
      </c>
      <c r="O471" s="146">
        <f t="shared" si="699"/>
        <v>0</v>
      </c>
      <c r="P471" s="146">
        <f t="shared" si="699"/>
        <v>5392091029.4700003</v>
      </c>
      <c r="Q471" s="411">
        <f t="shared" si="699"/>
        <v>0</v>
      </c>
      <c r="R471" s="128">
        <f t="shared" si="649"/>
        <v>5392091029.4700003</v>
      </c>
      <c r="S471" s="146">
        <f t="shared" ref="S471:Z471" si="700">SUM(S472:S476)</f>
        <v>0</v>
      </c>
      <c r="T471" s="146">
        <f t="shared" si="700"/>
        <v>0</v>
      </c>
      <c r="U471" s="146">
        <f t="shared" si="700"/>
        <v>0</v>
      </c>
      <c r="V471" s="146">
        <f t="shared" si="700"/>
        <v>0</v>
      </c>
      <c r="W471" s="146">
        <f t="shared" si="700"/>
        <v>0</v>
      </c>
      <c r="X471" s="146">
        <f t="shared" si="700"/>
        <v>0</v>
      </c>
      <c r="Y471" s="146">
        <f t="shared" si="700"/>
        <v>0</v>
      </c>
      <c r="Z471" s="146">
        <f t="shared" si="700"/>
        <v>0</v>
      </c>
      <c r="AA471" s="128">
        <f t="shared" si="688"/>
        <v>0</v>
      </c>
      <c r="AB471" s="128">
        <f t="shared" si="651"/>
        <v>5392091029.4700003</v>
      </c>
      <c r="AC471" s="175">
        <f t="shared" si="621"/>
        <v>1</v>
      </c>
    </row>
    <row r="472" spans="2:29" ht="14.25" x14ac:dyDescent="0.2">
      <c r="B472" s="76" t="s">
        <v>1472</v>
      </c>
      <c r="C472" s="77" t="s">
        <v>1473</v>
      </c>
      <c r="D472" s="41"/>
      <c r="E472" s="188">
        <f>SUM('ADICIONES  2021'!C472:I472)</f>
        <v>3243305814.75</v>
      </c>
      <c r="F472" s="41"/>
      <c r="G472" s="41"/>
      <c r="H472" s="41"/>
      <c r="I472" s="41"/>
      <c r="J472" s="41"/>
      <c r="K472" s="128">
        <f t="shared" si="647"/>
        <v>3243305814.75</v>
      </c>
      <c r="L472" s="41"/>
      <c r="M472" s="41"/>
      <c r="N472" s="41"/>
      <c r="O472" s="41"/>
      <c r="P472" s="41">
        <v>3243305814.75</v>
      </c>
      <c r="Q472" s="409"/>
      <c r="R472" s="128">
        <f t="shared" si="649"/>
        <v>3243305814.75</v>
      </c>
      <c r="S472" s="41"/>
      <c r="T472" s="41"/>
      <c r="U472" s="41"/>
      <c r="V472" s="41"/>
      <c r="W472" s="41"/>
      <c r="X472" s="41"/>
      <c r="Y472" s="41"/>
      <c r="Z472" s="41"/>
      <c r="AA472" s="128">
        <f t="shared" si="688"/>
        <v>0</v>
      </c>
      <c r="AB472" s="128">
        <f t="shared" si="651"/>
        <v>3243305814.75</v>
      </c>
      <c r="AC472" s="175">
        <f t="shared" si="621"/>
        <v>1</v>
      </c>
    </row>
    <row r="473" spans="2:29" ht="14.25" x14ac:dyDescent="0.2">
      <c r="B473" s="76" t="s">
        <v>1474</v>
      </c>
      <c r="C473" s="77" t="s">
        <v>1475</v>
      </c>
      <c r="D473" s="41"/>
      <c r="E473" s="188">
        <f>SUM('ADICIONES  2021'!C473:I473)</f>
        <v>518928930.36000001</v>
      </c>
      <c r="F473" s="41"/>
      <c r="G473" s="41"/>
      <c r="H473" s="41"/>
      <c r="I473" s="41"/>
      <c r="J473" s="41"/>
      <c r="K473" s="128">
        <f t="shared" si="647"/>
        <v>518928930.36000001</v>
      </c>
      <c r="L473" s="41"/>
      <c r="M473" s="41"/>
      <c r="N473" s="41"/>
      <c r="O473" s="41"/>
      <c r="P473" s="41">
        <v>518928930.36000001</v>
      </c>
      <c r="Q473" s="409"/>
      <c r="R473" s="128">
        <f t="shared" si="649"/>
        <v>518928930.36000001</v>
      </c>
      <c r="S473" s="41"/>
      <c r="T473" s="41"/>
      <c r="U473" s="41"/>
      <c r="V473" s="41"/>
      <c r="W473" s="41"/>
      <c r="X473" s="41"/>
      <c r="Y473" s="41"/>
      <c r="Z473" s="41"/>
      <c r="AA473" s="128">
        <f t="shared" si="688"/>
        <v>0</v>
      </c>
      <c r="AB473" s="128">
        <f t="shared" si="651"/>
        <v>518928930.36000001</v>
      </c>
      <c r="AC473" s="175">
        <f t="shared" si="621"/>
        <v>1</v>
      </c>
    </row>
    <row r="474" spans="2:29" ht="14.25" x14ac:dyDescent="0.2">
      <c r="B474" s="76" t="s">
        <v>1476</v>
      </c>
      <c r="C474" s="77" t="s">
        <v>1477</v>
      </c>
      <c r="D474" s="41"/>
      <c r="E474" s="188">
        <f>SUM('ADICIONES  2021'!C474:I474)</f>
        <v>346052620.24000001</v>
      </c>
      <c r="F474" s="41"/>
      <c r="G474" s="41"/>
      <c r="H474" s="41"/>
      <c r="I474" s="41"/>
      <c r="J474" s="41"/>
      <c r="K474" s="128">
        <f t="shared" si="647"/>
        <v>346052620.24000001</v>
      </c>
      <c r="L474" s="41"/>
      <c r="M474" s="41"/>
      <c r="N474" s="41"/>
      <c r="O474" s="41"/>
      <c r="P474" s="41">
        <v>346052620.24000001</v>
      </c>
      <c r="Q474" s="409"/>
      <c r="R474" s="128">
        <f t="shared" si="649"/>
        <v>346052620.24000001</v>
      </c>
      <c r="S474" s="41"/>
      <c r="T474" s="41"/>
      <c r="U474" s="41"/>
      <c r="V474" s="41"/>
      <c r="W474" s="41"/>
      <c r="X474" s="41"/>
      <c r="Y474" s="41"/>
      <c r="Z474" s="41"/>
      <c r="AA474" s="128">
        <f t="shared" si="688"/>
        <v>0</v>
      </c>
      <c r="AB474" s="128">
        <f t="shared" si="651"/>
        <v>346052620.24000001</v>
      </c>
      <c r="AC474" s="175">
        <f t="shared" si="621"/>
        <v>1</v>
      </c>
    </row>
    <row r="475" spans="2:29" ht="28.5" x14ac:dyDescent="0.2">
      <c r="B475" s="76" t="s">
        <v>1478</v>
      </c>
      <c r="C475" s="77" t="s">
        <v>1479</v>
      </c>
      <c r="D475" s="41"/>
      <c r="E475" s="188">
        <f>SUM('ADICIONES  2021'!C475:I475)</f>
        <v>790282198.47000003</v>
      </c>
      <c r="F475" s="41"/>
      <c r="G475" s="41"/>
      <c r="H475" s="41"/>
      <c r="I475" s="41"/>
      <c r="J475" s="41"/>
      <c r="K475" s="128">
        <f t="shared" si="647"/>
        <v>790282198.47000003</v>
      </c>
      <c r="L475" s="41"/>
      <c r="M475" s="41"/>
      <c r="N475" s="41"/>
      <c r="O475" s="41"/>
      <c r="P475" s="41">
        <v>790282198.47000003</v>
      </c>
      <c r="Q475" s="409"/>
      <c r="R475" s="128">
        <f t="shared" si="649"/>
        <v>790282198.47000003</v>
      </c>
      <c r="S475" s="41"/>
      <c r="T475" s="41"/>
      <c r="U475" s="41"/>
      <c r="V475" s="41"/>
      <c r="W475" s="41"/>
      <c r="X475" s="41"/>
      <c r="Y475" s="41"/>
      <c r="Z475" s="41"/>
      <c r="AA475" s="128">
        <f t="shared" si="688"/>
        <v>0</v>
      </c>
      <c r="AB475" s="128">
        <f t="shared" si="651"/>
        <v>790282198.47000003</v>
      </c>
      <c r="AC475" s="175">
        <f t="shared" si="621"/>
        <v>1</v>
      </c>
    </row>
    <row r="476" spans="2:29" ht="28.5" x14ac:dyDescent="0.2">
      <c r="B476" s="76" t="s">
        <v>1480</v>
      </c>
      <c r="C476" s="77" t="s">
        <v>1481</v>
      </c>
      <c r="D476" s="41"/>
      <c r="E476" s="188">
        <f>SUM('ADICIONES  2021'!C476:I476)</f>
        <v>493521465.64999998</v>
      </c>
      <c r="F476" s="41"/>
      <c r="G476" s="41"/>
      <c r="H476" s="41"/>
      <c r="I476" s="41"/>
      <c r="J476" s="41"/>
      <c r="K476" s="128">
        <f t="shared" si="647"/>
        <v>493521465.64999998</v>
      </c>
      <c r="L476" s="41"/>
      <c r="M476" s="41"/>
      <c r="N476" s="41"/>
      <c r="O476" s="41"/>
      <c r="P476" s="41">
        <v>493521465.64999998</v>
      </c>
      <c r="Q476" s="409"/>
      <c r="R476" s="128">
        <f t="shared" si="649"/>
        <v>493521465.64999998</v>
      </c>
      <c r="S476" s="41"/>
      <c r="T476" s="41"/>
      <c r="U476" s="41"/>
      <c r="V476" s="41"/>
      <c r="W476" s="41"/>
      <c r="X476" s="41"/>
      <c r="Y476" s="41"/>
      <c r="Z476" s="41"/>
      <c r="AA476" s="128">
        <f t="shared" si="688"/>
        <v>0</v>
      </c>
      <c r="AB476" s="128">
        <f t="shared" si="651"/>
        <v>493521465.64999998</v>
      </c>
      <c r="AC476" s="175">
        <f t="shared" si="621"/>
        <v>1</v>
      </c>
    </row>
    <row r="477" spans="2:29" ht="31.5" x14ac:dyDescent="0.2">
      <c r="B477" s="81" t="s">
        <v>1482</v>
      </c>
      <c r="C477" s="79" t="s">
        <v>1483</v>
      </c>
      <c r="D477" s="146">
        <f>SUM(D478:D481)</f>
        <v>0</v>
      </c>
      <c r="E477" s="187">
        <f>SUM('ADICIONES  2021'!C477:I477)</f>
        <v>8438554129.0799999</v>
      </c>
      <c r="F477" s="146">
        <f>SUM(F478:F481)</f>
        <v>0</v>
      </c>
      <c r="G477" s="146">
        <f>SUM(G478:G481)</f>
        <v>0</v>
      </c>
      <c r="H477" s="146">
        <f>SUM(H478:H481)</f>
        <v>0</v>
      </c>
      <c r="I477" s="146">
        <f>SUM(I478:I481)</f>
        <v>0</v>
      </c>
      <c r="J477" s="146">
        <f>SUM(J478:J481)</f>
        <v>0</v>
      </c>
      <c r="K477" s="128">
        <f t="shared" si="647"/>
        <v>8438554129.0799999</v>
      </c>
      <c r="L477" s="146">
        <f t="shared" ref="L477:Q477" si="701">SUM(L478:L481)</f>
        <v>0</v>
      </c>
      <c r="M477" s="146">
        <f t="shared" si="701"/>
        <v>0</v>
      </c>
      <c r="N477" s="146">
        <f t="shared" si="701"/>
        <v>0</v>
      </c>
      <c r="O477" s="146">
        <f t="shared" si="701"/>
        <v>0</v>
      </c>
      <c r="P477" s="146">
        <f t="shared" si="701"/>
        <v>8438554129.0799999</v>
      </c>
      <c r="Q477" s="411">
        <f t="shared" si="701"/>
        <v>0</v>
      </c>
      <c r="R477" s="128">
        <f t="shared" si="649"/>
        <v>8438554129.0799999</v>
      </c>
      <c r="S477" s="146">
        <f t="shared" ref="S477:Z477" si="702">SUM(S478:S481)</f>
        <v>0</v>
      </c>
      <c r="T477" s="146">
        <f t="shared" si="702"/>
        <v>0</v>
      </c>
      <c r="U477" s="146">
        <f t="shared" si="702"/>
        <v>0</v>
      </c>
      <c r="V477" s="146">
        <f t="shared" si="702"/>
        <v>0</v>
      </c>
      <c r="W477" s="146">
        <f t="shared" si="702"/>
        <v>0</v>
      </c>
      <c r="X477" s="146">
        <f t="shared" si="702"/>
        <v>0</v>
      </c>
      <c r="Y477" s="146">
        <f t="shared" si="702"/>
        <v>0</v>
      </c>
      <c r="Z477" s="146">
        <f t="shared" si="702"/>
        <v>0</v>
      </c>
      <c r="AA477" s="128">
        <f t="shared" si="688"/>
        <v>0</v>
      </c>
      <c r="AB477" s="128">
        <f t="shared" si="651"/>
        <v>8438554129.0799999</v>
      </c>
      <c r="AC477" s="175">
        <f t="shared" si="621"/>
        <v>1</v>
      </c>
    </row>
    <row r="478" spans="2:29" ht="28.5" x14ac:dyDescent="0.2">
      <c r="B478" s="76" t="s">
        <v>1484</v>
      </c>
      <c r="C478" s="77" t="s">
        <v>1485</v>
      </c>
      <c r="D478" s="41"/>
      <c r="E478" s="188">
        <f>SUM('ADICIONES  2021'!C478:I478)</f>
        <v>2671945846.21</v>
      </c>
      <c r="F478" s="41"/>
      <c r="G478" s="41"/>
      <c r="H478" s="41"/>
      <c r="I478" s="41"/>
      <c r="J478" s="41"/>
      <c r="K478" s="128">
        <f t="shared" si="647"/>
        <v>2671945846.21</v>
      </c>
      <c r="L478" s="41"/>
      <c r="M478" s="41"/>
      <c r="N478" s="41"/>
      <c r="O478" s="41"/>
      <c r="P478" s="41">
        <v>2671945846.21</v>
      </c>
      <c r="Q478" s="409"/>
      <c r="R478" s="128">
        <f t="shared" si="649"/>
        <v>2671945846.21</v>
      </c>
      <c r="S478" s="41"/>
      <c r="T478" s="41"/>
      <c r="U478" s="41"/>
      <c r="V478" s="41"/>
      <c r="W478" s="41"/>
      <c r="X478" s="41"/>
      <c r="Y478" s="41"/>
      <c r="Z478" s="41"/>
      <c r="AA478" s="128">
        <f t="shared" si="688"/>
        <v>0</v>
      </c>
      <c r="AB478" s="128">
        <f t="shared" si="651"/>
        <v>2671945846.21</v>
      </c>
      <c r="AC478" s="175">
        <f t="shared" si="621"/>
        <v>1</v>
      </c>
    </row>
    <row r="479" spans="2:29" ht="28.5" x14ac:dyDescent="0.2">
      <c r="B479" s="76" t="s">
        <v>1486</v>
      </c>
      <c r="C479" s="77" t="s">
        <v>1487</v>
      </c>
      <c r="D479" s="41"/>
      <c r="E479" s="188">
        <f>SUM('ADICIONES  2021'!C479:I479)</f>
        <v>2934254218.5999999</v>
      </c>
      <c r="F479" s="41"/>
      <c r="G479" s="41"/>
      <c r="H479" s="41"/>
      <c r="I479" s="41"/>
      <c r="J479" s="41"/>
      <c r="K479" s="128">
        <f t="shared" si="647"/>
        <v>2934254218.5999999</v>
      </c>
      <c r="L479" s="41"/>
      <c r="M479" s="41"/>
      <c r="N479" s="41"/>
      <c r="O479" s="41"/>
      <c r="P479" s="41">
        <v>2934254218.5999999</v>
      </c>
      <c r="Q479" s="409"/>
      <c r="R479" s="128">
        <f t="shared" si="649"/>
        <v>2934254218.5999999</v>
      </c>
      <c r="S479" s="41"/>
      <c r="T479" s="41"/>
      <c r="U479" s="41"/>
      <c r="V479" s="41"/>
      <c r="W479" s="41"/>
      <c r="X479" s="41"/>
      <c r="Y479" s="41"/>
      <c r="Z479" s="41"/>
      <c r="AA479" s="128">
        <f t="shared" si="688"/>
        <v>0</v>
      </c>
      <c r="AB479" s="128">
        <f t="shared" si="651"/>
        <v>2934254218.5999999</v>
      </c>
      <c r="AC479" s="175">
        <f t="shared" si="621"/>
        <v>1</v>
      </c>
    </row>
    <row r="480" spans="2:29" ht="14.25" x14ac:dyDescent="0.2">
      <c r="B480" s="76" t="s">
        <v>1488</v>
      </c>
      <c r="C480" s="77" t="s">
        <v>1489</v>
      </c>
      <c r="D480" s="41"/>
      <c r="E480" s="188">
        <f>SUM('ADICIONES  2021'!C480:I480)</f>
        <v>61272454.5</v>
      </c>
      <c r="F480" s="41"/>
      <c r="G480" s="41"/>
      <c r="H480" s="41"/>
      <c r="I480" s="41"/>
      <c r="J480" s="41"/>
      <c r="K480" s="128">
        <f t="shared" si="647"/>
        <v>61272454.5</v>
      </c>
      <c r="L480" s="41"/>
      <c r="M480" s="41"/>
      <c r="N480" s="41"/>
      <c r="O480" s="41"/>
      <c r="P480" s="41">
        <v>61272454.5</v>
      </c>
      <c r="Q480" s="409"/>
      <c r="R480" s="128">
        <f t="shared" si="649"/>
        <v>61272454.5</v>
      </c>
      <c r="S480" s="41"/>
      <c r="T480" s="41"/>
      <c r="U480" s="41"/>
      <c r="V480" s="41"/>
      <c r="W480" s="41"/>
      <c r="X480" s="41"/>
      <c r="Y480" s="41"/>
      <c r="Z480" s="41"/>
      <c r="AA480" s="128">
        <f t="shared" ref="AA480:AA543" si="703">SUM(S480:Z480)</f>
        <v>0</v>
      </c>
      <c r="AB480" s="128">
        <f t="shared" si="651"/>
        <v>61272454.5</v>
      </c>
      <c r="AC480" s="175">
        <f t="shared" si="621"/>
        <v>1</v>
      </c>
    </row>
    <row r="481" spans="2:29" ht="14.25" x14ac:dyDescent="0.2">
      <c r="B481" s="76" t="s">
        <v>1490</v>
      </c>
      <c r="C481" s="77" t="s">
        <v>1491</v>
      </c>
      <c r="D481" s="41"/>
      <c r="E481" s="188">
        <f>SUM('ADICIONES  2021'!C481:I481)</f>
        <v>2771081609.77</v>
      </c>
      <c r="F481" s="41"/>
      <c r="G481" s="41"/>
      <c r="H481" s="41"/>
      <c r="I481" s="41"/>
      <c r="J481" s="41"/>
      <c r="K481" s="128">
        <f t="shared" si="647"/>
        <v>2771081609.77</v>
      </c>
      <c r="L481" s="41"/>
      <c r="M481" s="41"/>
      <c r="N481" s="41"/>
      <c r="O481" s="41"/>
      <c r="P481" s="41">
        <v>2771081609.77</v>
      </c>
      <c r="Q481" s="409"/>
      <c r="R481" s="128">
        <f t="shared" si="649"/>
        <v>2771081609.77</v>
      </c>
      <c r="S481" s="41"/>
      <c r="T481" s="41"/>
      <c r="U481" s="41"/>
      <c r="V481" s="41"/>
      <c r="W481" s="41"/>
      <c r="X481" s="41"/>
      <c r="Y481" s="41"/>
      <c r="Z481" s="41"/>
      <c r="AA481" s="128">
        <f t="shared" si="703"/>
        <v>0</v>
      </c>
      <c r="AB481" s="128">
        <f t="shared" si="651"/>
        <v>2771081609.77</v>
      </c>
      <c r="AC481" s="175">
        <f t="shared" si="621"/>
        <v>1</v>
      </c>
    </row>
    <row r="482" spans="2:29" ht="15.75" x14ac:dyDescent="0.2">
      <c r="B482" s="81" t="s">
        <v>1492</v>
      </c>
      <c r="C482" s="79" t="s">
        <v>1493</v>
      </c>
      <c r="D482" s="146">
        <f>SUM(D483:D486)</f>
        <v>0</v>
      </c>
      <c r="E482" s="187">
        <f>SUM('ADICIONES  2021'!C482:I482)</f>
        <v>6120619248.2299995</v>
      </c>
      <c r="F482" s="146">
        <f>SUM(F483:F486)</f>
        <v>0</v>
      </c>
      <c r="G482" s="146">
        <f>SUM(G483:G486)</f>
        <v>0</v>
      </c>
      <c r="H482" s="146">
        <f>SUM(H483:H486)</f>
        <v>0</v>
      </c>
      <c r="I482" s="146">
        <f>SUM(I483:I486)</f>
        <v>0</v>
      </c>
      <c r="J482" s="146">
        <f>SUM(J483:J486)</f>
        <v>0</v>
      </c>
      <c r="K482" s="128">
        <f t="shared" si="647"/>
        <v>6120619248.2299995</v>
      </c>
      <c r="L482" s="146">
        <f t="shared" ref="L482:Q482" si="704">SUM(L483:L486)</f>
        <v>0</v>
      </c>
      <c r="M482" s="146">
        <f t="shared" si="704"/>
        <v>0</v>
      </c>
      <c r="N482" s="146">
        <f t="shared" si="704"/>
        <v>0</v>
      </c>
      <c r="O482" s="146">
        <f t="shared" si="704"/>
        <v>0</v>
      </c>
      <c r="P482" s="146">
        <f t="shared" si="704"/>
        <v>6120619248.2299995</v>
      </c>
      <c r="Q482" s="411">
        <f t="shared" si="704"/>
        <v>0</v>
      </c>
      <c r="R482" s="128">
        <f t="shared" si="649"/>
        <v>6120619248.2299995</v>
      </c>
      <c r="S482" s="146">
        <f t="shared" ref="S482:Z482" si="705">SUM(S483:S486)</f>
        <v>0</v>
      </c>
      <c r="T482" s="146">
        <f t="shared" si="705"/>
        <v>0</v>
      </c>
      <c r="U482" s="146">
        <f t="shared" si="705"/>
        <v>0</v>
      </c>
      <c r="V482" s="146">
        <f t="shared" si="705"/>
        <v>0</v>
      </c>
      <c r="W482" s="146">
        <f t="shared" si="705"/>
        <v>0</v>
      </c>
      <c r="X482" s="146">
        <f t="shared" si="705"/>
        <v>0</v>
      </c>
      <c r="Y482" s="146">
        <f t="shared" si="705"/>
        <v>0</v>
      </c>
      <c r="Z482" s="146">
        <f t="shared" si="705"/>
        <v>0</v>
      </c>
      <c r="AA482" s="128">
        <f t="shared" si="703"/>
        <v>0</v>
      </c>
      <c r="AB482" s="128">
        <f t="shared" si="651"/>
        <v>6120619248.2299995</v>
      </c>
      <c r="AC482" s="175">
        <f t="shared" si="621"/>
        <v>1</v>
      </c>
    </row>
    <row r="483" spans="2:29" ht="14.25" x14ac:dyDescent="0.2">
      <c r="B483" s="76" t="s">
        <v>1494</v>
      </c>
      <c r="C483" s="77" t="s">
        <v>1495</v>
      </c>
      <c r="D483" s="41"/>
      <c r="E483" s="188">
        <f>SUM('ADICIONES  2021'!C483:I483)</f>
        <v>391955142.67000002</v>
      </c>
      <c r="F483" s="41"/>
      <c r="G483" s="41"/>
      <c r="H483" s="41"/>
      <c r="I483" s="41"/>
      <c r="J483" s="41"/>
      <c r="K483" s="128">
        <f t="shared" si="647"/>
        <v>391955142.67000002</v>
      </c>
      <c r="L483" s="41"/>
      <c r="M483" s="41"/>
      <c r="N483" s="41"/>
      <c r="O483" s="41"/>
      <c r="P483" s="41">
        <v>391955142.67000002</v>
      </c>
      <c r="Q483" s="409"/>
      <c r="R483" s="128">
        <f t="shared" si="649"/>
        <v>391955142.67000002</v>
      </c>
      <c r="S483" s="41"/>
      <c r="T483" s="41"/>
      <c r="U483" s="41"/>
      <c r="V483" s="41"/>
      <c r="W483" s="41"/>
      <c r="X483" s="41"/>
      <c r="Y483" s="41"/>
      <c r="Z483" s="41"/>
      <c r="AA483" s="128">
        <f t="shared" si="703"/>
        <v>0</v>
      </c>
      <c r="AB483" s="128">
        <f t="shared" si="651"/>
        <v>391955142.67000002</v>
      </c>
      <c r="AC483" s="175">
        <f t="shared" si="621"/>
        <v>1</v>
      </c>
    </row>
    <row r="484" spans="2:29" ht="14.25" x14ac:dyDescent="0.2">
      <c r="B484" s="76" t="s">
        <v>1496</v>
      </c>
      <c r="C484" s="77" t="s">
        <v>1497</v>
      </c>
      <c r="D484" s="41"/>
      <c r="E484" s="188">
        <f>SUM('ADICIONES  2021'!C484:I484)</f>
        <v>469938850.06999999</v>
      </c>
      <c r="F484" s="41"/>
      <c r="G484" s="41"/>
      <c r="H484" s="41"/>
      <c r="I484" s="41"/>
      <c r="J484" s="41"/>
      <c r="K484" s="128">
        <f t="shared" si="647"/>
        <v>469938850.06999999</v>
      </c>
      <c r="L484" s="41"/>
      <c r="M484" s="41"/>
      <c r="N484" s="41"/>
      <c r="O484" s="41"/>
      <c r="P484" s="41">
        <v>469938850.06999999</v>
      </c>
      <c r="Q484" s="409"/>
      <c r="R484" s="128">
        <f t="shared" si="649"/>
        <v>469938850.06999999</v>
      </c>
      <c r="S484" s="41"/>
      <c r="T484" s="41"/>
      <c r="U484" s="41"/>
      <c r="V484" s="41"/>
      <c r="W484" s="41"/>
      <c r="X484" s="41"/>
      <c r="Y484" s="41"/>
      <c r="Z484" s="41"/>
      <c r="AA484" s="128">
        <f t="shared" si="703"/>
        <v>0</v>
      </c>
      <c r="AB484" s="128">
        <f t="shared" si="651"/>
        <v>469938850.06999999</v>
      </c>
      <c r="AC484" s="175">
        <f t="shared" si="621"/>
        <v>1</v>
      </c>
    </row>
    <row r="485" spans="2:29" ht="28.5" x14ac:dyDescent="0.2">
      <c r="B485" s="76" t="s">
        <v>1498</v>
      </c>
      <c r="C485" s="77" t="s">
        <v>1499</v>
      </c>
      <c r="D485" s="41"/>
      <c r="E485" s="188">
        <f>SUM('ADICIONES  2021'!C485:I485)</f>
        <v>4878475057.2299995</v>
      </c>
      <c r="F485" s="41"/>
      <c r="G485" s="41"/>
      <c r="H485" s="41"/>
      <c r="I485" s="41"/>
      <c r="J485" s="41"/>
      <c r="K485" s="128">
        <f t="shared" si="647"/>
        <v>4878475057.2299995</v>
      </c>
      <c r="L485" s="41"/>
      <c r="M485" s="41"/>
      <c r="N485" s="41"/>
      <c r="O485" s="41"/>
      <c r="P485" s="41">
        <v>4878475057.2299995</v>
      </c>
      <c r="Q485" s="409"/>
      <c r="R485" s="128">
        <f t="shared" si="649"/>
        <v>4878475057.2299995</v>
      </c>
      <c r="S485" s="41"/>
      <c r="T485" s="41"/>
      <c r="U485" s="41"/>
      <c r="V485" s="41"/>
      <c r="W485" s="41"/>
      <c r="X485" s="41"/>
      <c r="Y485" s="41"/>
      <c r="Z485" s="41"/>
      <c r="AA485" s="128">
        <f t="shared" si="703"/>
        <v>0</v>
      </c>
      <c r="AB485" s="128">
        <f t="shared" si="651"/>
        <v>4878475057.2299995</v>
      </c>
      <c r="AC485" s="175">
        <f t="shared" si="621"/>
        <v>1</v>
      </c>
    </row>
    <row r="486" spans="2:29" ht="28.5" x14ac:dyDescent="0.2">
      <c r="B486" s="76" t="s">
        <v>1500</v>
      </c>
      <c r="C486" s="77" t="s">
        <v>1501</v>
      </c>
      <c r="D486" s="41"/>
      <c r="E486" s="188">
        <f>SUM('ADICIONES  2021'!C486:I486)</f>
        <v>380250198.25999999</v>
      </c>
      <c r="F486" s="41"/>
      <c r="G486" s="41"/>
      <c r="H486" s="41"/>
      <c r="I486" s="41"/>
      <c r="J486" s="41"/>
      <c r="K486" s="128">
        <f t="shared" si="647"/>
        <v>380250198.25999999</v>
      </c>
      <c r="L486" s="41"/>
      <c r="M486" s="41"/>
      <c r="N486" s="41"/>
      <c r="O486" s="41"/>
      <c r="P486" s="41">
        <v>380250198.25999999</v>
      </c>
      <c r="Q486" s="409"/>
      <c r="R486" s="128">
        <f t="shared" si="649"/>
        <v>380250198.25999999</v>
      </c>
      <c r="S486" s="41"/>
      <c r="T486" s="41"/>
      <c r="U486" s="41"/>
      <c r="V486" s="41"/>
      <c r="W486" s="41"/>
      <c r="X486" s="41"/>
      <c r="Y486" s="41"/>
      <c r="Z486" s="41"/>
      <c r="AA486" s="128">
        <f t="shared" si="703"/>
        <v>0</v>
      </c>
      <c r="AB486" s="128">
        <f t="shared" si="651"/>
        <v>380250198.25999999</v>
      </c>
      <c r="AC486" s="175">
        <f t="shared" si="621"/>
        <v>1</v>
      </c>
    </row>
    <row r="487" spans="2:29" ht="15.75" x14ac:dyDescent="0.2">
      <c r="B487" s="81" t="s">
        <v>1502</v>
      </c>
      <c r="C487" s="79" t="s">
        <v>1503</v>
      </c>
      <c r="D487" s="146">
        <f>SUM(D488:D489)</f>
        <v>0</v>
      </c>
      <c r="E487" s="187">
        <f>SUM('ADICIONES  2021'!C487:I487)</f>
        <v>27300121.359999999</v>
      </c>
      <c r="F487" s="146">
        <f>SUM(F488:F489)</f>
        <v>0</v>
      </c>
      <c r="G487" s="146">
        <f>SUM(G488:G489)</f>
        <v>0</v>
      </c>
      <c r="H487" s="146">
        <f>SUM(H488:H489)</f>
        <v>0</v>
      </c>
      <c r="I487" s="146">
        <f>SUM(I488:I489)</f>
        <v>0</v>
      </c>
      <c r="J487" s="146">
        <f>SUM(J488:J489)</f>
        <v>0</v>
      </c>
      <c r="K487" s="128">
        <f t="shared" si="647"/>
        <v>27300121.359999999</v>
      </c>
      <c r="L487" s="146">
        <f t="shared" ref="L487:Q487" si="706">SUM(L488:L489)</f>
        <v>0</v>
      </c>
      <c r="M487" s="146">
        <f t="shared" si="706"/>
        <v>0</v>
      </c>
      <c r="N487" s="146">
        <f t="shared" si="706"/>
        <v>0</v>
      </c>
      <c r="O487" s="146">
        <f t="shared" si="706"/>
        <v>0</v>
      </c>
      <c r="P487" s="146">
        <f t="shared" si="706"/>
        <v>27300121.359999999</v>
      </c>
      <c r="Q487" s="411">
        <f t="shared" si="706"/>
        <v>0</v>
      </c>
      <c r="R487" s="128">
        <f t="shared" si="649"/>
        <v>27300121.359999999</v>
      </c>
      <c r="S487" s="146">
        <f t="shared" ref="S487:Z487" si="707">SUM(S488:S489)</f>
        <v>0</v>
      </c>
      <c r="T487" s="146">
        <f t="shared" si="707"/>
        <v>0</v>
      </c>
      <c r="U487" s="146">
        <f t="shared" si="707"/>
        <v>0</v>
      </c>
      <c r="V487" s="146">
        <f t="shared" si="707"/>
        <v>0</v>
      </c>
      <c r="W487" s="146">
        <f t="shared" si="707"/>
        <v>0</v>
      </c>
      <c r="X487" s="146">
        <f t="shared" si="707"/>
        <v>0</v>
      </c>
      <c r="Y487" s="146">
        <f t="shared" si="707"/>
        <v>0</v>
      </c>
      <c r="Z487" s="146">
        <f t="shared" si="707"/>
        <v>0</v>
      </c>
      <c r="AA487" s="128">
        <f t="shared" si="703"/>
        <v>0</v>
      </c>
      <c r="AB487" s="128">
        <f t="shared" si="651"/>
        <v>27300121.359999999</v>
      </c>
      <c r="AC487" s="175">
        <f t="shared" si="621"/>
        <v>1</v>
      </c>
    </row>
    <row r="488" spans="2:29" ht="14.25" x14ac:dyDescent="0.2">
      <c r="B488" s="76" t="s">
        <v>1504</v>
      </c>
      <c r="C488" s="77" t="s">
        <v>1503</v>
      </c>
      <c r="D488" s="41"/>
      <c r="E488" s="188">
        <f>SUM('ADICIONES  2021'!C488:I488)</f>
        <v>2505946</v>
      </c>
      <c r="F488" s="41"/>
      <c r="G488" s="41"/>
      <c r="H488" s="41"/>
      <c r="I488" s="41"/>
      <c r="J488" s="41"/>
      <c r="K488" s="128">
        <f t="shared" si="647"/>
        <v>2505946</v>
      </c>
      <c r="L488" s="41"/>
      <c r="M488" s="41"/>
      <c r="N488" s="41"/>
      <c r="O488" s="41"/>
      <c r="P488" s="41">
        <v>2505946</v>
      </c>
      <c r="Q488" s="409"/>
      <c r="R488" s="128">
        <f t="shared" si="649"/>
        <v>2505946</v>
      </c>
      <c r="S488" s="41"/>
      <c r="T488" s="41"/>
      <c r="U488" s="41"/>
      <c r="V488" s="41"/>
      <c r="W488" s="41"/>
      <c r="X488" s="41"/>
      <c r="Y488" s="41"/>
      <c r="Z488" s="41"/>
      <c r="AA488" s="128">
        <f t="shared" si="703"/>
        <v>0</v>
      </c>
      <c r="AB488" s="128">
        <f t="shared" si="651"/>
        <v>2505946</v>
      </c>
      <c r="AC488" s="175">
        <f t="shared" si="621"/>
        <v>1</v>
      </c>
    </row>
    <row r="489" spans="2:29" ht="14.25" x14ac:dyDescent="0.2">
      <c r="B489" s="76" t="s">
        <v>1505</v>
      </c>
      <c r="C489" s="77" t="s">
        <v>1506</v>
      </c>
      <c r="D489" s="41"/>
      <c r="E489" s="188">
        <f>SUM('ADICIONES  2021'!C489:I489)</f>
        <v>24794175.359999999</v>
      </c>
      <c r="F489" s="41"/>
      <c r="G489" s="41"/>
      <c r="H489" s="41"/>
      <c r="I489" s="41"/>
      <c r="J489" s="41"/>
      <c r="K489" s="128">
        <f t="shared" si="647"/>
        <v>24794175.359999999</v>
      </c>
      <c r="L489" s="41"/>
      <c r="M489" s="41"/>
      <c r="N489" s="41"/>
      <c r="O489" s="41"/>
      <c r="P489" s="41">
        <v>24794175.359999999</v>
      </c>
      <c r="Q489" s="409"/>
      <c r="R489" s="128">
        <f t="shared" si="649"/>
        <v>24794175.359999999</v>
      </c>
      <c r="S489" s="41"/>
      <c r="T489" s="41"/>
      <c r="U489" s="41"/>
      <c r="V489" s="41"/>
      <c r="W489" s="41"/>
      <c r="X489" s="41"/>
      <c r="Y489" s="41"/>
      <c r="Z489" s="41"/>
      <c r="AA489" s="128">
        <f t="shared" si="703"/>
        <v>0</v>
      </c>
      <c r="AB489" s="128">
        <f t="shared" si="651"/>
        <v>24794175.359999999</v>
      </c>
      <c r="AC489" s="175">
        <f t="shared" si="621"/>
        <v>1</v>
      </c>
    </row>
    <row r="490" spans="2:29" ht="15.75" x14ac:dyDescent="0.2">
      <c r="B490" s="81" t="s">
        <v>1507</v>
      </c>
      <c r="C490" s="79" t="s">
        <v>1508</v>
      </c>
      <c r="D490" s="146">
        <f>SUM(D491:D492)</f>
        <v>0</v>
      </c>
      <c r="E490" s="187">
        <f>SUM('ADICIONES  2021'!C490:I490)</f>
        <v>2574669714.0699997</v>
      </c>
      <c r="F490" s="146">
        <f>SUM(F491:F492)</f>
        <v>0</v>
      </c>
      <c r="G490" s="146">
        <f>SUM(G491:G492)</f>
        <v>0</v>
      </c>
      <c r="H490" s="146">
        <f>SUM(H491:H492)</f>
        <v>0</v>
      </c>
      <c r="I490" s="146">
        <f>SUM(I491:I492)</f>
        <v>0</v>
      </c>
      <c r="J490" s="146">
        <f>SUM(J491:J492)</f>
        <v>0</v>
      </c>
      <c r="K490" s="128">
        <f t="shared" si="647"/>
        <v>2574669714.0699997</v>
      </c>
      <c r="L490" s="146">
        <f t="shared" ref="L490:Q490" si="708">SUM(L491:L492)</f>
        <v>0</v>
      </c>
      <c r="M490" s="146">
        <f t="shared" si="708"/>
        <v>0</v>
      </c>
      <c r="N490" s="146">
        <f t="shared" si="708"/>
        <v>0</v>
      </c>
      <c r="O490" s="146">
        <f t="shared" si="708"/>
        <v>0</v>
      </c>
      <c r="P490" s="146">
        <f t="shared" si="708"/>
        <v>2574669714.0699997</v>
      </c>
      <c r="Q490" s="411">
        <f t="shared" si="708"/>
        <v>0</v>
      </c>
      <c r="R490" s="128">
        <f t="shared" si="649"/>
        <v>2574669714.0699997</v>
      </c>
      <c r="S490" s="146">
        <f t="shared" ref="S490:Z490" si="709">SUM(S491:S492)</f>
        <v>0</v>
      </c>
      <c r="T490" s="146">
        <f t="shared" si="709"/>
        <v>0</v>
      </c>
      <c r="U490" s="146">
        <f t="shared" si="709"/>
        <v>0</v>
      </c>
      <c r="V490" s="146">
        <f t="shared" si="709"/>
        <v>0</v>
      </c>
      <c r="W490" s="146">
        <f t="shared" si="709"/>
        <v>0</v>
      </c>
      <c r="X490" s="146">
        <f t="shared" si="709"/>
        <v>0</v>
      </c>
      <c r="Y490" s="146">
        <f t="shared" si="709"/>
        <v>0</v>
      </c>
      <c r="Z490" s="146">
        <f t="shared" si="709"/>
        <v>0</v>
      </c>
      <c r="AA490" s="128">
        <f t="shared" si="703"/>
        <v>0</v>
      </c>
      <c r="AB490" s="128">
        <f t="shared" si="651"/>
        <v>2574669714.0699997</v>
      </c>
      <c r="AC490" s="175">
        <f t="shared" si="621"/>
        <v>1</v>
      </c>
    </row>
    <row r="491" spans="2:29" ht="14.25" x14ac:dyDescent="0.2">
      <c r="B491" s="76" t="s">
        <v>1509</v>
      </c>
      <c r="C491" s="77" t="s">
        <v>1508</v>
      </c>
      <c r="D491" s="41"/>
      <c r="E491" s="188">
        <f>SUM('ADICIONES  2021'!C491:I491)</f>
        <v>1979873863.0699999</v>
      </c>
      <c r="F491" s="41"/>
      <c r="G491" s="41"/>
      <c r="H491" s="41"/>
      <c r="I491" s="41"/>
      <c r="J491" s="41"/>
      <c r="K491" s="128">
        <f t="shared" si="647"/>
        <v>1979873863.0699999</v>
      </c>
      <c r="L491" s="41"/>
      <c r="M491" s="41"/>
      <c r="N491" s="41"/>
      <c r="O491" s="41"/>
      <c r="P491" s="41">
        <v>1979873863.0699999</v>
      </c>
      <c r="Q491" s="409"/>
      <c r="R491" s="128">
        <f t="shared" si="649"/>
        <v>1979873863.0699999</v>
      </c>
      <c r="S491" s="41"/>
      <c r="T491" s="41"/>
      <c r="U491" s="41"/>
      <c r="V491" s="41"/>
      <c r="W491" s="41"/>
      <c r="X491" s="41"/>
      <c r="Y491" s="41"/>
      <c r="Z491" s="41"/>
      <c r="AA491" s="128">
        <f t="shared" si="703"/>
        <v>0</v>
      </c>
      <c r="AB491" s="128">
        <f t="shared" si="651"/>
        <v>1979873863.0699999</v>
      </c>
      <c r="AC491" s="175">
        <f t="shared" si="621"/>
        <v>1</v>
      </c>
    </row>
    <row r="492" spans="2:29" ht="14.25" x14ac:dyDescent="0.2">
      <c r="B492" s="76" t="s">
        <v>1510</v>
      </c>
      <c r="C492" s="77" t="s">
        <v>1511</v>
      </c>
      <c r="D492" s="41"/>
      <c r="E492" s="188">
        <f>SUM('ADICIONES  2021'!C492:I492)</f>
        <v>594795851</v>
      </c>
      <c r="F492" s="41"/>
      <c r="G492" s="41"/>
      <c r="H492" s="41"/>
      <c r="I492" s="41"/>
      <c r="J492" s="41"/>
      <c r="K492" s="128">
        <f t="shared" si="647"/>
        <v>594795851</v>
      </c>
      <c r="L492" s="41"/>
      <c r="M492" s="41"/>
      <c r="N492" s="41"/>
      <c r="O492" s="41"/>
      <c r="P492" s="41">
        <v>594795851</v>
      </c>
      <c r="Q492" s="409"/>
      <c r="R492" s="128">
        <f t="shared" si="649"/>
        <v>594795851</v>
      </c>
      <c r="S492" s="41"/>
      <c r="T492" s="41"/>
      <c r="U492" s="41"/>
      <c r="V492" s="41"/>
      <c r="W492" s="41"/>
      <c r="X492" s="41"/>
      <c r="Y492" s="41"/>
      <c r="Z492" s="41"/>
      <c r="AA492" s="128">
        <f t="shared" si="703"/>
        <v>0</v>
      </c>
      <c r="AB492" s="128">
        <f t="shared" si="651"/>
        <v>594795851</v>
      </c>
      <c r="AC492" s="175">
        <f t="shared" si="621"/>
        <v>1</v>
      </c>
    </row>
    <row r="493" spans="2:29" ht="15.75" x14ac:dyDescent="0.2">
      <c r="B493" s="81" t="s">
        <v>1512</v>
      </c>
      <c r="C493" s="79" t="s">
        <v>1513</v>
      </c>
      <c r="D493" s="146">
        <f>+D494</f>
        <v>0</v>
      </c>
      <c r="E493" s="187">
        <f>SUM('ADICIONES  2021'!C493:I493)</f>
        <v>8931257.5099999998</v>
      </c>
      <c r="F493" s="146">
        <f>+F494</f>
        <v>0</v>
      </c>
      <c r="G493" s="146">
        <f>+G494</f>
        <v>0</v>
      </c>
      <c r="H493" s="146">
        <f>+H494</f>
        <v>0</v>
      </c>
      <c r="I493" s="146">
        <f>+I494</f>
        <v>0</v>
      </c>
      <c r="J493" s="146">
        <f>+J494</f>
        <v>0</v>
      </c>
      <c r="K493" s="128">
        <f t="shared" si="647"/>
        <v>8931257.5099999998</v>
      </c>
      <c r="L493" s="146">
        <f t="shared" ref="L493:Q493" si="710">+L494</f>
        <v>0</v>
      </c>
      <c r="M493" s="146">
        <f t="shared" si="710"/>
        <v>0</v>
      </c>
      <c r="N493" s="146">
        <f t="shared" si="710"/>
        <v>0</v>
      </c>
      <c r="O493" s="146">
        <f t="shared" si="710"/>
        <v>0</v>
      </c>
      <c r="P493" s="146">
        <f t="shared" si="710"/>
        <v>8931257.5099999998</v>
      </c>
      <c r="Q493" s="411">
        <f t="shared" si="710"/>
        <v>0</v>
      </c>
      <c r="R493" s="128">
        <f t="shared" si="649"/>
        <v>8931257.5099999998</v>
      </c>
      <c r="S493" s="146">
        <f t="shared" ref="S493:Z493" si="711">+S494</f>
        <v>0</v>
      </c>
      <c r="T493" s="146">
        <f t="shared" si="711"/>
        <v>0</v>
      </c>
      <c r="U493" s="146">
        <f t="shared" si="711"/>
        <v>0</v>
      </c>
      <c r="V493" s="146">
        <f t="shared" si="711"/>
        <v>0</v>
      </c>
      <c r="W493" s="146">
        <f t="shared" si="711"/>
        <v>0</v>
      </c>
      <c r="X493" s="146">
        <f t="shared" si="711"/>
        <v>0</v>
      </c>
      <c r="Y493" s="146">
        <f t="shared" si="711"/>
        <v>0</v>
      </c>
      <c r="Z493" s="146">
        <f t="shared" si="711"/>
        <v>0</v>
      </c>
      <c r="AA493" s="128">
        <f t="shared" si="703"/>
        <v>0</v>
      </c>
      <c r="AB493" s="128">
        <f t="shared" si="651"/>
        <v>8931257.5099999998</v>
      </c>
      <c r="AC493" s="175">
        <f t="shared" si="621"/>
        <v>1</v>
      </c>
    </row>
    <row r="494" spans="2:29" ht="14.25" x14ac:dyDescent="0.2">
      <c r="B494" s="76" t="s">
        <v>1514</v>
      </c>
      <c r="C494" s="77" t="s">
        <v>1513</v>
      </c>
      <c r="D494" s="41"/>
      <c r="E494" s="188">
        <f>SUM('ADICIONES  2021'!C494:I494)</f>
        <v>8931257.5099999998</v>
      </c>
      <c r="F494" s="41"/>
      <c r="G494" s="41"/>
      <c r="H494" s="41"/>
      <c r="I494" s="41"/>
      <c r="J494" s="41"/>
      <c r="K494" s="128">
        <f t="shared" si="647"/>
        <v>8931257.5099999998</v>
      </c>
      <c r="L494" s="41"/>
      <c r="M494" s="41"/>
      <c r="N494" s="41"/>
      <c r="O494" s="41"/>
      <c r="P494" s="41">
        <v>8931257.5099999998</v>
      </c>
      <c r="Q494" s="409"/>
      <c r="R494" s="128">
        <f t="shared" si="649"/>
        <v>8931257.5099999998</v>
      </c>
      <c r="S494" s="41"/>
      <c r="T494" s="41"/>
      <c r="U494" s="41"/>
      <c r="V494" s="41"/>
      <c r="W494" s="41"/>
      <c r="X494" s="41"/>
      <c r="Y494" s="41"/>
      <c r="Z494" s="41"/>
      <c r="AA494" s="128">
        <f t="shared" si="703"/>
        <v>0</v>
      </c>
      <c r="AB494" s="128">
        <f t="shared" si="651"/>
        <v>8931257.5099999998</v>
      </c>
      <c r="AC494" s="175">
        <f t="shared" si="621"/>
        <v>1</v>
      </c>
    </row>
    <row r="495" spans="2:29" ht="15.75" x14ac:dyDescent="0.2">
      <c r="B495" s="81" t="s">
        <v>1515</v>
      </c>
      <c r="C495" s="79" t="s">
        <v>1516</v>
      </c>
      <c r="D495" s="146">
        <f>+D496</f>
        <v>0</v>
      </c>
      <c r="E495" s="187">
        <f>SUM('ADICIONES  2021'!C495:I495)</f>
        <v>500660949.22000003</v>
      </c>
      <c r="F495" s="146">
        <f>+F496</f>
        <v>0</v>
      </c>
      <c r="G495" s="146">
        <f>+G496</f>
        <v>0</v>
      </c>
      <c r="H495" s="146">
        <f>+H496</f>
        <v>0</v>
      </c>
      <c r="I495" s="146">
        <f>+I496</f>
        <v>0</v>
      </c>
      <c r="J495" s="146">
        <f>+J496</f>
        <v>0</v>
      </c>
      <c r="K495" s="128">
        <f t="shared" si="647"/>
        <v>500660949.22000003</v>
      </c>
      <c r="L495" s="146">
        <f t="shared" ref="L495:Q495" si="712">+L496</f>
        <v>0</v>
      </c>
      <c r="M495" s="146">
        <f t="shared" si="712"/>
        <v>0</v>
      </c>
      <c r="N495" s="146">
        <f t="shared" si="712"/>
        <v>0</v>
      </c>
      <c r="O495" s="146">
        <f t="shared" si="712"/>
        <v>0</v>
      </c>
      <c r="P495" s="146">
        <f t="shared" si="712"/>
        <v>500660949.22000003</v>
      </c>
      <c r="Q495" s="411">
        <f t="shared" si="712"/>
        <v>0</v>
      </c>
      <c r="R495" s="128">
        <f t="shared" si="649"/>
        <v>500660949.22000003</v>
      </c>
      <c r="S495" s="146">
        <f t="shared" ref="S495:Z495" si="713">+S496</f>
        <v>0</v>
      </c>
      <c r="T495" s="146">
        <f t="shared" si="713"/>
        <v>0</v>
      </c>
      <c r="U495" s="146">
        <f t="shared" si="713"/>
        <v>0</v>
      </c>
      <c r="V495" s="146">
        <f t="shared" si="713"/>
        <v>0</v>
      </c>
      <c r="W495" s="146">
        <f t="shared" si="713"/>
        <v>0</v>
      </c>
      <c r="X495" s="146">
        <f t="shared" si="713"/>
        <v>0</v>
      </c>
      <c r="Y495" s="146">
        <f t="shared" si="713"/>
        <v>0</v>
      </c>
      <c r="Z495" s="146">
        <f t="shared" si="713"/>
        <v>0</v>
      </c>
      <c r="AA495" s="128">
        <f t="shared" si="703"/>
        <v>0</v>
      </c>
      <c r="AB495" s="128">
        <f t="shared" si="651"/>
        <v>500660949.22000003</v>
      </c>
      <c r="AC495" s="175">
        <f t="shared" si="621"/>
        <v>1</v>
      </c>
    </row>
    <row r="496" spans="2:29" ht="14.25" x14ac:dyDescent="0.2">
      <c r="B496" s="76" t="s">
        <v>1517</v>
      </c>
      <c r="C496" s="77" t="s">
        <v>1516</v>
      </c>
      <c r="D496" s="41"/>
      <c r="E496" s="188">
        <f>SUM('ADICIONES  2021'!C496:I496)</f>
        <v>500660949.22000003</v>
      </c>
      <c r="F496" s="41"/>
      <c r="G496" s="41"/>
      <c r="H496" s="41"/>
      <c r="I496" s="41"/>
      <c r="J496" s="41"/>
      <c r="K496" s="128">
        <f t="shared" si="647"/>
        <v>500660949.22000003</v>
      </c>
      <c r="L496" s="41"/>
      <c r="M496" s="41"/>
      <c r="N496" s="41"/>
      <c r="O496" s="41"/>
      <c r="P496" s="41">
        <v>500660949.22000003</v>
      </c>
      <c r="Q496" s="409"/>
      <c r="R496" s="128">
        <f t="shared" si="649"/>
        <v>500660949.22000003</v>
      </c>
      <c r="S496" s="41"/>
      <c r="T496" s="41"/>
      <c r="U496" s="41"/>
      <c r="V496" s="41"/>
      <c r="W496" s="41"/>
      <c r="X496" s="41"/>
      <c r="Y496" s="41"/>
      <c r="Z496" s="41"/>
      <c r="AA496" s="128">
        <f t="shared" si="703"/>
        <v>0</v>
      </c>
      <c r="AB496" s="128">
        <f t="shared" si="651"/>
        <v>500660949.22000003</v>
      </c>
      <c r="AC496" s="175">
        <f t="shared" si="621"/>
        <v>1</v>
      </c>
    </row>
    <row r="497" spans="2:29" ht="15.75" x14ac:dyDescent="0.2">
      <c r="B497" s="81" t="s">
        <v>1518</v>
      </c>
      <c r="C497" s="79" t="s">
        <v>1519</v>
      </c>
      <c r="D497" s="146">
        <f>+D498</f>
        <v>0</v>
      </c>
      <c r="E497" s="187">
        <f>SUM('ADICIONES  2021'!C497:I497)</f>
        <v>298898995.22000003</v>
      </c>
      <c r="F497" s="146">
        <f>+F498</f>
        <v>0</v>
      </c>
      <c r="G497" s="146">
        <f>+G498</f>
        <v>0</v>
      </c>
      <c r="H497" s="146">
        <f>+H498</f>
        <v>0</v>
      </c>
      <c r="I497" s="146">
        <f>+I498</f>
        <v>0</v>
      </c>
      <c r="J497" s="146">
        <f>+J498</f>
        <v>0</v>
      </c>
      <c r="K497" s="128">
        <f t="shared" si="647"/>
        <v>298898995.22000003</v>
      </c>
      <c r="L497" s="146">
        <f t="shared" ref="L497:Q497" si="714">+L498</f>
        <v>0</v>
      </c>
      <c r="M497" s="146">
        <f t="shared" si="714"/>
        <v>0</v>
      </c>
      <c r="N497" s="146">
        <f t="shared" si="714"/>
        <v>0</v>
      </c>
      <c r="O497" s="146">
        <f t="shared" si="714"/>
        <v>0</v>
      </c>
      <c r="P497" s="146">
        <f t="shared" si="714"/>
        <v>298898995.22000003</v>
      </c>
      <c r="Q497" s="411">
        <f t="shared" si="714"/>
        <v>0</v>
      </c>
      <c r="R497" s="128">
        <f t="shared" si="649"/>
        <v>298898995.22000003</v>
      </c>
      <c r="S497" s="146">
        <f t="shared" ref="S497:Z497" si="715">+S498</f>
        <v>0</v>
      </c>
      <c r="T497" s="146">
        <f t="shared" si="715"/>
        <v>0</v>
      </c>
      <c r="U497" s="146">
        <f t="shared" si="715"/>
        <v>0</v>
      </c>
      <c r="V497" s="146">
        <f t="shared" si="715"/>
        <v>0</v>
      </c>
      <c r="W497" s="146">
        <f t="shared" si="715"/>
        <v>0</v>
      </c>
      <c r="X497" s="146">
        <f t="shared" si="715"/>
        <v>0</v>
      </c>
      <c r="Y497" s="146">
        <f t="shared" si="715"/>
        <v>0</v>
      </c>
      <c r="Z497" s="146">
        <f t="shared" si="715"/>
        <v>0</v>
      </c>
      <c r="AA497" s="128">
        <f t="shared" si="703"/>
        <v>0</v>
      </c>
      <c r="AB497" s="128">
        <f t="shared" si="651"/>
        <v>298898995.22000003</v>
      </c>
      <c r="AC497" s="175">
        <f t="shared" si="621"/>
        <v>1</v>
      </c>
    </row>
    <row r="498" spans="2:29" ht="14.25" x14ac:dyDescent="0.2">
      <c r="B498" s="76" t="s">
        <v>1520</v>
      </c>
      <c r="C498" s="77" t="s">
        <v>1519</v>
      </c>
      <c r="D498" s="41"/>
      <c r="E498" s="188">
        <f>SUM('ADICIONES  2021'!C498:I498)</f>
        <v>298898995.22000003</v>
      </c>
      <c r="F498" s="41"/>
      <c r="G498" s="41"/>
      <c r="H498" s="41"/>
      <c r="I498" s="41"/>
      <c r="J498" s="41"/>
      <c r="K498" s="128">
        <f t="shared" si="647"/>
        <v>298898995.22000003</v>
      </c>
      <c r="L498" s="41"/>
      <c r="M498" s="41"/>
      <c r="N498" s="41"/>
      <c r="O498" s="41"/>
      <c r="P498" s="41">
        <v>298898995.22000003</v>
      </c>
      <c r="Q498" s="409"/>
      <c r="R498" s="128">
        <f t="shared" si="649"/>
        <v>298898995.22000003</v>
      </c>
      <c r="S498" s="41"/>
      <c r="T498" s="41"/>
      <c r="U498" s="41"/>
      <c r="V498" s="41"/>
      <c r="W498" s="41"/>
      <c r="X498" s="41"/>
      <c r="Y498" s="41"/>
      <c r="Z498" s="41"/>
      <c r="AA498" s="128">
        <f t="shared" si="703"/>
        <v>0</v>
      </c>
      <c r="AB498" s="128">
        <f t="shared" si="651"/>
        <v>298898995.22000003</v>
      </c>
      <c r="AC498" s="175">
        <f t="shared" si="621"/>
        <v>1</v>
      </c>
    </row>
    <row r="499" spans="2:29" ht="15.75" x14ac:dyDescent="0.2">
      <c r="B499" s="81" t="s">
        <v>1521</v>
      </c>
      <c r="C499" s="79" t="s">
        <v>1522</v>
      </c>
      <c r="D499" s="146">
        <f>+D500</f>
        <v>0</v>
      </c>
      <c r="E499" s="187">
        <f>SUM('ADICIONES  2021'!C499:I499)</f>
        <v>6785621064.1300001</v>
      </c>
      <c r="F499" s="146">
        <f>+F500</f>
        <v>0</v>
      </c>
      <c r="G499" s="146">
        <f>+G500</f>
        <v>0</v>
      </c>
      <c r="H499" s="146">
        <f>+H500</f>
        <v>0</v>
      </c>
      <c r="I499" s="146">
        <f>+I500</f>
        <v>0</v>
      </c>
      <c r="J499" s="146">
        <f>+J500</f>
        <v>0</v>
      </c>
      <c r="K499" s="128">
        <f t="shared" si="647"/>
        <v>6785621064.1300001</v>
      </c>
      <c r="L499" s="146">
        <f t="shared" ref="L499:Q499" si="716">+L500</f>
        <v>0</v>
      </c>
      <c r="M499" s="146">
        <f t="shared" si="716"/>
        <v>0</v>
      </c>
      <c r="N499" s="146">
        <f t="shared" si="716"/>
        <v>0</v>
      </c>
      <c r="O499" s="146">
        <f t="shared" si="716"/>
        <v>0</v>
      </c>
      <c r="P499" s="146">
        <f t="shared" si="716"/>
        <v>6785621064.1300001</v>
      </c>
      <c r="Q499" s="411">
        <f t="shared" si="716"/>
        <v>0</v>
      </c>
      <c r="R499" s="128">
        <f t="shared" si="649"/>
        <v>6785621064.1300001</v>
      </c>
      <c r="S499" s="146">
        <f t="shared" ref="S499:Z499" si="717">+S500</f>
        <v>0</v>
      </c>
      <c r="T499" s="146">
        <f t="shared" si="717"/>
        <v>0</v>
      </c>
      <c r="U499" s="146">
        <f t="shared" si="717"/>
        <v>0</v>
      </c>
      <c r="V499" s="146">
        <f t="shared" si="717"/>
        <v>0</v>
      </c>
      <c r="W499" s="146">
        <f t="shared" si="717"/>
        <v>0</v>
      </c>
      <c r="X499" s="146">
        <f t="shared" si="717"/>
        <v>0</v>
      </c>
      <c r="Y499" s="146">
        <f t="shared" si="717"/>
        <v>0</v>
      </c>
      <c r="Z499" s="146">
        <f t="shared" si="717"/>
        <v>0</v>
      </c>
      <c r="AA499" s="128">
        <f t="shared" si="703"/>
        <v>0</v>
      </c>
      <c r="AB499" s="128">
        <f t="shared" si="651"/>
        <v>6785621064.1300001</v>
      </c>
      <c r="AC499" s="175">
        <f t="shared" si="621"/>
        <v>1</v>
      </c>
    </row>
    <row r="500" spans="2:29" ht="14.25" x14ac:dyDescent="0.2">
      <c r="B500" s="76" t="s">
        <v>1523</v>
      </c>
      <c r="C500" s="77" t="s">
        <v>1522</v>
      </c>
      <c r="D500" s="41"/>
      <c r="E500" s="188">
        <f>SUM('ADICIONES  2021'!C500:I500)</f>
        <v>6785621064.1300001</v>
      </c>
      <c r="F500" s="41"/>
      <c r="G500" s="41"/>
      <c r="H500" s="41"/>
      <c r="I500" s="41"/>
      <c r="J500" s="41"/>
      <c r="K500" s="128">
        <f t="shared" si="647"/>
        <v>6785621064.1300001</v>
      </c>
      <c r="L500" s="41"/>
      <c r="M500" s="41"/>
      <c r="N500" s="41"/>
      <c r="O500" s="41"/>
      <c r="P500" s="41">
        <v>6785621064.1300001</v>
      </c>
      <c r="Q500" s="409"/>
      <c r="R500" s="128">
        <f t="shared" si="649"/>
        <v>6785621064.1300001</v>
      </c>
      <c r="S500" s="41"/>
      <c r="T500" s="41"/>
      <c r="U500" s="41"/>
      <c r="V500" s="41"/>
      <c r="W500" s="41"/>
      <c r="X500" s="41"/>
      <c r="Y500" s="41"/>
      <c r="Z500" s="41"/>
      <c r="AA500" s="128">
        <f t="shared" si="703"/>
        <v>0</v>
      </c>
      <c r="AB500" s="128">
        <f t="shared" si="651"/>
        <v>6785621064.1300001</v>
      </c>
      <c r="AC500" s="175">
        <f t="shared" si="621"/>
        <v>1</v>
      </c>
    </row>
    <row r="501" spans="2:29" ht="15.75" x14ac:dyDescent="0.2">
      <c r="B501" s="81" t="s">
        <v>1524</v>
      </c>
      <c r="C501" s="79" t="s">
        <v>1525</v>
      </c>
      <c r="D501" s="146">
        <f>+D502</f>
        <v>0</v>
      </c>
      <c r="E501" s="187">
        <f>SUM('ADICIONES  2021'!C501:I501)</f>
        <v>1014585724</v>
      </c>
      <c r="F501" s="146">
        <f>+F502</f>
        <v>0</v>
      </c>
      <c r="G501" s="146">
        <f>+G502</f>
        <v>0</v>
      </c>
      <c r="H501" s="146">
        <f>+H502</f>
        <v>0</v>
      </c>
      <c r="I501" s="146">
        <f>+I502</f>
        <v>0</v>
      </c>
      <c r="J501" s="146">
        <f>+J502</f>
        <v>0</v>
      </c>
      <c r="K501" s="128">
        <f t="shared" si="647"/>
        <v>1014585724</v>
      </c>
      <c r="L501" s="146">
        <f t="shared" ref="L501:Q501" si="718">+L502</f>
        <v>0</v>
      </c>
      <c r="M501" s="146">
        <f t="shared" si="718"/>
        <v>0</v>
      </c>
      <c r="N501" s="146">
        <f t="shared" si="718"/>
        <v>0</v>
      </c>
      <c r="O501" s="146">
        <f t="shared" si="718"/>
        <v>0</v>
      </c>
      <c r="P501" s="146">
        <f t="shared" si="718"/>
        <v>1014585724</v>
      </c>
      <c r="Q501" s="411">
        <f t="shared" si="718"/>
        <v>0</v>
      </c>
      <c r="R501" s="128">
        <f t="shared" si="649"/>
        <v>1014585724</v>
      </c>
      <c r="S501" s="146">
        <f t="shared" ref="S501:Z501" si="719">+S502</f>
        <v>0</v>
      </c>
      <c r="T501" s="146">
        <f t="shared" si="719"/>
        <v>0</v>
      </c>
      <c r="U501" s="146">
        <f t="shared" si="719"/>
        <v>0</v>
      </c>
      <c r="V501" s="146">
        <f t="shared" si="719"/>
        <v>0</v>
      </c>
      <c r="W501" s="146">
        <f t="shared" si="719"/>
        <v>0</v>
      </c>
      <c r="X501" s="146">
        <f t="shared" si="719"/>
        <v>0</v>
      </c>
      <c r="Y501" s="146">
        <f t="shared" si="719"/>
        <v>0</v>
      </c>
      <c r="Z501" s="146">
        <f t="shared" si="719"/>
        <v>0</v>
      </c>
      <c r="AA501" s="128">
        <f t="shared" si="703"/>
        <v>0</v>
      </c>
      <c r="AB501" s="128">
        <f t="shared" si="651"/>
        <v>1014585724</v>
      </c>
      <c r="AC501" s="175">
        <f t="shared" si="621"/>
        <v>1</v>
      </c>
    </row>
    <row r="502" spans="2:29" ht="14.25" x14ac:dyDescent="0.2">
      <c r="B502" s="76" t="s">
        <v>1526</v>
      </c>
      <c r="C502" s="77" t="s">
        <v>1525</v>
      </c>
      <c r="D502" s="41"/>
      <c r="E502" s="188">
        <f>SUM('ADICIONES  2021'!C502:I502)</f>
        <v>1014585724</v>
      </c>
      <c r="F502" s="41"/>
      <c r="G502" s="41"/>
      <c r="H502" s="41"/>
      <c r="I502" s="41"/>
      <c r="J502" s="41"/>
      <c r="K502" s="128">
        <f t="shared" si="647"/>
        <v>1014585724</v>
      </c>
      <c r="L502" s="41"/>
      <c r="M502" s="41"/>
      <c r="N502" s="41"/>
      <c r="O502" s="41"/>
      <c r="P502" s="41">
        <v>1014585724</v>
      </c>
      <c r="Q502" s="409"/>
      <c r="R502" s="128">
        <f t="shared" si="649"/>
        <v>1014585724</v>
      </c>
      <c r="S502" s="41"/>
      <c r="T502" s="41"/>
      <c r="U502" s="41"/>
      <c r="V502" s="41"/>
      <c r="W502" s="41"/>
      <c r="X502" s="41"/>
      <c r="Y502" s="41"/>
      <c r="Z502" s="41"/>
      <c r="AA502" s="128">
        <f t="shared" si="703"/>
        <v>0</v>
      </c>
      <c r="AB502" s="128">
        <f t="shared" si="651"/>
        <v>1014585724</v>
      </c>
      <c r="AC502" s="175">
        <f t="shared" si="621"/>
        <v>1</v>
      </c>
    </row>
    <row r="503" spans="2:29" ht="15.75" x14ac:dyDescent="0.2">
      <c r="B503" s="81" t="s">
        <v>1527</v>
      </c>
      <c r="C503" s="79" t="s">
        <v>1528</v>
      </c>
      <c r="D503" s="146">
        <f>+D504</f>
        <v>0</v>
      </c>
      <c r="E503" s="187">
        <f>SUM('ADICIONES  2021'!C503:I503)</f>
        <v>1217590140.95</v>
      </c>
      <c r="F503" s="146">
        <f>+F504</f>
        <v>0</v>
      </c>
      <c r="G503" s="146">
        <f>+G504</f>
        <v>0</v>
      </c>
      <c r="H503" s="146">
        <f>+H504</f>
        <v>0</v>
      </c>
      <c r="I503" s="146">
        <f>+I504</f>
        <v>0</v>
      </c>
      <c r="J503" s="146">
        <f>+J504</f>
        <v>0</v>
      </c>
      <c r="K503" s="128">
        <f t="shared" si="647"/>
        <v>1217590140.95</v>
      </c>
      <c r="L503" s="146">
        <f t="shared" ref="L503:Q503" si="720">+L504</f>
        <v>0</v>
      </c>
      <c r="M503" s="146">
        <f t="shared" si="720"/>
        <v>0</v>
      </c>
      <c r="N503" s="146">
        <f t="shared" si="720"/>
        <v>0</v>
      </c>
      <c r="O503" s="146">
        <f t="shared" si="720"/>
        <v>0</v>
      </c>
      <c r="P503" s="146">
        <f t="shared" si="720"/>
        <v>1217590140.95</v>
      </c>
      <c r="Q503" s="411">
        <f t="shared" si="720"/>
        <v>0</v>
      </c>
      <c r="R503" s="128">
        <f t="shared" si="649"/>
        <v>1217590140.95</v>
      </c>
      <c r="S503" s="146">
        <f t="shared" ref="S503:Z503" si="721">+S504</f>
        <v>0</v>
      </c>
      <c r="T503" s="146">
        <f t="shared" si="721"/>
        <v>0</v>
      </c>
      <c r="U503" s="146">
        <f t="shared" si="721"/>
        <v>0</v>
      </c>
      <c r="V503" s="146">
        <f t="shared" si="721"/>
        <v>0</v>
      </c>
      <c r="W503" s="146">
        <f t="shared" si="721"/>
        <v>0</v>
      </c>
      <c r="X503" s="146">
        <f t="shared" si="721"/>
        <v>0</v>
      </c>
      <c r="Y503" s="146">
        <f t="shared" si="721"/>
        <v>0</v>
      </c>
      <c r="Z503" s="146">
        <f t="shared" si="721"/>
        <v>0</v>
      </c>
      <c r="AA503" s="128">
        <f t="shared" si="703"/>
        <v>0</v>
      </c>
      <c r="AB503" s="128">
        <f t="shared" si="651"/>
        <v>1217590140.95</v>
      </c>
      <c r="AC503" s="175">
        <f t="shared" si="621"/>
        <v>1</v>
      </c>
    </row>
    <row r="504" spans="2:29" ht="14.25" x14ac:dyDescent="0.2">
      <c r="B504" s="76" t="s">
        <v>1529</v>
      </c>
      <c r="C504" s="77" t="s">
        <v>1528</v>
      </c>
      <c r="D504" s="41"/>
      <c r="E504" s="188">
        <f>SUM('ADICIONES  2021'!C504:I504)</f>
        <v>1217590140.95</v>
      </c>
      <c r="F504" s="41"/>
      <c r="G504" s="41"/>
      <c r="H504" s="41"/>
      <c r="I504" s="41"/>
      <c r="J504" s="41"/>
      <c r="K504" s="128">
        <f t="shared" si="647"/>
        <v>1217590140.95</v>
      </c>
      <c r="L504" s="41"/>
      <c r="M504" s="41"/>
      <c r="N504" s="41"/>
      <c r="O504" s="41"/>
      <c r="P504" s="41">
        <v>1217590140.95</v>
      </c>
      <c r="Q504" s="409"/>
      <c r="R504" s="128">
        <f t="shared" si="649"/>
        <v>1217590140.95</v>
      </c>
      <c r="S504" s="41"/>
      <c r="T504" s="41"/>
      <c r="U504" s="41"/>
      <c r="V504" s="41"/>
      <c r="W504" s="41"/>
      <c r="X504" s="41"/>
      <c r="Y504" s="41"/>
      <c r="Z504" s="41"/>
      <c r="AA504" s="128">
        <f t="shared" si="703"/>
        <v>0</v>
      </c>
      <c r="AB504" s="128">
        <f t="shared" si="651"/>
        <v>1217590140.95</v>
      </c>
      <c r="AC504" s="175">
        <f t="shared" si="621"/>
        <v>1</v>
      </c>
    </row>
    <row r="505" spans="2:29" ht="15.75" x14ac:dyDescent="0.2">
      <c r="B505" s="81" t="s">
        <v>1530</v>
      </c>
      <c r="C505" s="79" t="s">
        <v>1531</v>
      </c>
      <c r="D505" s="146">
        <f>+D506</f>
        <v>0</v>
      </c>
      <c r="E505" s="187">
        <f>SUM('ADICIONES  2021'!C505:I505)</f>
        <v>9066503659.1900005</v>
      </c>
      <c r="F505" s="146">
        <f>+F506</f>
        <v>0</v>
      </c>
      <c r="G505" s="146">
        <f>+G506</f>
        <v>0</v>
      </c>
      <c r="H505" s="146">
        <f>+H506</f>
        <v>0</v>
      </c>
      <c r="I505" s="146">
        <f>+I506</f>
        <v>0</v>
      </c>
      <c r="J505" s="146">
        <f>+J506</f>
        <v>0</v>
      </c>
      <c r="K505" s="128">
        <f t="shared" si="647"/>
        <v>9066503659.1900005</v>
      </c>
      <c r="L505" s="146">
        <f t="shared" ref="L505:Q505" si="722">+L506</f>
        <v>0</v>
      </c>
      <c r="M505" s="146">
        <f t="shared" si="722"/>
        <v>0</v>
      </c>
      <c r="N505" s="146">
        <f t="shared" si="722"/>
        <v>0</v>
      </c>
      <c r="O505" s="146">
        <f t="shared" si="722"/>
        <v>0</v>
      </c>
      <c r="P505" s="146">
        <f t="shared" si="722"/>
        <v>9066503659.1900005</v>
      </c>
      <c r="Q505" s="411">
        <f t="shared" si="722"/>
        <v>0</v>
      </c>
      <c r="R505" s="128">
        <f t="shared" si="649"/>
        <v>9066503659.1900005</v>
      </c>
      <c r="S505" s="146">
        <f t="shared" ref="S505:Z505" si="723">+S506</f>
        <v>0</v>
      </c>
      <c r="T505" s="146">
        <f t="shared" si="723"/>
        <v>0</v>
      </c>
      <c r="U505" s="146">
        <f t="shared" si="723"/>
        <v>0</v>
      </c>
      <c r="V505" s="146">
        <f t="shared" si="723"/>
        <v>0</v>
      </c>
      <c r="W505" s="146">
        <f t="shared" si="723"/>
        <v>0</v>
      </c>
      <c r="X505" s="146">
        <f t="shared" si="723"/>
        <v>0</v>
      </c>
      <c r="Y505" s="146">
        <f t="shared" si="723"/>
        <v>0</v>
      </c>
      <c r="Z505" s="146">
        <f t="shared" si="723"/>
        <v>0</v>
      </c>
      <c r="AA505" s="128">
        <f t="shared" si="703"/>
        <v>0</v>
      </c>
      <c r="AB505" s="128">
        <f t="shared" si="651"/>
        <v>9066503659.1900005</v>
      </c>
      <c r="AC505" s="175">
        <f t="shared" si="621"/>
        <v>1</v>
      </c>
    </row>
    <row r="506" spans="2:29" ht="14.25" x14ac:dyDescent="0.2">
      <c r="B506" s="76" t="s">
        <v>1532</v>
      </c>
      <c r="C506" s="77" t="s">
        <v>1531</v>
      </c>
      <c r="D506" s="41"/>
      <c r="E506" s="188">
        <f>SUM('ADICIONES  2021'!C506:I506)</f>
        <v>9066503659.1900005</v>
      </c>
      <c r="F506" s="41"/>
      <c r="G506" s="41"/>
      <c r="H506" s="41"/>
      <c r="I506" s="41"/>
      <c r="J506" s="41"/>
      <c r="K506" s="128">
        <f t="shared" si="647"/>
        <v>9066503659.1900005</v>
      </c>
      <c r="L506" s="41"/>
      <c r="M506" s="41"/>
      <c r="N506" s="41"/>
      <c r="O506" s="41"/>
      <c r="P506" s="41">
        <v>9066503659.1900005</v>
      </c>
      <c r="Q506" s="409"/>
      <c r="R506" s="128">
        <f t="shared" si="649"/>
        <v>9066503659.1900005</v>
      </c>
      <c r="S506" s="41"/>
      <c r="T506" s="41"/>
      <c r="U506" s="41"/>
      <c r="V506" s="41"/>
      <c r="W506" s="41"/>
      <c r="X506" s="41"/>
      <c r="Y506" s="41"/>
      <c r="Z506" s="41"/>
      <c r="AA506" s="128">
        <f t="shared" si="703"/>
        <v>0</v>
      </c>
      <c r="AB506" s="128">
        <f t="shared" si="651"/>
        <v>9066503659.1900005</v>
      </c>
      <c r="AC506" s="175">
        <f t="shared" si="621"/>
        <v>1</v>
      </c>
    </row>
    <row r="507" spans="2:29" ht="15.75" x14ac:dyDescent="0.2">
      <c r="B507" s="81" t="s">
        <v>1533</v>
      </c>
      <c r="C507" s="79" t="s">
        <v>1534</v>
      </c>
      <c r="D507" s="146">
        <f>+D508</f>
        <v>0</v>
      </c>
      <c r="E507" s="187">
        <f>SUM('ADICIONES  2021'!C507:I507)</f>
        <v>4189115912</v>
      </c>
      <c r="F507" s="146">
        <f>+F508</f>
        <v>0</v>
      </c>
      <c r="G507" s="146">
        <f>+G508</f>
        <v>0</v>
      </c>
      <c r="H507" s="146">
        <f>+H508</f>
        <v>0</v>
      </c>
      <c r="I507" s="146">
        <f>+I508</f>
        <v>0</v>
      </c>
      <c r="J507" s="146">
        <f>+J508</f>
        <v>0</v>
      </c>
      <c r="K507" s="128">
        <f t="shared" si="647"/>
        <v>4189115912</v>
      </c>
      <c r="L507" s="146">
        <f t="shared" ref="L507:Q507" si="724">+L508</f>
        <v>0</v>
      </c>
      <c r="M507" s="146">
        <f t="shared" si="724"/>
        <v>0</v>
      </c>
      <c r="N507" s="146">
        <f t="shared" si="724"/>
        <v>0</v>
      </c>
      <c r="O507" s="146">
        <f t="shared" si="724"/>
        <v>0</v>
      </c>
      <c r="P507" s="146">
        <f t="shared" si="724"/>
        <v>4189115912</v>
      </c>
      <c r="Q507" s="411">
        <f t="shared" si="724"/>
        <v>0</v>
      </c>
      <c r="R507" s="128">
        <f t="shared" si="649"/>
        <v>4189115912</v>
      </c>
      <c r="S507" s="146">
        <f t="shared" ref="S507:Z507" si="725">+S508</f>
        <v>0</v>
      </c>
      <c r="T507" s="146">
        <f t="shared" si="725"/>
        <v>0</v>
      </c>
      <c r="U507" s="146">
        <f t="shared" si="725"/>
        <v>0</v>
      </c>
      <c r="V507" s="146">
        <f t="shared" si="725"/>
        <v>0</v>
      </c>
      <c r="W507" s="146">
        <f t="shared" si="725"/>
        <v>0</v>
      </c>
      <c r="X507" s="146">
        <f t="shared" si="725"/>
        <v>0</v>
      </c>
      <c r="Y507" s="146">
        <f t="shared" si="725"/>
        <v>0</v>
      </c>
      <c r="Z507" s="146">
        <f t="shared" si="725"/>
        <v>0</v>
      </c>
      <c r="AA507" s="128">
        <f t="shared" si="703"/>
        <v>0</v>
      </c>
      <c r="AB507" s="128">
        <f t="shared" si="651"/>
        <v>4189115912</v>
      </c>
      <c r="AC507" s="175">
        <f t="shared" si="621"/>
        <v>1</v>
      </c>
    </row>
    <row r="508" spans="2:29" ht="14.25" x14ac:dyDescent="0.2">
      <c r="B508" s="76" t="s">
        <v>1535</v>
      </c>
      <c r="C508" s="77" t="s">
        <v>1534</v>
      </c>
      <c r="D508" s="41"/>
      <c r="E508" s="188">
        <f>SUM('ADICIONES  2021'!C508:I508)</f>
        <v>4189115912</v>
      </c>
      <c r="F508" s="41"/>
      <c r="G508" s="41"/>
      <c r="H508" s="41"/>
      <c r="I508" s="41"/>
      <c r="J508" s="41"/>
      <c r="K508" s="128">
        <f t="shared" si="647"/>
        <v>4189115912</v>
      </c>
      <c r="L508" s="41"/>
      <c r="M508" s="41"/>
      <c r="N508" s="41"/>
      <c r="O508" s="41"/>
      <c r="P508" s="41">
        <v>4189115912</v>
      </c>
      <c r="Q508" s="409"/>
      <c r="R508" s="128">
        <f t="shared" si="649"/>
        <v>4189115912</v>
      </c>
      <c r="S508" s="41"/>
      <c r="T508" s="41"/>
      <c r="U508" s="41"/>
      <c r="V508" s="41"/>
      <c r="W508" s="41"/>
      <c r="X508" s="41"/>
      <c r="Y508" s="41"/>
      <c r="Z508" s="41"/>
      <c r="AA508" s="128">
        <f t="shared" si="703"/>
        <v>0</v>
      </c>
      <c r="AB508" s="128">
        <f t="shared" si="651"/>
        <v>4189115912</v>
      </c>
      <c r="AC508" s="175">
        <f t="shared" si="621"/>
        <v>1</v>
      </c>
    </row>
    <row r="509" spans="2:29" ht="47.25" x14ac:dyDescent="0.2">
      <c r="B509" s="81" t="s">
        <v>1536</v>
      </c>
      <c r="C509" s="79" t="s">
        <v>1537</v>
      </c>
      <c r="D509" s="146">
        <f>+D510</f>
        <v>0</v>
      </c>
      <c r="E509" s="187">
        <f>SUM('ADICIONES  2021'!C509:I509)</f>
        <v>3483193805.9099998</v>
      </c>
      <c r="F509" s="146">
        <f>+F510</f>
        <v>0</v>
      </c>
      <c r="G509" s="146">
        <f>+G510</f>
        <v>0</v>
      </c>
      <c r="H509" s="146">
        <f>+H510</f>
        <v>0</v>
      </c>
      <c r="I509" s="146">
        <f>+I510</f>
        <v>0</v>
      </c>
      <c r="J509" s="146">
        <f>+J510</f>
        <v>0</v>
      </c>
      <c r="K509" s="128">
        <f t="shared" si="647"/>
        <v>3483193805.9099998</v>
      </c>
      <c r="L509" s="146">
        <f t="shared" ref="L509:Q509" si="726">+L510</f>
        <v>0</v>
      </c>
      <c r="M509" s="146">
        <f t="shared" si="726"/>
        <v>0</v>
      </c>
      <c r="N509" s="146">
        <f t="shared" si="726"/>
        <v>0</v>
      </c>
      <c r="O509" s="146">
        <f t="shared" si="726"/>
        <v>0</v>
      </c>
      <c r="P509" s="146">
        <f t="shared" si="726"/>
        <v>3483193805.9099998</v>
      </c>
      <c r="Q509" s="411">
        <f t="shared" si="726"/>
        <v>0</v>
      </c>
      <c r="R509" s="128">
        <f t="shared" si="649"/>
        <v>3483193805.9099998</v>
      </c>
      <c r="S509" s="146">
        <f t="shared" ref="S509:Z509" si="727">+S510</f>
        <v>0</v>
      </c>
      <c r="T509" s="146">
        <f t="shared" si="727"/>
        <v>0</v>
      </c>
      <c r="U509" s="146">
        <f t="shared" si="727"/>
        <v>0</v>
      </c>
      <c r="V509" s="146">
        <f t="shared" si="727"/>
        <v>0</v>
      </c>
      <c r="W509" s="146">
        <f t="shared" si="727"/>
        <v>0</v>
      </c>
      <c r="X509" s="146">
        <f t="shared" si="727"/>
        <v>0</v>
      </c>
      <c r="Y509" s="146">
        <f t="shared" si="727"/>
        <v>0</v>
      </c>
      <c r="Z509" s="146">
        <f t="shared" si="727"/>
        <v>0</v>
      </c>
      <c r="AA509" s="128">
        <f t="shared" si="703"/>
        <v>0</v>
      </c>
      <c r="AB509" s="128">
        <f t="shared" si="651"/>
        <v>3483193805.9099998</v>
      </c>
      <c r="AC509" s="175">
        <f t="shared" si="621"/>
        <v>1</v>
      </c>
    </row>
    <row r="510" spans="2:29" ht="42.75" x14ac:dyDescent="0.2">
      <c r="B510" s="76" t="s">
        <v>1538</v>
      </c>
      <c r="C510" s="77" t="s">
        <v>1539</v>
      </c>
      <c r="D510" s="41"/>
      <c r="E510" s="188">
        <f>SUM('ADICIONES  2021'!C510:I510)</f>
        <v>3483193805.9099998</v>
      </c>
      <c r="F510" s="41"/>
      <c r="G510" s="41"/>
      <c r="H510" s="41"/>
      <c r="I510" s="41"/>
      <c r="J510" s="41"/>
      <c r="K510" s="128">
        <f t="shared" si="647"/>
        <v>3483193805.9099998</v>
      </c>
      <c r="L510" s="41"/>
      <c r="M510" s="41"/>
      <c r="N510" s="41"/>
      <c r="O510" s="41"/>
      <c r="P510" s="41">
        <v>3483193805.9099998</v>
      </c>
      <c r="Q510" s="409"/>
      <c r="R510" s="128">
        <f t="shared" si="649"/>
        <v>3483193805.9099998</v>
      </c>
      <c r="S510" s="41"/>
      <c r="T510" s="41"/>
      <c r="U510" s="41"/>
      <c r="V510" s="41"/>
      <c r="W510" s="41"/>
      <c r="X510" s="41"/>
      <c r="Y510" s="41"/>
      <c r="Z510" s="41"/>
      <c r="AA510" s="128">
        <f t="shared" si="703"/>
        <v>0</v>
      </c>
      <c r="AB510" s="128">
        <f t="shared" si="651"/>
        <v>3483193805.9099998</v>
      </c>
      <c r="AC510" s="175">
        <f t="shared" si="621"/>
        <v>1</v>
      </c>
    </row>
    <row r="511" spans="2:29" ht="31.5" x14ac:dyDescent="0.2">
      <c r="B511" s="81" t="s">
        <v>1540</v>
      </c>
      <c r="C511" s="79" t="s">
        <v>1541</v>
      </c>
      <c r="D511" s="146">
        <f>+D512</f>
        <v>0</v>
      </c>
      <c r="E511" s="187">
        <f>SUM('ADICIONES  2021'!C511:I511)</f>
        <v>2029741990.6800001</v>
      </c>
      <c r="F511" s="146">
        <f>+F512</f>
        <v>0</v>
      </c>
      <c r="G511" s="146">
        <f>+G512</f>
        <v>0</v>
      </c>
      <c r="H511" s="146">
        <f>+H512</f>
        <v>0</v>
      </c>
      <c r="I511" s="146">
        <f>+I512</f>
        <v>0</v>
      </c>
      <c r="J511" s="146">
        <f>+J512</f>
        <v>0</v>
      </c>
      <c r="K511" s="128">
        <f t="shared" si="647"/>
        <v>2029741990.6800001</v>
      </c>
      <c r="L511" s="146">
        <f t="shared" ref="L511:Q511" si="728">+L512</f>
        <v>0</v>
      </c>
      <c r="M511" s="146">
        <f t="shared" si="728"/>
        <v>0</v>
      </c>
      <c r="N511" s="146">
        <f t="shared" si="728"/>
        <v>0</v>
      </c>
      <c r="O511" s="146">
        <f t="shared" si="728"/>
        <v>0</v>
      </c>
      <c r="P511" s="146">
        <f t="shared" si="728"/>
        <v>2029741990.6800001</v>
      </c>
      <c r="Q511" s="411">
        <f t="shared" si="728"/>
        <v>0</v>
      </c>
      <c r="R511" s="128">
        <f t="shared" si="649"/>
        <v>2029741990.6800001</v>
      </c>
      <c r="S511" s="146">
        <f t="shared" ref="S511:Z511" si="729">+S512</f>
        <v>0</v>
      </c>
      <c r="T511" s="146">
        <f t="shared" si="729"/>
        <v>0</v>
      </c>
      <c r="U511" s="146">
        <f t="shared" si="729"/>
        <v>0</v>
      </c>
      <c r="V511" s="146">
        <f t="shared" si="729"/>
        <v>0</v>
      </c>
      <c r="W511" s="146">
        <f t="shared" si="729"/>
        <v>0</v>
      </c>
      <c r="X511" s="146">
        <f t="shared" si="729"/>
        <v>0</v>
      </c>
      <c r="Y511" s="146">
        <f t="shared" si="729"/>
        <v>0</v>
      </c>
      <c r="Z511" s="146">
        <f t="shared" si="729"/>
        <v>0</v>
      </c>
      <c r="AA511" s="128">
        <f t="shared" si="703"/>
        <v>0</v>
      </c>
      <c r="AB511" s="128">
        <f t="shared" si="651"/>
        <v>2029741990.6800001</v>
      </c>
      <c r="AC511" s="175">
        <f t="shared" si="621"/>
        <v>1</v>
      </c>
    </row>
    <row r="512" spans="2:29" ht="28.5" x14ac:dyDescent="0.2">
      <c r="B512" s="76" t="s">
        <v>1542</v>
      </c>
      <c r="C512" s="77" t="s">
        <v>1541</v>
      </c>
      <c r="D512" s="41"/>
      <c r="E512" s="188">
        <f>SUM('ADICIONES  2021'!C512:I512)</f>
        <v>2029741990.6800001</v>
      </c>
      <c r="F512" s="41"/>
      <c r="G512" s="41"/>
      <c r="H512" s="41"/>
      <c r="I512" s="41"/>
      <c r="J512" s="41"/>
      <c r="K512" s="128">
        <f t="shared" si="647"/>
        <v>2029741990.6800001</v>
      </c>
      <c r="L512" s="41"/>
      <c r="M512" s="41"/>
      <c r="N512" s="41"/>
      <c r="O512" s="41"/>
      <c r="P512" s="41">
        <v>2029741990.6800001</v>
      </c>
      <c r="Q512" s="409"/>
      <c r="R512" s="128">
        <f t="shared" si="649"/>
        <v>2029741990.6800001</v>
      </c>
      <c r="S512" s="41"/>
      <c r="T512" s="41"/>
      <c r="U512" s="41"/>
      <c r="V512" s="41"/>
      <c r="W512" s="41"/>
      <c r="X512" s="41"/>
      <c r="Y512" s="41"/>
      <c r="Z512" s="41"/>
      <c r="AA512" s="128">
        <f t="shared" si="703"/>
        <v>0</v>
      </c>
      <c r="AB512" s="128">
        <f t="shared" si="651"/>
        <v>2029741990.6800001</v>
      </c>
      <c r="AC512" s="175">
        <f t="shared" si="621"/>
        <v>1</v>
      </c>
    </row>
    <row r="513" spans="2:29" ht="15.75" x14ac:dyDescent="0.2">
      <c r="B513" s="81" t="s">
        <v>1543</v>
      </c>
      <c r="C513" s="79" t="s">
        <v>1544</v>
      </c>
      <c r="D513" s="146">
        <f>+D514</f>
        <v>0</v>
      </c>
      <c r="E513" s="187">
        <f>SUM('ADICIONES  2021'!C513:I513)</f>
        <v>1500000000</v>
      </c>
      <c r="F513" s="146">
        <f>+F514</f>
        <v>0</v>
      </c>
      <c r="G513" s="146">
        <f>+G514</f>
        <v>0</v>
      </c>
      <c r="H513" s="146">
        <f>+H514</f>
        <v>0</v>
      </c>
      <c r="I513" s="146">
        <f>+I514</f>
        <v>0</v>
      </c>
      <c r="J513" s="146">
        <f>+J514</f>
        <v>0</v>
      </c>
      <c r="K513" s="128">
        <f t="shared" si="647"/>
        <v>1500000000</v>
      </c>
      <c r="L513" s="146">
        <f t="shared" ref="L513:Q513" si="730">+L514</f>
        <v>0</v>
      </c>
      <c r="M513" s="146">
        <f t="shared" si="730"/>
        <v>0</v>
      </c>
      <c r="N513" s="146">
        <f t="shared" si="730"/>
        <v>0</v>
      </c>
      <c r="O513" s="146">
        <f t="shared" si="730"/>
        <v>0</v>
      </c>
      <c r="P513" s="146">
        <f t="shared" si="730"/>
        <v>1500000000</v>
      </c>
      <c r="Q513" s="411">
        <f t="shared" si="730"/>
        <v>0</v>
      </c>
      <c r="R513" s="128">
        <f t="shared" si="649"/>
        <v>1500000000</v>
      </c>
      <c r="S513" s="146">
        <f t="shared" ref="S513:Z513" si="731">+S514</f>
        <v>0</v>
      </c>
      <c r="T513" s="146">
        <f t="shared" si="731"/>
        <v>0</v>
      </c>
      <c r="U513" s="146">
        <f t="shared" si="731"/>
        <v>0</v>
      </c>
      <c r="V513" s="146">
        <f t="shared" si="731"/>
        <v>0</v>
      </c>
      <c r="W513" s="146">
        <f t="shared" si="731"/>
        <v>0</v>
      </c>
      <c r="X513" s="146">
        <f t="shared" si="731"/>
        <v>0</v>
      </c>
      <c r="Y513" s="146">
        <f t="shared" si="731"/>
        <v>0</v>
      </c>
      <c r="Z513" s="146">
        <f t="shared" si="731"/>
        <v>0</v>
      </c>
      <c r="AA513" s="128">
        <f t="shared" si="703"/>
        <v>0</v>
      </c>
      <c r="AB513" s="128">
        <f t="shared" si="651"/>
        <v>1500000000</v>
      </c>
      <c r="AC513" s="175">
        <f t="shared" si="621"/>
        <v>1</v>
      </c>
    </row>
    <row r="514" spans="2:29" ht="14.25" x14ac:dyDescent="0.2">
      <c r="B514" s="76" t="s">
        <v>1545</v>
      </c>
      <c r="C514" s="77" t="s">
        <v>1544</v>
      </c>
      <c r="D514" s="41"/>
      <c r="E514" s="188">
        <f>SUM('ADICIONES  2021'!C514:I514)</f>
        <v>1500000000</v>
      </c>
      <c r="F514" s="41"/>
      <c r="G514" s="41"/>
      <c r="H514" s="41"/>
      <c r="I514" s="41"/>
      <c r="J514" s="41"/>
      <c r="K514" s="128">
        <f t="shared" si="647"/>
        <v>1500000000</v>
      </c>
      <c r="L514" s="41"/>
      <c r="M514" s="41"/>
      <c r="N514" s="41"/>
      <c r="O514" s="41"/>
      <c r="P514" s="41">
        <v>1500000000</v>
      </c>
      <c r="Q514" s="409"/>
      <c r="R514" s="128">
        <f t="shared" si="649"/>
        <v>1500000000</v>
      </c>
      <c r="S514" s="41"/>
      <c r="T514" s="41"/>
      <c r="U514" s="41"/>
      <c r="V514" s="41"/>
      <c r="W514" s="41"/>
      <c r="X514" s="41"/>
      <c r="Y514" s="41"/>
      <c r="Z514" s="41"/>
      <c r="AA514" s="128">
        <f t="shared" si="703"/>
        <v>0</v>
      </c>
      <c r="AB514" s="128">
        <f t="shared" si="651"/>
        <v>1500000000</v>
      </c>
      <c r="AC514" s="175">
        <f t="shared" si="621"/>
        <v>1</v>
      </c>
    </row>
    <row r="515" spans="2:29" ht="15.75" x14ac:dyDescent="0.2">
      <c r="B515" s="81" t="s">
        <v>1546</v>
      </c>
      <c r="C515" s="79" t="s">
        <v>1547</v>
      </c>
      <c r="D515" s="146">
        <f>+D516</f>
        <v>0</v>
      </c>
      <c r="E515" s="187">
        <f>SUM('ADICIONES  2021'!C515:I515)</f>
        <v>1500000000</v>
      </c>
      <c r="F515" s="146">
        <f>+F516</f>
        <v>0</v>
      </c>
      <c r="G515" s="146">
        <f>+G516</f>
        <v>0</v>
      </c>
      <c r="H515" s="146">
        <f>+H516</f>
        <v>0</v>
      </c>
      <c r="I515" s="146">
        <f>+I516</f>
        <v>0</v>
      </c>
      <c r="J515" s="146">
        <f>+J516</f>
        <v>0</v>
      </c>
      <c r="K515" s="128">
        <f t="shared" si="647"/>
        <v>1500000000</v>
      </c>
      <c r="L515" s="146">
        <f t="shared" ref="L515:Q515" si="732">+L516</f>
        <v>0</v>
      </c>
      <c r="M515" s="146">
        <f t="shared" si="732"/>
        <v>0</v>
      </c>
      <c r="N515" s="146">
        <f t="shared" si="732"/>
        <v>0</v>
      </c>
      <c r="O515" s="146">
        <f t="shared" si="732"/>
        <v>0</v>
      </c>
      <c r="P515" s="146">
        <f t="shared" si="732"/>
        <v>1500000000</v>
      </c>
      <c r="Q515" s="411">
        <f t="shared" si="732"/>
        <v>0</v>
      </c>
      <c r="R515" s="128">
        <f t="shared" si="649"/>
        <v>1500000000</v>
      </c>
      <c r="S515" s="146">
        <f t="shared" ref="S515:Z515" si="733">+S516</f>
        <v>0</v>
      </c>
      <c r="T515" s="146">
        <f t="shared" si="733"/>
        <v>0</v>
      </c>
      <c r="U515" s="146">
        <f t="shared" si="733"/>
        <v>0</v>
      </c>
      <c r="V515" s="146">
        <f t="shared" si="733"/>
        <v>0</v>
      </c>
      <c r="W515" s="146">
        <f t="shared" si="733"/>
        <v>0</v>
      </c>
      <c r="X515" s="146">
        <f t="shared" si="733"/>
        <v>0</v>
      </c>
      <c r="Y515" s="146">
        <f t="shared" si="733"/>
        <v>0</v>
      </c>
      <c r="Z515" s="146">
        <f t="shared" si="733"/>
        <v>0</v>
      </c>
      <c r="AA515" s="128">
        <f t="shared" si="703"/>
        <v>0</v>
      </c>
      <c r="AB515" s="128">
        <f t="shared" si="651"/>
        <v>1500000000</v>
      </c>
      <c r="AC515" s="175">
        <f t="shared" si="621"/>
        <v>1</v>
      </c>
    </row>
    <row r="516" spans="2:29" ht="14.25" x14ac:dyDescent="0.2">
      <c r="B516" s="76" t="s">
        <v>1548</v>
      </c>
      <c r="C516" s="77" t="s">
        <v>1547</v>
      </c>
      <c r="D516" s="41"/>
      <c r="E516" s="188">
        <f>SUM('ADICIONES  2021'!C516:I516)</f>
        <v>1500000000</v>
      </c>
      <c r="F516" s="41"/>
      <c r="G516" s="41"/>
      <c r="H516" s="41"/>
      <c r="I516" s="41"/>
      <c r="J516" s="41"/>
      <c r="K516" s="128">
        <f t="shared" si="647"/>
        <v>1500000000</v>
      </c>
      <c r="L516" s="41"/>
      <c r="M516" s="41"/>
      <c r="N516" s="41"/>
      <c r="O516" s="41"/>
      <c r="P516" s="41">
        <v>1500000000</v>
      </c>
      <c r="Q516" s="409"/>
      <c r="R516" s="128">
        <f t="shared" si="649"/>
        <v>1500000000</v>
      </c>
      <c r="S516" s="41"/>
      <c r="T516" s="41"/>
      <c r="U516" s="41"/>
      <c r="V516" s="41"/>
      <c r="W516" s="41"/>
      <c r="X516" s="41"/>
      <c r="Y516" s="41"/>
      <c r="Z516" s="41"/>
      <c r="AA516" s="128">
        <f t="shared" si="703"/>
        <v>0</v>
      </c>
      <c r="AB516" s="128">
        <f t="shared" si="651"/>
        <v>1500000000</v>
      </c>
      <c r="AC516" s="175">
        <f t="shared" si="621"/>
        <v>1</v>
      </c>
    </row>
    <row r="517" spans="2:29" ht="15.75" x14ac:dyDescent="0.2">
      <c r="B517" s="81" t="s">
        <v>1549</v>
      </c>
      <c r="C517" s="79" t="s">
        <v>1550</v>
      </c>
      <c r="D517" s="146">
        <f>+D518</f>
        <v>0</v>
      </c>
      <c r="E517" s="187">
        <f>SUM('ADICIONES  2021'!C517:I517)</f>
        <v>1514607600.95</v>
      </c>
      <c r="F517" s="146">
        <f>+F518</f>
        <v>0</v>
      </c>
      <c r="G517" s="146">
        <f>+G518</f>
        <v>0</v>
      </c>
      <c r="H517" s="146">
        <f>+H518</f>
        <v>0</v>
      </c>
      <c r="I517" s="146">
        <f>+I518</f>
        <v>0</v>
      </c>
      <c r="J517" s="146">
        <f>+J518</f>
        <v>0</v>
      </c>
      <c r="K517" s="128">
        <f t="shared" si="647"/>
        <v>1514607600.95</v>
      </c>
      <c r="L517" s="146">
        <f t="shared" ref="L517:Q517" si="734">+L518</f>
        <v>0</v>
      </c>
      <c r="M517" s="146">
        <f t="shared" si="734"/>
        <v>0</v>
      </c>
      <c r="N517" s="146">
        <f t="shared" si="734"/>
        <v>0</v>
      </c>
      <c r="O517" s="146">
        <f t="shared" si="734"/>
        <v>0</v>
      </c>
      <c r="P517" s="146">
        <f t="shared" si="734"/>
        <v>1514607600.95</v>
      </c>
      <c r="Q517" s="411">
        <f t="shared" si="734"/>
        <v>0</v>
      </c>
      <c r="R517" s="128">
        <f t="shared" si="649"/>
        <v>1514607600.95</v>
      </c>
      <c r="S517" s="146">
        <f t="shared" ref="S517:Z517" si="735">+S518</f>
        <v>0</v>
      </c>
      <c r="T517" s="146">
        <f t="shared" si="735"/>
        <v>0</v>
      </c>
      <c r="U517" s="146">
        <f t="shared" si="735"/>
        <v>0</v>
      </c>
      <c r="V517" s="146">
        <f t="shared" si="735"/>
        <v>0</v>
      </c>
      <c r="W517" s="146">
        <f t="shared" si="735"/>
        <v>0</v>
      </c>
      <c r="X517" s="146">
        <f t="shared" si="735"/>
        <v>0</v>
      </c>
      <c r="Y517" s="146">
        <f t="shared" si="735"/>
        <v>0</v>
      </c>
      <c r="Z517" s="146">
        <f t="shared" si="735"/>
        <v>0</v>
      </c>
      <c r="AA517" s="128">
        <f t="shared" si="703"/>
        <v>0</v>
      </c>
      <c r="AB517" s="128">
        <f t="shared" si="651"/>
        <v>1514607600.95</v>
      </c>
      <c r="AC517" s="175">
        <f t="shared" si="621"/>
        <v>1</v>
      </c>
    </row>
    <row r="518" spans="2:29" ht="14.25" x14ac:dyDescent="0.2">
      <c r="B518" s="76" t="s">
        <v>1551</v>
      </c>
      <c r="C518" s="77" t="s">
        <v>1550</v>
      </c>
      <c r="D518" s="41"/>
      <c r="E518" s="188">
        <f>SUM('ADICIONES  2021'!C518:I518)</f>
        <v>1514607600.95</v>
      </c>
      <c r="F518" s="41"/>
      <c r="G518" s="41"/>
      <c r="H518" s="41"/>
      <c r="I518" s="41"/>
      <c r="J518" s="41"/>
      <c r="K518" s="128">
        <f t="shared" si="647"/>
        <v>1514607600.95</v>
      </c>
      <c r="L518" s="41"/>
      <c r="M518" s="41"/>
      <c r="N518" s="41"/>
      <c r="O518" s="41"/>
      <c r="P518" s="41">
        <v>1514607600.95</v>
      </c>
      <c r="Q518" s="409"/>
      <c r="R518" s="128">
        <f t="shared" si="649"/>
        <v>1514607600.95</v>
      </c>
      <c r="S518" s="41"/>
      <c r="T518" s="41"/>
      <c r="U518" s="41"/>
      <c r="V518" s="41"/>
      <c r="W518" s="41"/>
      <c r="X518" s="41"/>
      <c r="Y518" s="41"/>
      <c r="Z518" s="41"/>
      <c r="AA518" s="128">
        <f t="shared" si="703"/>
        <v>0</v>
      </c>
      <c r="AB518" s="128">
        <f t="shared" si="651"/>
        <v>1514607600.95</v>
      </c>
      <c r="AC518" s="175">
        <f t="shared" si="621"/>
        <v>1</v>
      </c>
    </row>
    <row r="519" spans="2:29" ht="15.75" x14ac:dyDescent="0.2">
      <c r="B519" s="81" t="s">
        <v>1552</v>
      </c>
      <c r="C519" s="79" t="s">
        <v>1553</v>
      </c>
      <c r="D519" s="146">
        <f>+D520</f>
        <v>0</v>
      </c>
      <c r="E519" s="187">
        <f>SUM('ADICIONES  2021'!C519:I519)</f>
        <v>3000000000</v>
      </c>
      <c r="F519" s="146">
        <f>+F520</f>
        <v>0</v>
      </c>
      <c r="G519" s="146">
        <f>+G520</f>
        <v>0</v>
      </c>
      <c r="H519" s="146">
        <f>+H520</f>
        <v>0</v>
      </c>
      <c r="I519" s="146">
        <f>+I520</f>
        <v>0</v>
      </c>
      <c r="J519" s="146">
        <f>+J520</f>
        <v>0</v>
      </c>
      <c r="K519" s="128">
        <f t="shared" si="647"/>
        <v>3000000000</v>
      </c>
      <c r="L519" s="146">
        <f t="shared" ref="L519:Q519" si="736">+L520</f>
        <v>0</v>
      </c>
      <c r="M519" s="146">
        <f t="shared" si="736"/>
        <v>0</v>
      </c>
      <c r="N519" s="146">
        <f t="shared" si="736"/>
        <v>0</v>
      </c>
      <c r="O519" s="146">
        <f t="shared" si="736"/>
        <v>0</v>
      </c>
      <c r="P519" s="146">
        <f t="shared" si="736"/>
        <v>3000000000</v>
      </c>
      <c r="Q519" s="411">
        <f t="shared" si="736"/>
        <v>0</v>
      </c>
      <c r="R519" s="128">
        <f t="shared" si="649"/>
        <v>3000000000</v>
      </c>
      <c r="S519" s="146">
        <f t="shared" ref="S519:Z519" si="737">+S520</f>
        <v>0</v>
      </c>
      <c r="T519" s="146">
        <f t="shared" si="737"/>
        <v>0</v>
      </c>
      <c r="U519" s="146">
        <f t="shared" si="737"/>
        <v>0</v>
      </c>
      <c r="V519" s="146">
        <f t="shared" si="737"/>
        <v>0</v>
      </c>
      <c r="W519" s="146">
        <f t="shared" si="737"/>
        <v>0</v>
      </c>
      <c r="X519" s="146">
        <f t="shared" si="737"/>
        <v>0</v>
      </c>
      <c r="Y519" s="146">
        <f t="shared" si="737"/>
        <v>0</v>
      </c>
      <c r="Z519" s="146">
        <f t="shared" si="737"/>
        <v>0</v>
      </c>
      <c r="AA519" s="128">
        <f t="shared" si="703"/>
        <v>0</v>
      </c>
      <c r="AB519" s="128">
        <f t="shared" si="651"/>
        <v>3000000000</v>
      </c>
      <c r="AC519" s="175">
        <f t="shared" si="621"/>
        <v>1</v>
      </c>
    </row>
    <row r="520" spans="2:29" ht="14.25" x14ac:dyDescent="0.2">
      <c r="B520" s="76" t="s">
        <v>1554</v>
      </c>
      <c r="C520" s="77" t="s">
        <v>1553</v>
      </c>
      <c r="D520" s="41"/>
      <c r="E520" s="188">
        <f>SUM('ADICIONES  2021'!C520:I520)</f>
        <v>3000000000</v>
      </c>
      <c r="F520" s="41"/>
      <c r="G520" s="41"/>
      <c r="H520" s="41"/>
      <c r="I520" s="41"/>
      <c r="J520" s="41"/>
      <c r="K520" s="128">
        <f t="shared" si="647"/>
        <v>3000000000</v>
      </c>
      <c r="L520" s="41"/>
      <c r="M520" s="41"/>
      <c r="N520" s="41"/>
      <c r="O520" s="41"/>
      <c r="P520" s="41">
        <v>3000000000</v>
      </c>
      <c r="Q520" s="409"/>
      <c r="R520" s="128">
        <f t="shared" si="649"/>
        <v>3000000000</v>
      </c>
      <c r="S520" s="41"/>
      <c r="T520" s="41"/>
      <c r="U520" s="41"/>
      <c r="V520" s="41"/>
      <c r="W520" s="41"/>
      <c r="X520" s="41"/>
      <c r="Y520" s="41"/>
      <c r="Z520" s="41"/>
      <c r="AA520" s="128">
        <f t="shared" si="703"/>
        <v>0</v>
      </c>
      <c r="AB520" s="128">
        <f t="shared" si="651"/>
        <v>3000000000</v>
      </c>
      <c r="AC520" s="175">
        <f t="shared" si="621"/>
        <v>1</v>
      </c>
    </row>
    <row r="521" spans="2:29" ht="31.5" x14ac:dyDescent="0.2">
      <c r="B521" s="81" t="s">
        <v>1555</v>
      </c>
      <c r="C521" s="79" t="s">
        <v>1556</v>
      </c>
      <c r="D521" s="146">
        <f>+D522</f>
        <v>0</v>
      </c>
      <c r="E521" s="187">
        <f>SUM('ADICIONES  2021'!C521:I521)</f>
        <v>287868062</v>
      </c>
      <c r="F521" s="146">
        <f>+F522</f>
        <v>0</v>
      </c>
      <c r="G521" s="146">
        <f>+G522</f>
        <v>0</v>
      </c>
      <c r="H521" s="146">
        <f>+H522</f>
        <v>0</v>
      </c>
      <c r="I521" s="146">
        <f>+I522</f>
        <v>0</v>
      </c>
      <c r="J521" s="146">
        <f>+J522</f>
        <v>0</v>
      </c>
      <c r="K521" s="128">
        <f t="shared" si="647"/>
        <v>287868062</v>
      </c>
      <c r="L521" s="146">
        <f t="shared" ref="L521:Q521" si="738">+L522</f>
        <v>0</v>
      </c>
      <c r="M521" s="146">
        <f t="shared" si="738"/>
        <v>0</v>
      </c>
      <c r="N521" s="146">
        <f t="shared" si="738"/>
        <v>0</v>
      </c>
      <c r="O521" s="146">
        <f t="shared" si="738"/>
        <v>0</v>
      </c>
      <c r="P521" s="146">
        <f t="shared" si="738"/>
        <v>287868062</v>
      </c>
      <c r="Q521" s="411">
        <f t="shared" si="738"/>
        <v>0</v>
      </c>
      <c r="R521" s="128">
        <f t="shared" si="649"/>
        <v>287868062</v>
      </c>
      <c r="S521" s="146">
        <f t="shared" ref="S521:Z521" si="739">+S522</f>
        <v>0</v>
      </c>
      <c r="T521" s="146">
        <f t="shared" si="739"/>
        <v>0</v>
      </c>
      <c r="U521" s="146">
        <f t="shared" si="739"/>
        <v>0</v>
      </c>
      <c r="V521" s="146">
        <f t="shared" si="739"/>
        <v>0</v>
      </c>
      <c r="W521" s="146">
        <f t="shared" si="739"/>
        <v>0</v>
      </c>
      <c r="X521" s="146">
        <f t="shared" si="739"/>
        <v>0</v>
      </c>
      <c r="Y521" s="146">
        <f t="shared" si="739"/>
        <v>0</v>
      </c>
      <c r="Z521" s="146">
        <f t="shared" si="739"/>
        <v>0</v>
      </c>
      <c r="AA521" s="128">
        <f t="shared" si="703"/>
        <v>0</v>
      </c>
      <c r="AB521" s="128">
        <f t="shared" si="651"/>
        <v>287868062</v>
      </c>
      <c r="AC521" s="175">
        <f t="shared" si="621"/>
        <v>1</v>
      </c>
    </row>
    <row r="522" spans="2:29" ht="14.25" x14ac:dyDescent="0.2">
      <c r="B522" s="76" t="s">
        <v>1557</v>
      </c>
      <c r="C522" s="77" t="s">
        <v>1556</v>
      </c>
      <c r="D522" s="41"/>
      <c r="E522" s="188">
        <f>SUM('ADICIONES  2021'!C522:I522)</f>
        <v>287868062</v>
      </c>
      <c r="F522" s="41"/>
      <c r="G522" s="41"/>
      <c r="H522" s="41"/>
      <c r="I522" s="41"/>
      <c r="J522" s="41"/>
      <c r="K522" s="128">
        <f t="shared" si="647"/>
        <v>287868062</v>
      </c>
      <c r="L522" s="41"/>
      <c r="M522" s="41"/>
      <c r="N522" s="41"/>
      <c r="O522" s="41"/>
      <c r="P522" s="41">
        <v>287868062</v>
      </c>
      <c r="Q522" s="409"/>
      <c r="R522" s="128">
        <f t="shared" si="649"/>
        <v>287868062</v>
      </c>
      <c r="S522" s="41"/>
      <c r="T522" s="41"/>
      <c r="U522" s="41"/>
      <c r="V522" s="41"/>
      <c r="W522" s="41"/>
      <c r="X522" s="41"/>
      <c r="Y522" s="41"/>
      <c r="Z522" s="41"/>
      <c r="AA522" s="128">
        <f t="shared" si="703"/>
        <v>0</v>
      </c>
      <c r="AB522" s="128">
        <f t="shared" si="651"/>
        <v>287868062</v>
      </c>
      <c r="AC522" s="175">
        <f t="shared" si="621"/>
        <v>1</v>
      </c>
    </row>
    <row r="523" spans="2:29" ht="15.75" x14ac:dyDescent="0.2">
      <c r="B523" s="81" t="s">
        <v>1558</v>
      </c>
      <c r="C523" s="79" t="s">
        <v>1559</v>
      </c>
      <c r="D523" s="146">
        <f>+D524</f>
        <v>0</v>
      </c>
      <c r="E523" s="187">
        <f>SUM('ADICIONES  2021'!C523:I523)</f>
        <v>320982097</v>
      </c>
      <c r="F523" s="146">
        <f>+F524</f>
        <v>0</v>
      </c>
      <c r="G523" s="146">
        <f>+G524</f>
        <v>0</v>
      </c>
      <c r="H523" s="146">
        <f>+H524</f>
        <v>0</v>
      </c>
      <c r="I523" s="146">
        <f>+I524</f>
        <v>0</v>
      </c>
      <c r="J523" s="146">
        <f>+J524</f>
        <v>0</v>
      </c>
      <c r="K523" s="128">
        <f t="shared" si="647"/>
        <v>320982097</v>
      </c>
      <c r="L523" s="146">
        <f t="shared" ref="L523:Q523" si="740">+L524</f>
        <v>0</v>
      </c>
      <c r="M523" s="146">
        <f t="shared" si="740"/>
        <v>0</v>
      </c>
      <c r="N523" s="146">
        <f t="shared" si="740"/>
        <v>0</v>
      </c>
      <c r="O523" s="146">
        <f t="shared" si="740"/>
        <v>0</v>
      </c>
      <c r="P523" s="146">
        <f t="shared" si="740"/>
        <v>320982097</v>
      </c>
      <c r="Q523" s="411">
        <f t="shared" si="740"/>
        <v>0</v>
      </c>
      <c r="R523" s="128">
        <f t="shared" si="649"/>
        <v>320982097</v>
      </c>
      <c r="S523" s="146">
        <f t="shared" ref="S523:Z523" si="741">+S524</f>
        <v>0</v>
      </c>
      <c r="T523" s="146">
        <f t="shared" si="741"/>
        <v>0</v>
      </c>
      <c r="U523" s="146">
        <f t="shared" si="741"/>
        <v>0</v>
      </c>
      <c r="V523" s="146">
        <f t="shared" si="741"/>
        <v>0</v>
      </c>
      <c r="W523" s="146">
        <f t="shared" si="741"/>
        <v>0</v>
      </c>
      <c r="X523" s="146">
        <f t="shared" si="741"/>
        <v>0</v>
      </c>
      <c r="Y523" s="146">
        <f t="shared" si="741"/>
        <v>0</v>
      </c>
      <c r="Z523" s="146">
        <f t="shared" si="741"/>
        <v>0</v>
      </c>
      <c r="AA523" s="128">
        <f t="shared" si="703"/>
        <v>0</v>
      </c>
      <c r="AB523" s="128">
        <f t="shared" si="651"/>
        <v>320982097</v>
      </c>
      <c r="AC523" s="175">
        <f t="shared" si="621"/>
        <v>1</v>
      </c>
    </row>
    <row r="524" spans="2:29" ht="14.25" x14ac:dyDescent="0.2">
      <c r="B524" s="76" t="s">
        <v>1560</v>
      </c>
      <c r="C524" s="77" t="s">
        <v>1559</v>
      </c>
      <c r="D524" s="41"/>
      <c r="E524" s="188">
        <f>SUM('ADICIONES  2021'!C524:I524)</f>
        <v>320982097</v>
      </c>
      <c r="F524" s="41"/>
      <c r="G524" s="41"/>
      <c r="H524" s="41"/>
      <c r="I524" s="41"/>
      <c r="J524" s="41"/>
      <c r="K524" s="128">
        <f t="shared" si="647"/>
        <v>320982097</v>
      </c>
      <c r="L524" s="41"/>
      <c r="M524" s="41"/>
      <c r="N524" s="41"/>
      <c r="O524" s="41"/>
      <c r="P524" s="41">
        <v>320982097</v>
      </c>
      <c r="Q524" s="409"/>
      <c r="R524" s="128">
        <f t="shared" si="649"/>
        <v>320982097</v>
      </c>
      <c r="S524" s="41"/>
      <c r="T524" s="41"/>
      <c r="U524" s="41"/>
      <c r="V524" s="41"/>
      <c r="W524" s="41"/>
      <c r="X524" s="41"/>
      <c r="Y524" s="41"/>
      <c r="Z524" s="41"/>
      <c r="AA524" s="128">
        <f t="shared" si="703"/>
        <v>0</v>
      </c>
      <c r="AB524" s="128">
        <f t="shared" si="651"/>
        <v>320982097</v>
      </c>
      <c r="AC524" s="175">
        <f t="shared" si="621"/>
        <v>1</v>
      </c>
    </row>
    <row r="525" spans="2:29" ht="63" x14ac:dyDescent="0.2">
      <c r="B525" s="81" t="s">
        <v>1561</v>
      </c>
      <c r="C525" s="79" t="s">
        <v>1562</v>
      </c>
      <c r="D525" s="146">
        <f>+D526</f>
        <v>0</v>
      </c>
      <c r="E525" s="187">
        <f>SUM('ADICIONES  2021'!C525:I525)</f>
        <v>746887763.63</v>
      </c>
      <c r="F525" s="146">
        <f>+F526</f>
        <v>0</v>
      </c>
      <c r="G525" s="146">
        <f>+G526</f>
        <v>0</v>
      </c>
      <c r="H525" s="146">
        <f>+H526</f>
        <v>0</v>
      </c>
      <c r="I525" s="146">
        <f>+I526</f>
        <v>0</v>
      </c>
      <c r="J525" s="146">
        <f>+J526</f>
        <v>0</v>
      </c>
      <c r="K525" s="128">
        <f t="shared" si="647"/>
        <v>746887763.63</v>
      </c>
      <c r="L525" s="146">
        <f t="shared" ref="L525:Q525" si="742">+L526</f>
        <v>0</v>
      </c>
      <c r="M525" s="146">
        <f t="shared" si="742"/>
        <v>0</v>
      </c>
      <c r="N525" s="146">
        <f t="shared" si="742"/>
        <v>0</v>
      </c>
      <c r="O525" s="146">
        <f t="shared" si="742"/>
        <v>0</v>
      </c>
      <c r="P525" s="146">
        <f t="shared" si="742"/>
        <v>746887763.63</v>
      </c>
      <c r="Q525" s="411">
        <f t="shared" si="742"/>
        <v>0</v>
      </c>
      <c r="R525" s="128">
        <f t="shared" si="649"/>
        <v>746887763.63</v>
      </c>
      <c r="S525" s="146">
        <f t="shared" ref="S525:Z525" si="743">+S526</f>
        <v>0</v>
      </c>
      <c r="T525" s="146">
        <f t="shared" si="743"/>
        <v>0</v>
      </c>
      <c r="U525" s="146">
        <f t="shared" si="743"/>
        <v>0</v>
      </c>
      <c r="V525" s="146">
        <f t="shared" si="743"/>
        <v>0</v>
      </c>
      <c r="W525" s="146">
        <f t="shared" si="743"/>
        <v>0</v>
      </c>
      <c r="X525" s="146">
        <f t="shared" si="743"/>
        <v>0</v>
      </c>
      <c r="Y525" s="146">
        <f t="shared" si="743"/>
        <v>0</v>
      </c>
      <c r="Z525" s="146">
        <f t="shared" si="743"/>
        <v>0</v>
      </c>
      <c r="AA525" s="128">
        <f t="shared" si="703"/>
        <v>0</v>
      </c>
      <c r="AB525" s="128">
        <f t="shared" si="651"/>
        <v>746887763.63</v>
      </c>
      <c r="AC525" s="175">
        <f t="shared" si="621"/>
        <v>1</v>
      </c>
    </row>
    <row r="526" spans="2:29" ht="42.75" x14ac:dyDescent="0.2">
      <c r="B526" s="76" t="s">
        <v>1563</v>
      </c>
      <c r="C526" s="77" t="s">
        <v>1562</v>
      </c>
      <c r="D526" s="41"/>
      <c r="E526" s="188">
        <f>SUM('ADICIONES  2021'!C526:I526)</f>
        <v>746887763.63</v>
      </c>
      <c r="F526" s="41"/>
      <c r="G526" s="41"/>
      <c r="H526" s="41"/>
      <c r="I526" s="41"/>
      <c r="J526" s="41"/>
      <c r="K526" s="128">
        <f t="shared" si="647"/>
        <v>746887763.63</v>
      </c>
      <c r="L526" s="41"/>
      <c r="M526" s="41"/>
      <c r="N526" s="41"/>
      <c r="O526" s="41"/>
      <c r="P526" s="41">
        <v>746887763.63</v>
      </c>
      <c r="Q526" s="409"/>
      <c r="R526" s="128">
        <f t="shared" si="649"/>
        <v>746887763.63</v>
      </c>
      <c r="S526" s="41"/>
      <c r="T526" s="41"/>
      <c r="U526" s="41"/>
      <c r="V526" s="41"/>
      <c r="W526" s="41"/>
      <c r="X526" s="41"/>
      <c r="Y526" s="41"/>
      <c r="Z526" s="41"/>
      <c r="AA526" s="128">
        <f t="shared" si="703"/>
        <v>0</v>
      </c>
      <c r="AB526" s="128">
        <f t="shared" si="651"/>
        <v>746887763.63</v>
      </c>
      <c r="AC526" s="175">
        <f t="shared" si="621"/>
        <v>1</v>
      </c>
    </row>
    <row r="527" spans="2:29" ht="31.5" x14ac:dyDescent="0.2">
      <c r="B527" s="81" t="s">
        <v>1564</v>
      </c>
      <c r="C527" s="79" t="s">
        <v>1565</v>
      </c>
      <c r="D527" s="146">
        <f>+D528</f>
        <v>0</v>
      </c>
      <c r="E527" s="187">
        <f>SUM('ADICIONES  2021'!C527:I527)</f>
        <v>493740289</v>
      </c>
      <c r="F527" s="146">
        <f>+F528</f>
        <v>0</v>
      </c>
      <c r="G527" s="146">
        <f>+G528</f>
        <v>0</v>
      </c>
      <c r="H527" s="146">
        <f>+H528</f>
        <v>0</v>
      </c>
      <c r="I527" s="146">
        <f>+I528</f>
        <v>0</v>
      </c>
      <c r="J527" s="146">
        <f>+J528</f>
        <v>0</v>
      </c>
      <c r="K527" s="128">
        <f t="shared" si="647"/>
        <v>493740289</v>
      </c>
      <c r="L527" s="146">
        <f t="shared" ref="L527:Q527" si="744">+L528</f>
        <v>0</v>
      </c>
      <c r="M527" s="146">
        <f t="shared" si="744"/>
        <v>0</v>
      </c>
      <c r="N527" s="146">
        <f t="shared" si="744"/>
        <v>0</v>
      </c>
      <c r="O527" s="146">
        <f t="shared" si="744"/>
        <v>0</v>
      </c>
      <c r="P527" s="146">
        <f t="shared" si="744"/>
        <v>493740289</v>
      </c>
      <c r="Q527" s="411">
        <f t="shared" si="744"/>
        <v>0</v>
      </c>
      <c r="R527" s="128">
        <f t="shared" si="649"/>
        <v>493740289</v>
      </c>
      <c r="S527" s="146">
        <f t="shared" ref="S527:Z527" si="745">+S528</f>
        <v>0</v>
      </c>
      <c r="T527" s="146">
        <f t="shared" si="745"/>
        <v>0</v>
      </c>
      <c r="U527" s="146">
        <f t="shared" si="745"/>
        <v>0</v>
      </c>
      <c r="V527" s="146">
        <f t="shared" si="745"/>
        <v>0</v>
      </c>
      <c r="W527" s="146">
        <f t="shared" si="745"/>
        <v>0</v>
      </c>
      <c r="X527" s="146">
        <f t="shared" si="745"/>
        <v>0</v>
      </c>
      <c r="Y527" s="146">
        <f t="shared" si="745"/>
        <v>0</v>
      </c>
      <c r="Z527" s="146">
        <f t="shared" si="745"/>
        <v>0</v>
      </c>
      <c r="AA527" s="128">
        <f t="shared" si="703"/>
        <v>0</v>
      </c>
      <c r="AB527" s="128">
        <f t="shared" si="651"/>
        <v>493740289</v>
      </c>
      <c r="AC527" s="175">
        <f t="shared" si="621"/>
        <v>1</v>
      </c>
    </row>
    <row r="528" spans="2:29" ht="14.25" x14ac:dyDescent="0.2">
      <c r="B528" s="76" t="s">
        <v>1566</v>
      </c>
      <c r="C528" s="77" t="s">
        <v>1565</v>
      </c>
      <c r="D528" s="41"/>
      <c r="E528" s="188">
        <f>SUM('ADICIONES  2021'!C528:I528)</f>
        <v>493740289</v>
      </c>
      <c r="F528" s="41"/>
      <c r="G528" s="41"/>
      <c r="H528" s="41"/>
      <c r="I528" s="41"/>
      <c r="J528" s="41"/>
      <c r="K528" s="128">
        <f t="shared" si="647"/>
        <v>493740289</v>
      </c>
      <c r="L528" s="41"/>
      <c r="M528" s="41"/>
      <c r="N528" s="41"/>
      <c r="O528" s="41"/>
      <c r="P528" s="41">
        <v>493740289</v>
      </c>
      <c r="Q528" s="409"/>
      <c r="R528" s="128">
        <f t="shared" si="649"/>
        <v>493740289</v>
      </c>
      <c r="S528" s="41"/>
      <c r="T528" s="41"/>
      <c r="U528" s="41"/>
      <c r="V528" s="41"/>
      <c r="W528" s="41"/>
      <c r="X528" s="41"/>
      <c r="Y528" s="41"/>
      <c r="Z528" s="41"/>
      <c r="AA528" s="128">
        <f t="shared" si="703"/>
        <v>0</v>
      </c>
      <c r="AB528" s="128">
        <f t="shared" si="651"/>
        <v>493740289</v>
      </c>
      <c r="AC528" s="175">
        <f t="shared" si="621"/>
        <v>1</v>
      </c>
    </row>
    <row r="529" spans="2:29" ht="15.75" x14ac:dyDescent="0.2">
      <c r="B529" s="81" t="s">
        <v>1567</v>
      </c>
      <c r="C529" s="79" t="s">
        <v>1568</v>
      </c>
      <c r="D529" s="146">
        <f>+D530</f>
        <v>0</v>
      </c>
      <c r="E529" s="187">
        <f>SUM('ADICIONES  2021'!C529:I529)</f>
        <v>91334526.659999996</v>
      </c>
      <c r="F529" s="146">
        <f>+F530</f>
        <v>0</v>
      </c>
      <c r="G529" s="146">
        <f>+G530</f>
        <v>0</v>
      </c>
      <c r="H529" s="146">
        <f>+H530</f>
        <v>0</v>
      </c>
      <c r="I529" s="146">
        <f>+I530</f>
        <v>0</v>
      </c>
      <c r="J529" s="146">
        <f>+J530</f>
        <v>0</v>
      </c>
      <c r="K529" s="128">
        <f t="shared" si="647"/>
        <v>91334526.659999996</v>
      </c>
      <c r="L529" s="146">
        <f t="shared" ref="L529:Q529" si="746">+L530</f>
        <v>0</v>
      </c>
      <c r="M529" s="146">
        <f t="shared" si="746"/>
        <v>0</v>
      </c>
      <c r="N529" s="146">
        <f t="shared" si="746"/>
        <v>0</v>
      </c>
      <c r="O529" s="146">
        <f t="shared" si="746"/>
        <v>0</v>
      </c>
      <c r="P529" s="146">
        <f t="shared" si="746"/>
        <v>91334526.659999996</v>
      </c>
      <c r="Q529" s="411">
        <f t="shared" si="746"/>
        <v>0</v>
      </c>
      <c r="R529" s="128">
        <f t="shared" si="649"/>
        <v>91334526.659999996</v>
      </c>
      <c r="S529" s="146">
        <f t="shared" ref="S529:Z529" si="747">+S530</f>
        <v>0</v>
      </c>
      <c r="T529" s="146">
        <f t="shared" si="747"/>
        <v>0</v>
      </c>
      <c r="U529" s="146">
        <f t="shared" si="747"/>
        <v>0</v>
      </c>
      <c r="V529" s="146">
        <f t="shared" si="747"/>
        <v>0</v>
      </c>
      <c r="W529" s="146">
        <f t="shared" si="747"/>
        <v>0</v>
      </c>
      <c r="X529" s="146">
        <f t="shared" si="747"/>
        <v>0</v>
      </c>
      <c r="Y529" s="146">
        <f t="shared" si="747"/>
        <v>0</v>
      </c>
      <c r="Z529" s="146">
        <f t="shared" si="747"/>
        <v>0</v>
      </c>
      <c r="AA529" s="128">
        <f t="shared" si="703"/>
        <v>0</v>
      </c>
      <c r="AB529" s="128">
        <f t="shared" si="651"/>
        <v>91334526.659999996</v>
      </c>
      <c r="AC529" s="175">
        <f t="shared" si="621"/>
        <v>1</v>
      </c>
    </row>
    <row r="530" spans="2:29" ht="14.25" x14ac:dyDescent="0.2">
      <c r="B530" s="76" t="s">
        <v>1569</v>
      </c>
      <c r="C530" s="77" t="s">
        <v>1568</v>
      </c>
      <c r="D530" s="41"/>
      <c r="E530" s="188">
        <f>SUM('ADICIONES  2021'!C530:I530)</f>
        <v>91334526.659999996</v>
      </c>
      <c r="F530" s="41"/>
      <c r="G530" s="41"/>
      <c r="H530" s="41"/>
      <c r="I530" s="41"/>
      <c r="J530" s="41"/>
      <c r="K530" s="128">
        <f t="shared" si="647"/>
        <v>91334526.659999996</v>
      </c>
      <c r="L530" s="41"/>
      <c r="M530" s="41"/>
      <c r="N530" s="41"/>
      <c r="O530" s="41"/>
      <c r="P530" s="41">
        <v>91334526.659999996</v>
      </c>
      <c r="Q530" s="409"/>
      <c r="R530" s="128">
        <f t="shared" si="649"/>
        <v>91334526.659999996</v>
      </c>
      <c r="S530" s="41"/>
      <c r="T530" s="41"/>
      <c r="U530" s="41"/>
      <c r="V530" s="41"/>
      <c r="W530" s="41"/>
      <c r="X530" s="41"/>
      <c r="Y530" s="41"/>
      <c r="Z530" s="41"/>
      <c r="AA530" s="128">
        <f t="shared" si="703"/>
        <v>0</v>
      </c>
      <c r="AB530" s="128">
        <f t="shared" si="651"/>
        <v>91334526.659999996</v>
      </c>
      <c r="AC530" s="175">
        <f t="shared" si="621"/>
        <v>1</v>
      </c>
    </row>
    <row r="531" spans="2:29" ht="31.5" x14ac:dyDescent="0.2">
      <c r="B531" s="81" t="s">
        <v>1570</v>
      </c>
      <c r="C531" s="79" t="s">
        <v>1571</v>
      </c>
      <c r="D531" s="146">
        <f>+D532</f>
        <v>0</v>
      </c>
      <c r="E531" s="187">
        <f>SUM('ADICIONES  2021'!C531:I531)</f>
        <v>336647722.75999999</v>
      </c>
      <c r="F531" s="146">
        <f>+F532</f>
        <v>0</v>
      </c>
      <c r="G531" s="146">
        <f>+G532</f>
        <v>0</v>
      </c>
      <c r="H531" s="146">
        <f>+H532</f>
        <v>0</v>
      </c>
      <c r="I531" s="146">
        <f>+I532</f>
        <v>0</v>
      </c>
      <c r="J531" s="146">
        <f>+J532</f>
        <v>0</v>
      </c>
      <c r="K531" s="128">
        <f t="shared" si="647"/>
        <v>336647722.75999999</v>
      </c>
      <c r="L531" s="146">
        <f t="shared" ref="L531:Q531" si="748">+L532</f>
        <v>0</v>
      </c>
      <c r="M531" s="146">
        <f t="shared" si="748"/>
        <v>0</v>
      </c>
      <c r="N531" s="146">
        <f t="shared" si="748"/>
        <v>0</v>
      </c>
      <c r="O531" s="146">
        <f t="shared" si="748"/>
        <v>0</v>
      </c>
      <c r="P531" s="146">
        <f t="shared" si="748"/>
        <v>336647722.75999999</v>
      </c>
      <c r="Q531" s="411">
        <f t="shared" si="748"/>
        <v>0</v>
      </c>
      <c r="R531" s="128">
        <f t="shared" si="649"/>
        <v>336647722.75999999</v>
      </c>
      <c r="S531" s="146">
        <f t="shared" ref="S531:Z531" si="749">+S532</f>
        <v>0</v>
      </c>
      <c r="T531" s="146">
        <f t="shared" si="749"/>
        <v>0</v>
      </c>
      <c r="U531" s="146">
        <f t="shared" si="749"/>
        <v>0</v>
      </c>
      <c r="V531" s="146">
        <f t="shared" si="749"/>
        <v>0</v>
      </c>
      <c r="W531" s="146">
        <f t="shared" si="749"/>
        <v>0</v>
      </c>
      <c r="X531" s="146">
        <f t="shared" si="749"/>
        <v>0</v>
      </c>
      <c r="Y531" s="146">
        <f t="shared" si="749"/>
        <v>0</v>
      </c>
      <c r="Z531" s="146">
        <f t="shared" si="749"/>
        <v>0</v>
      </c>
      <c r="AA531" s="128">
        <f t="shared" si="703"/>
        <v>0</v>
      </c>
      <c r="AB531" s="128">
        <f t="shared" si="651"/>
        <v>336647722.75999999</v>
      </c>
      <c r="AC531" s="175">
        <f t="shared" si="621"/>
        <v>1</v>
      </c>
    </row>
    <row r="532" spans="2:29" ht="14.25" x14ac:dyDescent="0.2">
      <c r="B532" s="76" t="s">
        <v>1572</v>
      </c>
      <c r="C532" s="77" t="s">
        <v>1571</v>
      </c>
      <c r="D532" s="41"/>
      <c r="E532" s="188">
        <f>SUM('ADICIONES  2021'!C532:I532)</f>
        <v>336647722.75999999</v>
      </c>
      <c r="F532" s="41"/>
      <c r="G532" s="41"/>
      <c r="H532" s="41"/>
      <c r="I532" s="41"/>
      <c r="J532" s="41"/>
      <c r="K532" s="128">
        <f t="shared" si="647"/>
        <v>336647722.75999999</v>
      </c>
      <c r="L532" s="41"/>
      <c r="M532" s="41"/>
      <c r="N532" s="41"/>
      <c r="O532" s="41"/>
      <c r="P532" s="41">
        <v>336647722.75999999</v>
      </c>
      <c r="Q532" s="409"/>
      <c r="R532" s="128">
        <f t="shared" si="649"/>
        <v>336647722.75999999</v>
      </c>
      <c r="S532" s="41"/>
      <c r="T532" s="41"/>
      <c r="U532" s="41"/>
      <c r="V532" s="41"/>
      <c r="W532" s="41"/>
      <c r="X532" s="41"/>
      <c r="Y532" s="41"/>
      <c r="Z532" s="41"/>
      <c r="AA532" s="128">
        <f t="shared" si="703"/>
        <v>0</v>
      </c>
      <c r="AB532" s="128">
        <f t="shared" si="651"/>
        <v>336647722.75999999</v>
      </c>
      <c r="AC532" s="175">
        <f t="shared" si="621"/>
        <v>1</v>
      </c>
    </row>
    <row r="533" spans="2:29" ht="15.75" x14ac:dyDescent="0.2">
      <c r="B533" s="81" t="s">
        <v>1573</v>
      </c>
      <c r="C533" s="79" t="s">
        <v>1574</v>
      </c>
      <c r="D533" s="146">
        <f>+D534</f>
        <v>0</v>
      </c>
      <c r="E533" s="187">
        <f>SUM('ADICIONES  2021'!C533:I533)</f>
        <v>4277916497.3200002</v>
      </c>
      <c r="F533" s="146">
        <f>+F534</f>
        <v>0</v>
      </c>
      <c r="G533" s="146">
        <f>+G534</f>
        <v>0</v>
      </c>
      <c r="H533" s="146">
        <f>+H534</f>
        <v>0</v>
      </c>
      <c r="I533" s="146">
        <f>+I534</f>
        <v>0</v>
      </c>
      <c r="J533" s="146">
        <f>+J534</f>
        <v>0</v>
      </c>
      <c r="K533" s="128">
        <f t="shared" si="647"/>
        <v>4277916497.3200002</v>
      </c>
      <c r="L533" s="146">
        <f t="shared" ref="L533:Q533" si="750">+L534</f>
        <v>0</v>
      </c>
      <c r="M533" s="146">
        <f t="shared" si="750"/>
        <v>0</v>
      </c>
      <c r="N533" s="146">
        <f t="shared" si="750"/>
        <v>0</v>
      </c>
      <c r="O533" s="146">
        <f t="shared" si="750"/>
        <v>0</v>
      </c>
      <c r="P533" s="146">
        <f t="shared" si="750"/>
        <v>4277916497.3200002</v>
      </c>
      <c r="Q533" s="411">
        <f t="shared" si="750"/>
        <v>0</v>
      </c>
      <c r="R533" s="128">
        <f t="shared" si="649"/>
        <v>4277916497.3200002</v>
      </c>
      <c r="S533" s="146">
        <f t="shared" ref="S533:Z533" si="751">+S534</f>
        <v>0</v>
      </c>
      <c r="T533" s="146">
        <f t="shared" si="751"/>
        <v>0</v>
      </c>
      <c r="U533" s="146">
        <f t="shared" si="751"/>
        <v>0</v>
      </c>
      <c r="V533" s="146">
        <f t="shared" si="751"/>
        <v>0</v>
      </c>
      <c r="W533" s="146">
        <f t="shared" si="751"/>
        <v>0</v>
      </c>
      <c r="X533" s="146">
        <f t="shared" si="751"/>
        <v>0</v>
      </c>
      <c r="Y533" s="146">
        <f t="shared" si="751"/>
        <v>0</v>
      </c>
      <c r="Z533" s="146">
        <f t="shared" si="751"/>
        <v>0</v>
      </c>
      <c r="AA533" s="128">
        <f t="shared" si="703"/>
        <v>0</v>
      </c>
      <c r="AB533" s="128">
        <f t="shared" si="651"/>
        <v>4277916497.3200002</v>
      </c>
      <c r="AC533" s="175">
        <f t="shared" si="621"/>
        <v>1</v>
      </c>
    </row>
    <row r="534" spans="2:29" ht="14.25" x14ac:dyDescent="0.2">
      <c r="B534" s="76" t="s">
        <v>1575</v>
      </c>
      <c r="C534" s="77" t="s">
        <v>1574</v>
      </c>
      <c r="D534" s="41"/>
      <c r="E534" s="188">
        <f>SUM('ADICIONES  2021'!C534:I534)</f>
        <v>4277916497.3200002</v>
      </c>
      <c r="F534" s="41"/>
      <c r="G534" s="41"/>
      <c r="H534" s="41"/>
      <c r="I534" s="41"/>
      <c r="J534" s="41"/>
      <c r="K534" s="128">
        <f t="shared" si="647"/>
        <v>4277916497.3200002</v>
      </c>
      <c r="L534" s="41"/>
      <c r="M534" s="41"/>
      <c r="N534" s="41"/>
      <c r="O534" s="41"/>
      <c r="P534" s="41">
        <v>4277916497.3200002</v>
      </c>
      <c r="Q534" s="409"/>
      <c r="R534" s="128">
        <f t="shared" si="649"/>
        <v>4277916497.3200002</v>
      </c>
      <c r="S534" s="41"/>
      <c r="T534" s="41"/>
      <c r="U534" s="41"/>
      <c r="V534" s="41"/>
      <c r="W534" s="41"/>
      <c r="X534" s="41"/>
      <c r="Y534" s="41"/>
      <c r="Z534" s="41"/>
      <c r="AA534" s="128">
        <f t="shared" si="703"/>
        <v>0</v>
      </c>
      <c r="AB534" s="128">
        <f t="shared" si="651"/>
        <v>4277916497.3200002</v>
      </c>
      <c r="AC534" s="175">
        <f t="shared" si="621"/>
        <v>1</v>
      </c>
    </row>
    <row r="535" spans="2:29" ht="15.75" x14ac:dyDescent="0.2">
      <c r="B535" s="81" t="s">
        <v>1576</v>
      </c>
      <c r="C535" s="79" t="s">
        <v>1577</v>
      </c>
      <c r="D535" s="146">
        <f>+D536</f>
        <v>0</v>
      </c>
      <c r="E535" s="187">
        <f>SUM('ADICIONES  2021'!C535:I535)</f>
        <v>14058954.529999999</v>
      </c>
      <c r="F535" s="146">
        <f>+F536</f>
        <v>0</v>
      </c>
      <c r="G535" s="146">
        <f>+G536</f>
        <v>0</v>
      </c>
      <c r="H535" s="146">
        <f>+H536</f>
        <v>0</v>
      </c>
      <c r="I535" s="146">
        <f>+I536</f>
        <v>0</v>
      </c>
      <c r="J535" s="146">
        <f>+J536</f>
        <v>0</v>
      </c>
      <c r="K535" s="128">
        <f t="shared" si="647"/>
        <v>14058954.529999999</v>
      </c>
      <c r="L535" s="146">
        <f t="shared" ref="L535:Q535" si="752">+L536</f>
        <v>0</v>
      </c>
      <c r="M535" s="146">
        <f t="shared" si="752"/>
        <v>0</v>
      </c>
      <c r="N535" s="146">
        <f t="shared" si="752"/>
        <v>0</v>
      </c>
      <c r="O535" s="146">
        <f t="shared" si="752"/>
        <v>0</v>
      </c>
      <c r="P535" s="146">
        <f t="shared" si="752"/>
        <v>14058954.529999999</v>
      </c>
      <c r="Q535" s="411">
        <f t="shared" si="752"/>
        <v>0</v>
      </c>
      <c r="R535" s="128">
        <f t="shared" si="649"/>
        <v>14058954.529999999</v>
      </c>
      <c r="S535" s="146">
        <f t="shared" ref="S535:Z535" si="753">+S536</f>
        <v>0</v>
      </c>
      <c r="T535" s="146">
        <f t="shared" si="753"/>
        <v>0</v>
      </c>
      <c r="U535" s="146">
        <f t="shared" si="753"/>
        <v>0</v>
      </c>
      <c r="V535" s="146">
        <f t="shared" si="753"/>
        <v>0</v>
      </c>
      <c r="W535" s="146">
        <f t="shared" si="753"/>
        <v>0</v>
      </c>
      <c r="X535" s="146">
        <f t="shared" si="753"/>
        <v>0</v>
      </c>
      <c r="Y535" s="146">
        <f t="shared" si="753"/>
        <v>0</v>
      </c>
      <c r="Z535" s="146">
        <f t="shared" si="753"/>
        <v>0</v>
      </c>
      <c r="AA535" s="128">
        <f t="shared" si="703"/>
        <v>0</v>
      </c>
      <c r="AB535" s="128">
        <f t="shared" si="651"/>
        <v>14058954.529999999</v>
      </c>
      <c r="AC535" s="175">
        <f t="shared" si="621"/>
        <v>1</v>
      </c>
    </row>
    <row r="536" spans="2:29" ht="14.25" x14ac:dyDescent="0.2">
      <c r="B536" s="76" t="s">
        <v>1578</v>
      </c>
      <c r="C536" s="77" t="s">
        <v>1577</v>
      </c>
      <c r="D536" s="41"/>
      <c r="E536" s="188">
        <f>SUM('ADICIONES  2021'!C536:I536)</f>
        <v>14058954.529999999</v>
      </c>
      <c r="F536" s="41"/>
      <c r="G536" s="41"/>
      <c r="H536" s="41"/>
      <c r="I536" s="41"/>
      <c r="J536" s="41"/>
      <c r="K536" s="128">
        <f t="shared" si="647"/>
        <v>14058954.529999999</v>
      </c>
      <c r="L536" s="41"/>
      <c r="M536" s="41"/>
      <c r="N536" s="41"/>
      <c r="O536" s="41"/>
      <c r="P536" s="41">
        <v>14058954.529999999</v>
      </c>
      <c r="Q536" s="409"/>
      <c r="R536" s="128">
        <f t="shared" si="649"/>
        <v>14058954.529999999</v>
      </c>
      <c r="S536" s="41"/>
      <c r="T536" s="41"/>
      <c r="U536" s="41"/>
      <c r="V536" s="41"/>
      <c r="W536" s="41"/>
      <c r="X536" s="41"/>
      <c r="Y536" s="41"/>
      <c r="Z536" s="41"/>
      <c r="AA536" s="128">
        <f t="shared" si="703"/>
        <v>0</v>
      </c>
      <c r="AB536" s="128">
        <f t="shared" si="651"/>
        <v>14058954.529999999</v>
      </c>
      <c r="AC536" s="175">
        <f t="shared" si="621"/>
        <v>1</v>
      </c>
    </row>
    <row r="537" spans="2:29" ht="31.5" x14ac:dyDescent="0.2">
      <c r="B537" s="81" t="s">
        <v>1579</v>
      </c>
      <c r="C537" s="79" t="s">
        <v>1580</v>
      </c>
      <c r="D537" s="146">
        <f>+D538</f>
        <v>0</v>
      </c>
      <c r="E537" s="187">
        <f>SUM('ADICIONES  2021'!C537:I537)</f>
        <v>234675</v>
      </c>
      <c r="F537" s="146">
        <f>+F538</f>
        <v>0</v>
      </c>
      <c r="G537" s="146">
        <f>+G538</f>
        <v>0</v>
      </c>
      <c r="H537" s="146">
        <f>+H538</f>
        <v>0</v>
      </c>
      <c r="I537" s="146">
        <f>+I538</f>
        <v>0</v>
      </c>
      <c r="J537" s="146">
        <f>+J538</f>
        <v>0</v>
      </c>
      <c r="K537" s="128">
        <f t="shared" si="647"/>
        <v>234675</v>
      </c>
      <c r="L537" s="146">
        <f t="shared" ref="L537:Q537" si="754">+L538</f>
        <v>0</v>
      </c>
      <c r="M537" s="146">
        <f t="shared" si="754"/>
        <v>0</v>
      </c>
      <c r="N537" s="146">
        <f t="shared" si="754"/>
        <v>0</v>
      </c>
      <c r="O537" s="146">
        <f t="shared" si="754"/>
        <v>0</v>
      </c>
      <c r="P537" s="146">
        <f t="shared" si="754"/>
        <v>234675</v>
      </c>
      <c r="Q537" s="411">
        <f t="shared" si="754"/>
        <v>0</v>
      </c>
      <c r="R537" s="128">
        <f t="shared" si="649"/>
        <v>234675</v>
      </c>
      <c r="S537" s="146">
        <f t="shared" ref="S537:Z537" si="755">+S538</f>
        <v>0</v>
      </c>
      <c r="T537" s="146">
        <f t="shared" si="755"/>
        <v>0</v>
      </c>
      <c r="U537" s="146">
        <f t="shared" si="755"/>
        <v>0</v>
      </c>
      <c r="V537" s="146">
        <f t="shared" si="755"/>
        <v>0</v>
      </c>
      <c r="W537" s="146">
        <f t="shared" si="755"/>
        <v>0</v>
      </c>
      <c r="X537" s="146">
        <f t="shared" si="755"/>
        <v>0</v>
      </c>
      <c r="Y537" s="146">
        <f t="shared" si="755"/>
        <v>0</v>
      </c>
      <c r="Z537" s="146">
        <f t="shared" si="755"/>
        <v>0</v>
      </c>
      <c r="AA537" s="128">
        <f t="shared" si="703"/>
        <v>0</v>
      </c>
      <c r="AB537" s="128">
        <f t="shared" si="651"/>
        <v>234675</v>
      </c>
      <c r="AC537" s="175">
        <f t="shared" si="621"/>
        <v>1</v>
      </c>
    </row>
    <row r="538" spans="2:29" ht="28.5" x14ac:dyDescent="0.2">
      <c r="B538" s="76" t="s">
        <v>1581</v>
      </c>
      <c r="C538" s="77" t="s">
        <v>1580</v>
      </c>
      <c r="D538" s="41"/>
      <c r="E538" s="188">
        <f>SUM('ADICIONES  2021'!C538:I538)</f>
        <v>234675</v>
      </c>
      <c r="F538" s="41"/>
      <c r="G538" s="41"/>
      <c r="H538" s="41"/>
      <c r="I538" s="41"/>
      <c r="J538" s="41"/>
      <c r="K538" s="128">
        <f t="shared" si="647"/>
        <v>234675</v>
      </c>
      <c r="L538" s="41"/>
      <c r="M538" s="41"/>
      <c r="N538" s="41"/>
      <c r="O538" s="41"/>
      <c r="P538" s="41">
        <v>234675</v>
      </c>
      <c r="Q538" s="409"/>
      <c r="R538" s="128">
        <f t="shared" ref="R538:R565" si="756">SUM(L538:Q538)</f>
        <v>234675</v>
      </c>
      <c r="S538" s="41"/>
      <c r="T538" s="41"/>
      <c r="U538" s="41"/>
      <c r="V538" s="41"/>
      <c r="W538" s="41"/>
      <c r="X538" s="41"/>
      <c r="Y538" s="41"/>
      <c r="Z538" s="41"/>
      <c r="AA538" s="128">
        <f t="shared" si="703"/>
        <v>0</v>
      </c>
      <c r="AB538" s="128">
        <f t="shared" si="651"/>
        <v>234675</v>
      </c>
      <c r="AC538" s="175">
        <f t="shared" si="621"/>
        <v>1</v>
      </c>
    </row>
    <row r="539" spans="2:29" ht="15.75" x14ac:dyDescent="0.2">
      <c r="B539" s="81" t="s">
        <v>1582</v>
      </c>
      <c r="C539" s="79" t="s">
        <v>1583</v>
      </c>
      <c r="D539" s="146">
        <f>+D540</f>
        <v>0</v>
      </c>
      <c r="E539" s="187">
        <f>SUM('ADICIONES  2021'!C539:I539)</f>
        <v>6828499.0099999998</v>
      </c>
      <c r="F539" s="146">
        <f>+F540</f>
        <v>0</v>
      </c>
      <c r="G539" s="146">
        <f>+G540</f>
        <v>0</v>
      </c>
      <c r="H539" s="146">
        <f>+H540</f>
        <v>0</v>
      </c>
      <c r="I539" s="146">
        <f>+I540</f>
        <v>0</v>
      </c>
      <c r="J539" s="146">
        <f>+J540</f>
        <v>0</v>
      </c>
      <c r="K539" s="128">
        <f t="shared" si="647"/>
        <v>6828499.0099999998</v>
      </c>
      <c r="L539" s="146">
        <f t="shared" ref="L539:Q539" si="757">+L540</f>
        <v>0</v>
      </c>
      <c r="M539" s="146">
        <f t="shared" si="757"/>
        <v>0</v>
      </c>
      <c r="N539" s="146">
        <f t="shared" si="757"/>
        <v>0</v>
      </c>
      <c r="O539" s="146">
        <f t="shared" si="757"/>
        <v>0</v>
      </c>
      <c r="P539" s="146">
        <f t="shared" si="757"/>
        <v>6828499.0099999998</v>
      </c>
      <c r="Q539" s="411">
        <f t="shared" si="757"/>
        <v>0</v>
      </c>
      <c r="R539" s="128">
        <f t="shared" si="756"/>
        <v>6828499.0099999998</v>
      </c>
      <c r="S539" s="146">
        <f t="shared" ref="S539:Z539" si="758">+S540</f>
        <v>0</v>
      </c>
      <c r="T539" s="146">
        <f t="shared" si="758"/>
        <v>0</v>
      </c>
      <c r="U539" s="146">
        <f t="shared" si="758"/>
        <v>0</v>
      </c>
      <c r="V539" s="146">
        <f t="shared" si="758"/>
        <v>0</v>
      </c>
      <c r="W539" s="146">
        <f t="shared" si="758"/>
        <v>0</v>
      </c>
      <c r="X539" s="146">
        <f t="shared" si="758"/>
        <v>0</v>
      </c>
      <c r="Y539" s="146">
        <f t="shared" si="758"/>
        <v>0</v>
      </c>
      <c r="Z539" s="146">
        <f t="shared" si="758"/>
        <v>0</v>
      </c>
      <c r="AA539" s="128">
        <f t="shared" si="703"/>
        <v>0</v>
      </c>
      <c r="AB539" s="128">
        <f t="shared" si="651"/>
        <v>6828499.0099999998</v>
      </c>
      <c r="AC539" s="175">
        <f t="shared" si="621"/>
        <v>1</v>
      </c>
    </row>
    <row r="540" spans="2:29" ht="14.25" x14ac:dyDescent="0.2">
      <c r="B540" s="76" t="s">
        <v>1584</v>
      </c>
      <c r="C540" s="77" t="s">
        <v>1583</v>
      </c>
      <c r="D540" s="41"/>
      <c r="E540" s="188">
        <f>SUM('ADICIONES  2021'!C540:I540)</f>
        <v>6828499.0099999998</v>
      </c>
      <c r="F540" s="41"/>
      <c r="G540" s="41"/>
      <c r="H540" s="41"/>
      <c r="I540" s="41"/>
      <c r="J540" s="41"/>
      <c r="K540" s="128">
        <f t="shared" si="647"/>
        <v>6828499.0099999998</v>
      </c>
      <c r="L540" s="41"/>
      <c r="M540" s="41"/>
      <c r="N540" s="41"/>
      <c r="O540" s="41"/>
      <c r="P540" s="41">
        <v>6828499.0099999998</v>
      </c>
      <c r="Q540" s="409"/>
      <c r="R540" s="128">
        <f t="shared" si="756"/>
        <v>6828499.0099999998</v>
      </c>
      <c r="S540" s="41"/>
      <c r="T540" s="41"/>
      <c r="U540" s="41"/>
      <c r="V540" s="41"/>
      <c r="W540" s="41"/>
      <c r="X540" s="41"/>
      <c r="Y540" s="41"/>
      <c r="Z540" s="41"/>
      <c r="AA540" s="128">
        <f t="shared" si="703"/>
        <v>0</v>
      </c>
      <c r="AB540" s="128">
        <f t="shared" si="651"/>
        <v>6828499.0099999998</v>
      </c>
      <c r="AC540" s="175">
        <f t="shared" si="621"/>
        <v>1</v>
      </c>
    </row>
    <row r="541" spans="2:29" ht="31.5" x14ac:dyDescent="0.2">
      <c r="B541" s="81" t="s">
        <v>1585</v>
      </c>
      <c r="C541" s="79" t="s">
        <v>1586</v>
      </c>
      <c r="D541" s="146">
        <f>+D542</f>
        <v>0</v>
      </c>
      <c r="E541" s="187">
        <f>SUM('ADICIONES  2021'!C541:I541)</f>
        <v>302919</v>
      </c>
      <c r="F541" s="146">
        <f>+F542</f>
        <v>0</v>
      </c>
      <c r="G541" s="146">
        <f>+G542</f>
        <v>0</v>
      </c>
      <c r="H541" s="146">
        <f>+H542</f>
        <v>0</v>
      </c>
      <c r="I541" s="146">
        <f>+I542</f>
        <v>0</v>
      </c>
      <c r="J541" s="146">
        <f>+J542</f>
        <v>0</v>
      </c>
      <c r="K541" s="128">
        <f t="shared" si="647"/>
        <v>302919</v>
      </c>
      <c r="L541" s="146">
        <f t="shared" ref="L541:Q541" si="759">+L542</f>
        <v>0</v>
      </c>
      <c r="M541" s="146">
        <f t="shared" si="759"/>
        <v>0</v>
      </c>
      <c r="N541" s="146">
        <f t="shared" si="759"/>
        <v>0</v>
      </c>
      <c r="O541" s="146">
        <f t="shared" si="759"/>
        <v>0</v>
      </c>
      <c r="P541" s="146">
        <f t="shared" si="759"/>
        <v>302919</v>
      </c>
      <c r="Q541" s="411">
        <f t="shared" si="759"/>
        <v>0</v>
      </c>
      <c r="R541" s="128">
        <f t="shared" si="756"/>
        <v>302919</v>
      </c>
      <c r="S541" s="146">
        <f t="shared" ref="S541:Z541" si="760">+S542</f>
        <v>0</v>
      </c>
      <c r="T541" s="146">
        <f t="shared" si="760"/>
        <v>0</v>
      </c>
      <c r="U541" s="146">
        <f t="shared" si="760"/>
        <v>0</v>
      </c>
      <c r="V541" s="146">
        <f t="shared" si="760"/>
        <v>0</v>
      </c>
      <c r="W541" s="146">
        <f t="shared" si="760"/>
        <v>0</v>
      </c>
      <c r="X541" s="146">
        <f t="shared" si="760"/>
        <v>0</v>
      </c>
      <c r="Y541" s="146">
        <f t="shared" si="760"/>
        <v>0</v>
      </c>
      <c r="Z541" s="146">
        <f t="shared" si="760"/>
        <v>0</v>
      </c>
      <c r="AA541" s="128">
        <f t="shared" si="703"/>
        <v>0</v>
      </c>
      <c r="AB541" s="128">
        <f t="shared" si="651"/>
        <v>302919</v>
      </c>
      <c r="AC541" s="175">
        <f t="shared" si="621"/>
        <v>1</v>
      </c>
    </row>
    <row r="542" spans="2:29" ht="28.5" x14ac:dyDescent="0.2">
      <c r="B542" s="76" t="s">
        <v>1587</v>
      </c>
      <c r="C542" s="77" t="s">
        <v>1586</v>
      </c>
      <c r="D542" s="41"/>
      <c r="E542" s="188">
        <f>SUM('ADICIONES  2021'!C542:I542)</f>
        <v>302919</v>
      </c>
      <c r="F542" s="41"/>
      <c r="G542" s="41"/>
      <c r="H542" s="41"/>
      <c r="I542" s="41"/>
      <c r="J542" s="41"/>
      <c r="K542" s="128">
        <f t="shared" si="647"/>
        <v>302919</v>
      </c>
      <c r="L542" s="41"/>
      <c r="M542" s="41"/>
      <c r="N542" s="41"/>
      <c r="O542" s="41"/>
      <c r="P542" s="41">
        <v>302919</v>
      </c>
      <c r="Q542" s="409"/>
      <c r="R542" s="128">
        <f t="shared" si="756"/>
        <v>302919</v>
      </c>
      <c r="S542" s="41"/>
      <c r="T542" s="41"/>
      <c r="U542" s="41"/>
      <c r="V542" s="41"/>
      <c r="W542" s="41"/>
      <c r="X542" s="41"/>
      <c r="Y542" s="41"/>
      <c r="Z542" s="41"/>
      <c r="AA542" s="128">
        <f t="shared" si="703"/>
        <v>0</v>
      </c>
      <c r="AB542" s="128">
        <f t="shared" si="651"/>
        <v>302919</v>
      </c>
      <c r="AC542" s="175">
        <f t="shared" si="621"/>
        <v>1</v>
      </c>
    </row>
    <row r="543" spans="2:29" ht="31.5" x14ac:dyDescent="0.2">
      <c r="B543" s="81" t="s">
        <v>1588</v>
      </c>
      <c r="C543" s="79" t="s">
        <v>1589</v>
      </c>
      <c r="D543" s="146">
        <f>+D544</f>
        <v>0</v>
      </c>
      <c r="E543" s="187">
        <f>SUM('ADICIONES  2021'!C543:I543)</f>
        <v>1000000</v>
      </c>
      <c r="F543" s="146">
        <f>+F544</f>
        <v>0</v>
      </c>
      <c r="G543" s="146">
        <f>+G544</f>
        <v>0</v>
      </c>
      <c r="H543" s="146">
        <f>+H544</f>
        <v>0</v>
      </c>
      <c r="I543" s="146">
        <f>+I544</f>
        <v>0</v>
      </c>
      <c r="J543" s="146">
        <f>+J544</f>
        <v>0</v>
      </c>
      <c r="K543" s="128">
        <f t="shared" si="647"/>
        <v>1000000</v>
      </c>
      <c r="L543" s="146">
        <f t="shared" ref="L543:Q543" si="761">+L544</f>
        <v>0</v>
      </c>
      <c r="M543" s="146">
        <f t="shared" si="761"/>
        <v>0</v>
      </c>
      <c r="N543" s="146">
        <f t="shared" si="761"/>
        <v>0</v>
      </c>
      <c r="O543" s="146">
        <f t="shared" si="761"/>
        <v>0</v>
      </c>
      <c r="P543" s="146">
        <f t="shared" si="761"/>
        <v>1000000</v>
      </c>
      <c r="Q543" s="411">
        <f t="shared" si="761"/>
        <v>0</v>
      </c>
      <c r="R543" s="128">
        <f t="shared" si="756"/>
        <v>1000000</v>
      </c>
      <c r="S543" s="146">
        <f t="shared" ref="S543:Z543" si="762">+S544</f>
        <v>0</v>
      </c>
      <c r="T543" s="146">
        <f t="shared" si="762"/>
        <v>0</v>
      </c>
      <c r="U543" s="146">
        <f t="shared" si="762"/>
        <v>0</v>
      </c>
      <c r="V543" s="146">
        <f t="shared" si="762"/>
        <v>0</v>
      </c>
      <c r="W543" s="146">
        <f t="shared" si="762"/>
        <v>0</v>
      </c>
      <c r="X543" s="146">
        <f t="shared" si="762"/>
        <v>0</v>
      </c>
      <c r="Y543" s="146">
        <f t="shared" si="762"/>
        <v>0</v>
      </c>
      <c r="Z543" s="146">
        <f t="shared" si="762"/>
        <v>0</v>
      </c>
      <c r="AA543" s="128">
        <f t="shared" si="703"/>
        <v>0</v>
      </c>
      <c r="AB543" s="128">
        <f t="shared" si="651"/>
        <v>1000000</v>
      </c>
      <c r="AC543" s="175">
        <f t="shared" si="621"/>
        <v>1</v>
      </c>
    </row>
    <row r="544" spans="2:29" ht="28.5" x14ac:dyDescent="0.2">
      <c r="B544" s="76" t="s">
        <v>1590</v>
      </c>
      <c r="C544" s="77" t="s">
        <v>1589</v>
      </c>
      <c r="D544" s="41"/>
      <c r="E544" s="188">
        <f>SUM('ADICIONES  2021'!C544:I544)</f>
        <v>1000000</v>
      </c>
      <c r="F544" s="41"/>
      <c r="G544" s="41"/>
      <c r="H544" s="41"/>
      <c r="I544" s="41"/>
      <c r="J544" s="41"/>
      <c r="K544" s="128">
        <f t="shared" si="647"/>
        <v>1000000</v>
      </c>
      <c r="L544" s="41"/>
      <c r="M544" s="41"/>
      <c r="N544" s="41"/>
      <c r="O544" s="41"/>
      <c r="P544" s="41">
        <v>1000000</v>
      </c>
      <c r="Q544" s="409"/>
      <c r="R544" s="128">
        <f t="shared" si="756"/>
        <v>1000000</v>
      </c>
      <c r="S544" s="41"/>
      <c r="T544" s="41"/>
      <c r="U544" s="41"/>
      <c r="V544" s="41"/>
      <c r="W544" s="41"/>
      <c r="X544" s="41"/>
      <c r="Y544" s="41"/>
      <c r="Z544" s="41"/>
      <c r="AA544" s="128">
        <f t="shared" ref="AA544:AA565" si="763">SUM(S544:Z544)</f>
        <v>0</v>
      </c>
      <c r="AB544" s="128">
        <f t="shared" si="651"/>
        <v>1000000</v>
      </c>
      <c r="AC544" s="175">
        <f t="shared" si="621"/>
        <v>1</v>
      </c>
    </row>
    <row r="545" spans="2:29" ht="15.75" x14ac:dyDescent="0.2">
      <c r="B545" s="81" t="s">
        <v>1591</v>
      </c>
      <c r="C545" s="79" t="s">
        <v>1592</v>
      </c>
      <c r="D545" s="146">
        <f>+D546</f>
        <v>0</v>
      </c>
      <c r="E545" s="187">
        <f>SUM('ADICIONES  2021'!C545:I545)</f>
        <v>30926960</v>
      </c>
      <c r="F545" s="146">
        <f>+F546</f>
        <v>0</v>
      </c>
      <c r="G545" s="146">
        <f>+G546</f>
        <v>0</v>
      </c>
      <c r="H545" s="146">
        <f>+H546</f>
        <v>0</v>
      </c>
      <c r="I545" s="146">
        <f>+I546</f>
        <v>0</v>
      </c>
      <c r="J545" s="146">
        <f>+J546</f>
        <v>0</v>
      </c>
      <c r="K545" s="128">
        <f t="shared" si="647"/>
        <v>30926960</v>
      </c>
      <c r="L545" s="146">
        <f t="shared" ref="L545:Q545" si="764">+L546</f>
        <v>0</v>
      </c>
      <c r="M545" s="146">
        <f t="shared" si="764"/>
        <v>0</v>
      </c>
      <c r="N545" s="146">
        <f t="shared" si="764"/>
        <v>0</v>
      </c>
      <c r="O545" s="146">
        <f t="shared" si="764"/>
        <v>0</v>
      </c>
      <c r="P545" s="146">
        <f t="shared" si="764"/>
        <v>30926960</v>
      </c>
      <c r="Q545" s="411">
        <f t="shared" si="764"/>
        <v>0</v>
      </c>
      <c r="R545" s="128">
        <f t="shared" si="756"/>
        <v>30926960</v>
      </c>
      <c r="S545" s="146">
        <f t="shared" ref="S545:Z545" si="765">+S546</f>
        <v>0</v>
      </c>
      <c r="T545" s="146">
        <f t="shared" si="765"/>
        <v>0</v>
      </c>
      <c r="U545" s="146">
        <f t="shared" si="765"/>
        <v>0</v>
      </c>
      <c r="V545" s="146">
        <f t="shared" si="765"/>
        <v>0</v>
      </c>
      <c r="W545" s="146">
        <f t="shared" si="765"/>
        <v>0</v>
      </c>
      <c r="X545" s="146">
        <f t="shared" si="765"/>
        <v>0</v>
      </c>
      <c r="Y545" s="146">
        <f t="shared" si="765"/>
        <v>0</v>
      </c>
      <c r="Z545" s="146">
        <f t="shared" si="765"/>
        <v>0</v>
      </c>
      <c r="AA545" s="128">
        <f t="shared" si="763"/>
        <v>0</v>
      </c>
      <c r="AB545" s="128">
        <f t="shared" si="651"/>
        <v>30926960</v>
      </c>
      <c r="AC545" s="175">
        <f t="shared" si="621"/>
        <v>1</v>
      </c>
    </row>
    <row r="546" spans="2:29" ht="14.25" x14ac:dyDescent="0.2">
      <c r="B546" s="76" t="s">
        <v>1593</v>
      </c>
      <c r="C546" s="77" t="s">
        <v>1592</v>
      </c>
      <c r="D546" s="41"/>
      <c r="E546" s="188">
        <f>SUM('ADICIONES  2021'!C546:I546)</f>
        <v>30926960</v>
      </c>
      <c r="F546" s="41"/>
      <c r="G546" s="41"/>
      <c r="H546" s="41"/>
      <c r="I546" s="41"/>
      <c r="J546" s="41"/>
      <c r="K546" s="128">
        <f t="shared" si="647"/>
        <v>30926960</v>
      </c>
      <c r="L546" s="41"/>
      <c r="M546" s="41"/>
      <c r="N546" s="41"/>
      <c r="O546" s="41"/>
      <c r="P546" s="41">
        <v>30926960</v>
      </c>
      <c r="Q546" s="409"/>
      <c r="R546" s="128">
        <f t="shared" si="756"/>
        <v>30926960</v>
      </c>
      <c r="S546" s="41"/>
      <c r="T546" s="41"/>
      <c r="U546" s="41"/>
      <c r="V546" s="41"/>
      <c r="W546" s="41"/>
      <c r="X546" s="41"/>
      <c r="Y546" s="41"/>
      <c r="Z546" s="41"/>
      <c r="AA546" s="128">
        <f t="shared" si="763"/>
        <v>0</v>
      </c>
      <c r="AB546" s="128">
        <f t="shared" si="651"/>
        <v>30926960</v>
      </c>
      <c r="AC546" s="175">
        <f t="shared" si="621"/>
        <v>1</v>
      </c>
    </row>
    <row r="547" spans="2:29" ht="15.75" x14ac:dyDescent="0.2">
      <c r="B547" s="81" t="s">
        <v>1594</v>
      </c>
      <c r="C547" s="79" t="s">
        <v>1595</v>
      </c>
      <c r="D547" s="146">
        <f>+D548</f>
        <v>0</v>
      </c>
      <c r="E547" s="187">
        <f>SUM('ADICIONES  2021'!C547:I547)</f>
        <v>1820196924.4300001</v>
      </c>
      <c r="F547" s="146">
        <f>+F548</f>
        <v>0</v>
      </c>
      <c r="G547" s="146">
        <f>+G548</f>
        <v>0</v>
      </c>
      <c r="H547" s="146">
        <f>+H548</f>
        <v>0</v>
      </c>
      <c r="I547" s="146">
        <f>+I548</f>
        <v>0</v>
      </c>
      <c r="J547" s="146">
        <f>+J548</f>
        <v>0</v>
      </c>
      <c r="K547" s="128">
        <f t="shared" si="647"/>
        <v>1820196924.4300001</v>
      </c>
      <c r="L547" s="146">
        <f t="shared" ref="L547:Q547" si="766">+L548</f>
        <v>0</v>
      </c>
      <c r="M547" s="146">
        <f t="shared" si="766"/>
        <v>0</v>
      </c>
      <c r="N547" s="146">
        <f t="shared" si="766"/>
        <v>0</v>
      </c>
      <c r="O547" s="146">
        <f t="shared" si="766"/>
        <v>0</v>
      </c>
      <c r="P547" s="146">
        <f t="shared" si="766"/>
        <v>1820196924.4300001</v>
      </c>
      <c r="Q547" s="411">
        <f t="shared" si="766"/>
        <v>0</v>
      </c>
      <c r="R547" s="128">
        <f t="shared" si="756"/>
        <v>1820196924.4300001</v>
      </c>
      <c r="S547" s="146">
        <f t="shared" ref="S547:Z547" si="767">+S548</f>
        <v>0</v>
      </c>
      <c r="T547" s="146">
        <f t="shared" si="767"/>
        <v>0</v>
      </c>
      <c r="U547" s="146">
        <f t="shared" si="767"/>
        <v>0</v>
      </c>
      <c r="V547" s="146">
        <f t="shared" si="767"/>
        <v>0</v>
      </c>
      <c r="W547" s="146">
        <f t="shared" si="767"/>
        <v>0</v>
      </c>
      <c r="X547" s="146">
        <f t="shared" si="767"/>
        <v>0</v>
      </c>
      <c r="Y547" s="146">
        <f t="shared" si="767"/>
        <v>0</v>
      </c>
      <c r="Z547" s="146">
        <f t="shared" si="767"/>
        <v>0</v>
      </c>
      <c r="AA547" s="128">
        <f t="shared" si="763"/>
        <v>0</v>
      </c>
      <c r="AB547" s="128">
        <f t="shared" si="651"/>
        <v>1820196924.4300001</v>
      </c>
      <c r="AC547" s="175">
        <f t="shared" si="621"/>
        <v>1</v>
      </c>
    </row>
    <row r="548" spans="2:29" ht="14.25" x14ac:dyDescent="0.2">
      <c r="B548" s="76" t="s">
        <v>1596</v>
      </c>
      <c r="C548" s="77" t="s">
        <v>1595</v>
      </c>
      <c r="D548" s="41"/>
      <c r="E548" s="188">
        <f>SUM('ADICIONES  2021'!C548:I548)</f>
        <v>1820196924.4300001</v>
      </c>
      <c r="F548" s="41"/>
      <c r="G548" s="41"/>
      <c r="H548" s="41"/>
      <c r="I548" s="41"/>
      <c r="J548" s="41"/>
      <c r="K548" s="128">
        <f t="shared" si="647"/>
        <v>1820196924.4300001</v>
      </c>
      <c r="L548" s="41"/>
      <c r="M548" s="41"/>
      <c r="N548" s="41"/>
      <c r="O548" s="41"/>
      <c r="P548" s="41">
        <v>1820196924.4300001</v>
      </c>
      <c r="Q548" s="409"/>
      <c r="R548" s="128">
        <f t="shared" si="756"/>
        <v>1820196924.4300001</v>
      </c>
      <c r="S548" s="41"/>
      <c r="T548" s="41"/>
      <c r="U548" s="41"/>
      <c r="V548" s="41"/>
      <c r="W548" s="41"/>
      <c r="X548" s="41"/>
      <c r="Y548" s="41"/>
      <c r="Z548" s="41"/>
      <c r="AA548" s="128">
        <f t="shared" si="763"/>
        <v>0</v>
      </c>
      <c r="AB548" s="128">
        <f t="shared" si="651"/>
        <v>1820196924.4300001</v>
      </c>
      <c r="AC548" s="175">
        <f t="shared" si="621"/>
        <v>1</v>
      </c>
    </row>
    <row r="549" spans="2:29" ht="31.5" x14ac:dyDescent="0.2">
      <c r="B549" s="81" t="s">
        <v>1597</v>
      </c>
      <c r="C549" s="79" t="s">
        <v>1598</v>
      </c>
      <c r="D549" s="146">
        <f>+D550</f>
        <v>0</v>
      </c>
      <c r="E549" s="187">
        <f>SUM('ADICIONES  2021'!C549:I549)</f>
        <v>26914974.489999998</v>
      </c>
      <c r="F549" s="146">
        <f>+F550</f>
        <v>0</v>
      </c>
      <c r="G549" s="146">
        <f>+G550</f>
        <v>0</v>
      </c>
      <c r="H549" s="146">
        <f>+H550</f>
        <v>0</v>
      </c>
      <c r="I549" s="146">
        <f>+I550</f>
        <v>0</v>
      </c>
      <c r="J549" s="146">
        <f>+J550</f>
        <v>0</v>
      </c>
      <c r="K549" s="128">
        <f t="shared" si="647"/>
        <v>26914974.489999998</v>
      </c>
      <c r="L549" s="146">
        <f t="shared" ref="L549:Q549" si="768">+L550</f>
        <v>0</v>
      </c>
      <c r="M549" s="146">
        <f t="shared" si="768"/>
        <v>0</v>
      </c>
      <c r="N549" s="146">
        <f t="shared" si="768"/>
        <v>0</v>
      </c>
      <c r="O549" s="146">
        <f t="shared" si="768"/>
        <v>0</v>
      </c>
      <c r="P549" s="146">
        <f t="shared" si="768"/>
        <v>26914974.489999998</v>
      </c>
      <c r="Q549" s="411">
        <f t="shared" si="768"/>
        <v>0</v>
      </c>
      <c r="R549" s="128">
        <f t="shared" si="756"/>
        <v>26914974.489999998</v>
      </c>
      <c r="S549" s="146">
        <f t="shared" ref="S549:Z549" si="769">+S550</f>
        <v>0</v>
      </c>
      <c r="T549" s="146">
        <f t="shared" si="769"/>
        <v>0</v>
      </c>
      <c r="U549" s="146">
        <f t="shared" si="769"/>
        <v>0</v>
      </c>
      <c r="V549" s="146">
        <f t="shared" si="769"/>
        <v>0</v>
      </c>
      <c r="W549" s="146">
        <f t="shared" si="769"/>
        <v>0</v>
      </c>
      <c r="X549" s="146">
        <f t="shared" si="769"/>
        <v>0</v>
      </c>
      <c r="Y549" s="146">
        <f t="shared" si="769"/>
        <v>0</v>
      </c>
      <c r="Z549" s="146">
        <f t="shared" si="769"/>
        <v>0</v>
      </c>
      <c r="AA549" s="128">
        <f t="shared" si="763"/>
        <v>0</v>
      </c>
      <c r="AB549" s="128">
        <f t="shared" si="651"/>
        <v>26914974.489999998</v>
      </c>
      <c r="AC549" s="175">
        <f t="shared" si="621"/>
        <v>1</v>
      </c>
    </row>
    <row r="550" spans="2:29" ht="28.5" x14ac:dyDescent="0.2">
      <c r="B550" s="76" t="s">
        <v>1599</v>
      </c>
      <c r="C550" s="77" t="s">
        <v>1598</v>
      </c>
      <c r="D550" s="41"/>
      <c r="E550" s="188">
        <f>SUM('ADICIONES  2021'!C550:I550)</f>
        <v>26914974.489999998</v>
      </c>
      <c r="F550" s="41"/>
      <c r="G550" s="41"/>
      <c r="H550" s="41"/>
      <c r="I550" s="41"/>
      <c r="J550" s="41"/>
      <c r="K550" s="128">
        <f t="shared" si="647"/>
        <v>26914974.489999998</v>
      </c>
      <c r="L550" s="41"/>
      <c r="M550" s="41"/>
      <c r="N550" s="41"/>
      <c r="O550" s="41"/>
      <c r="P550" s="41">
        <v>26914974.489999998</v>
      </c>
      <c r="Q550" s="409"/>
      <c r="R550" s="128">
        <f t="shared" si="756"/>
        <v>26914974.489999998</v>
      </c>
      <c r="S550" s="41"/>
      <c r="T550" s="41"/>
      <c r="U550" s="41"/>
      <c r="V550" s="41"/>
      <c r="W550" s="41"/>
      <c r="X550" s="41"/>
      <c r="Y550" s="41"/>
      <c r="Z550" s="41"/>
      <c r="AA550" s="128">
        <f t="shared" si="763"/>
        <v>0</v>
      </c>
      <c r="AB550" s="128">
        <f t="shared" si="651"/>
        <v>26914974.489999998</v>
      </c>
      <c r="AC550" s="175">
        <f t="shared" si="621"/>
        <v>1</v>
      </c>
    </row>
    <row r="551" spans="2:29" ht="15.75" x14ac:dyDescent="0.2">
      <c r="B551" s="81" t="s">
        <v>1600</v>
      </c>
      <c r="C551" s="79" t="s">
        <v>1601</v>
      </c>
      <c r="D551" s="146">
        <f>+D552</f>
        <v>0</v>
      </c>
      <c r="E551" s="187">
        <f>SUM('ADICIONES  2021'!C551:I551)</f>
        <v>64231303.409999996</v>
      </c>
      <c r="F551" s="146">
        <f>+F552</f>
        <v>0</v>
      </c>
      <c r="G551" s="146">
        <f>+G552</f>
        <v>0</v>
      </c>
      <c r="H551" s="146">
        <f>+H552</f>
        <v>0</v>
      </c>
      <c r="I551" s="146">
        <f>+I552</f>
        <v>0</v>
      </c>
      <c r="J551" s="146">
        <f>+J552</f>
        <v>0</v>
      </c>
      <c r="K551" s="128">
        <f t="shared" si="647"/>
        <v>64231303.409999996</v>
      </c>
      <c r="L551" s="146">
        <f t="shared" ref="L551:Q551" si="770">+L552</f>
        <v>0</v>
      </c>
      <c r="M551" s="146">
        <f t="shared" si="770"/>
        <v>0</v>
      </c>
      <c r="N551" s="146">
        <f t="shared" si="770"/>
        <v>0</v>
      </c>
      <c r="O551" s="146">
        <f t="shared" si="770"/>
        <v>0</v>
      </c>
      <c r="P551" s="146">
        <f t="shared" si="770"/>
        <v>64231303.409999996</v>
      </c>
      <c r="Q551" s="411">
        <f t="shared" si="770"/>
        <v>0</v>
      </c>
      <c r="R551" s="128">
        <f t="shared" si="756"/>
        <v>64231303.409999996</v>
      </c>
      <c r="S551" s="146">
        <f t="shared" ref="S551:Z551" si="771">+S552</f>
        <v>0</v>
      </c>
      <c r="T551" s="146">
        <f t="shared" si="771"/>
        <v>0</v>
      </c>
      <c r="U551" s="146">
        <f t="shared" si="771"/>
        <v>0</v>
      </c>
      <c r="V551" s="146">
        <f t="shared" si="771"/>
        <v>0</v>
      </c>
      <c r="W551" s="146">
        <f t="shared" si="771"/>
        <v>0</v>
      </c>
      <c r="X551" s="146">
        <f t="shared" si="771"/>
        <v>0</v>
      </c>
      <c r="Y551" s="146">
        <f t="shared" si="771"/>
        <v>0</v>
      </c>
      <c r="Z551" s="146">
        <f t="shared" si="771"/>
        <v>0</v>
      </c>
      <c r="AA551" s="128">
        <f t="shared" si="763"/>
        <v>0</v>
      </c>
      <c r="AB551" s="128">
        <f t="shared" si="651"/>
        <v>64231303.409999996</v>
      </c>
      <c r="AC551" s="175">
        <f t="shared" si="621"/>
        <v>1</v>
      </c>
    </row>
    <row r="552" spans="2:29" ht="14.25" x14ac:dyDescent="0.2">
      <c r="B552" s="76" t="s">
        <v>1602</v>
      </c>
      <c r="C552" s="77" t="s">
        <v>1601</v>
      </c>
      <c r="D552" s="41"/>
      <c r="E552" s="188">
        <f>SUM('ADICIONES  2021'!C552:I552)</f>
        <v>64231303.409999996</v>
      </c>
      <c r="F552" s="41"/>
      <c r="G552" s="41"/>
      <c r="H552" s="41"/>
      <c r="I552" s="41"/>
      <c r="J552" s="41"/>
      <c r="K552" s="128">
        <f t="shared" si="647"/>
        <v>64231303.409999996</v>
      </c>
      <c r="L552" s="41"/>
      <c r="M552" s="41"/>
      <c r="N552" s="41"/>
      <c r="O552" s="41"/>
      <c r="P552" s="41">
        <v>64231303.409999996</v>
      </c>
      <c r="Q552" s="409"/>
      <c r="R552" s="128">
        <f t="shared" si="756"/>
        <v>64231303.409999996</v>
      </c>
      <c r="S552" s="41"/>
      <c r="T552" s="41"/>
      <c r="U552" s="41"/>
      <c r="V552" s="41"/>
      <c r="W552" s="41"/>
      <c r="X552" s="41"/>
      <c r="Y552" s="41"/>
      <c r="Z552" s="41"/>
      <c r="AA552" s="128">
        <f t="shared" si="763"/>
        <v>0</v>
      </c>
      <c r="AB552" s="128">
        <f t="shared" si="651"/>
        <v>64231303.409999996</v>
      </c>
      <c r="AC552" s="175">
        <f t="shared" si="621"/>
        <v>1</v>
      </c>
    </row>
    <row r="553" spans="2:29" ht="15.75" x14ac:dyDescent="0.2">
      <c r="B553" s="81" t="s">
        <v>1603</v>
      </c>
      <c r="C553" s="79" t="s">
        <v>1601</v>
      </c>
      <c r="D553" s="146">
        <f>+D554</f>
        <v>0</v>
      </c>
      <c r="E553" s="187">
        <f>SUM('ADICIONES  2021'!C553:I553)</f>
        <v>18464558</v>
      </c>
      <c r="F553" s="146">
        <f>+F554</f>
        <v>0</v>
      </c>
      <c r="G553" s="146">
        <f>+G554</f>
        <v>0</v>
      </c>
      <c r="H553" s="146">
        <f>+H554</f>
        <v>0</v>
      </c>
      <c r="I553" s="146">
        <f>+I554</f>
        <v>0</v>
      </c>
      <c r="J553" s="146">
        <f>+J554</f>
        <v>0</v>
      </c>
      <c r="K553" s="128">
        <f t="shared" si="647"/>
        <v>18464558</v>
      </c>
      <c r="L553" s="146">
        <f t="shared" ref="L553:Q553" si="772">+L554</f>
        <v>0</v>
      </c>
      <c r="M553" s="146">
        <f t="shared" si="772"/>
        <v>0</v>
      </c>
      <c r="N553" s="146">
        <f t="shared" si="772"/>
        <v>0</v>
      </c>
      <c r="O553" s="146">
        <f t="shared" si="772"/>
        <v>0</v>
      </c>
      <c r="P553" s="146">
        <f t="shared" si="772"/>
        <v>18464558</v>
      </c>
      <c r="Q553" s="411">
        <f t="shared" si="772"/>
        <v>0</v>
      </c>
      <c r="R553" s="128">
        <f t="shared" si="756"/>
        <v>18464558</v>
      </c>
      <c r="S553" s="146">
        <f t="shared" ref="S553:Z553" si="773">+S554</f>
        <v>0</v>
      </c>
      <c r="T553" s="146">
        <f t="shared" si="773"/>
        <v>0</v>
      </c>
      <c r="U553" s="146">
        <f t="shared" si="773"/>
        <v>0</v>
      </c>
      <c r="V553" s="146">
        <f t="shared" si="773"/>
        <v>0</v>
      </c>
      <c r="W553" s="146">
        <f t="shared" si="773"/>
        <v>0</v>
      </c>
      <c r="X553" s="146">
        <f t="shared" si="773"/>
        <v>0</v>
      </c>
      <c r="Y553" s="146">
        <f t="shared" si="773"/>
        <v>0</v>
      </c>
      <c r="Z553" s="146">
        <f t="shared" si="773"/>
        <v>0</v>
      </c>
      <c r="AA553" s="128">
        <f t="shared" si="763"/>
        <v>0</v>
      </c>
      <c r="AB553" s="128">
        <f t="shared" si="651"/>
        <v>18464558</v>
      </c>
      <c r="AC553" s="175">
        <f t="shared" si="621"/>
        <v>1</v>
      </c>
    </row>
    <row r="554" spans="2:29" ht="14.25" x14ac:dyDescent="0.2">
      <c r="B554" s="76" t="s">
        <v>1604</v>
      </c>
      <c r="C554" s="77" t="s">
        <v>1605</v>
      </c>
      <c r="D554" s="41"/>
      <c r="E554" s="188">
        <f>SUM('ADICIONES  2021'!C554:I554)</f>
        <v>18464558</v>
      </c>
      <c r="F554" s="41"/>
      <c r="G554" s="41"/>
      <c r="H554" s="41"/>
      <c r="I554" s="41"/>
      <c r="J554" s="41"/>
      <c r="K554" s="128">
        <f t="shared" si="647"/>
        <v>18464558</v>
      </c>
      <c r="L554" s="41"/>
      <c r="M554" s="41"/>
      <c r="N554" s="41"/>
      <c r="O554" s="41"/>
      <c r="P554" s="41">
        <v>18464558</v>
      </c>
      <c r="Q554" s="409"/>
      <c r="R554" s="128">
        <f t="shared" si="756"/>
        <v>18464558</v>
      </c>
      <c r="S554" s="41"/>
      <c r="T554" s="41"/>
      <c r="U554" s="41"/>
      <c r="V554" s="41"/>
      <c r="W554" s="41"/>
      <c r="X554" s="41"/>
      <c r="Y554" s="41"/>
      <c r="Z554" s="41"/>
      <c r="AA554" s="128">
        <f t="shared" si="763"/>
        <v>0</v>
      </c>
      <c r="AB554" s="128">
        <f t="shared" si="651"/>
        <v>18464558</v>
      </c>
      <c r="AC554" s="175">
        <f t="shared" si="621"/>
        <v>1</v>
      </c>
    </row>
    <row r="555" spans="2:29" ht="15.75" x14ac:dyDescent="0.2">
      <c r="B555" s="81" t="s">
        <v>1606</v>
      </c>
      <c r="C555" s="79" t="s">
        <v>1607</v>
      </c>
      <c r="D555" s="146">
        <f>+D556+D558</f>
        <v>0</v>
      </c>
      <c r="E555" s="187">
        <f>SUM('ADICIONES  2021'!C555:I555)</f>
        <v>575059092</v>
      </c>
      <c r="F555" s="146">
        <f t="shared" ref="F555:J555" si="774">+F556+F558</f>
        <v>0</v>
      </c>
      <c r="G555" s="146">
        <f t="shared" si="774"/>
        <v>0</v>
      </c>
      <c r="H555" s="146">
        <f t="shared" si="774"/>
        <v>0</v>
      </c>
      <c r="I555" s="146">
        <f t="shared" si="774"/>
        <v>0</v>
      </c>
      <c r="J555" s="146">
        <f t="shared" si="774"/>
        <v>0</v>
      </c>
      <c r="K555" s="128">
        <f t="shared" si="647"/>
        <v>575059092</v>
      </c>
      <c r="L555" s="146">
        <f t="shared" ref="L555:Q555" si="775">+L556+L558</f>
        <v>0</v>
      </c>
      <c r="M555" s="146">
        <f t="shared" si="775"/>
        <v>0</v>
      </c>
      <c r="N555" s="146">
        <f t="shared" si="775"/>
        <v>0</v>
      </c>
      <c r="O555" s="146">
        <f t="shared" si="775"/>
        <v>0</v>
      </c>
      <c r="P555" s="146">
        <f t="shared" si="775"/>
        <v>575059092</v>
      </c>
      <c r="Q555" s="411">
        <f t="shared" si="775"/>
        <v>0</v>
      </c>
      <c r="R555" s="128">
        <f t="shared" si="756"/>
        <v>575059092</v>
      </c>
      <c r="S555" s="146">
        <f t="shared" ref="S555:Z555" si="776">+S556+S558</f>
        <v>0</v>
      </c>
      <c r="T555" s="146">
        <f t="shared" si="776"/>
        <v>0</v>
      </c>
      <c r="U555" s="146">
        <f t="shared" si="776"/>
        <v>0</v>
      </c>
      <c r="V555" s="146">
        <f t="shared" si="776"/>
        <v>0</v>
      </c>
      <c r="W555" s="146">
        <f t="shared" si="776"/>
        <v>0</v>
      </c>
      <c r="X555" s="146">
        <f t="shared" si="776"/>
        <v>0</v>
      </c>
      <c r="Y555" s="146">
        <f t="shared" si="776"/>
        <v>0</v>
      </c>
      <c r="Z555" s="146">
        <f t="shared" si="776"/>
        <v>0</v>
      </c>
      <c r="AA555" s="128">
        <f t="shared" si="763"/>
        <v>0</v>
      </c>
      <c r="AB555" s="128">
        <f t="shared" si="651"/>
        <v>575059092</v>
      </c>
      <c r="AC555" s="175">
        <f t="shared" si="621"/>
        <v>1</v>
      </c>
    </row>
    <row r="556" spans="2:29" ht="15.75" x14ac:dyDescent="0.2">
      <c r="B556" s="81" t="s">
        <v>1608</v>
      </c>
      <c r="C556" s="79" t="s">
        <v>1609</v>
      </c>
      <c r="D556" s="146">
        <f>+D557</f>
        <v>0</v>
      </c>
      <c r="E556" s="187">
        <f>SUM('ADICIONES  2021'!C556:I556)</f>
        <v>516752058</v>
      </c>
      <c r="F556" s="146">
        <f>+F557</f>
        <v>0</v>
      </c>
      <c r="G556" s="146">
        <f>+G557</f>
        <v>0</v>
      </c>
      <c r="H556" s="146">
        <f>+H557</f>
        <v>0</v>
      </c>
      <c r="I556" s="146">
        <f>+I557</f>
        <v>0</v>
      </c>
      <c r="J556" s="146">
        <f>+J557</f>
        <v>0</v>
      </c>
      <c r="K556" s="128">
        <f t="shared" si="647"/>
        <v>516752058</v>
      </c>
      <c r="L556" s="146">
        <f t="shared" ref="L556:Q556" si="777">+L557</f>
        <v>0</v>
      </c>
      <c r="M556" s="146">
        <f t="shared" si="777"/>
        <v>0</v>
      </c>
      <c r="N556" s="146">
        <f t="shared" si="777"/>
        <v>0</v>
      </c>
      <c r="O556" s="146">
        <f t="shared" si="777"/>
        <v>0</v>
      </c>
      <c r="P556" s="146">
        <f t="shared" si="777"/>
        <v>516752058</v>
      </c>
      <c r="Q556" s="411">
        <f t="shared" si="777"/>
        <v>0</v>
      </c>
      <c r="R556" s="128">
        <f t="shared" si="756"/>
        <v>516752058</v>
      </c>
      <c r="S556" s="146">
        <f t="shared" ref="S556:Z556" si="778">+S557</f>
        <v>0</v>
      </c>
      <c r="T556" s="146">
        <f t="shared" si="778"/>
        <v>0</v>
      </c>
      <c r="U556" s="146">
        <f t="shared" si="778"/>
        <v>0</v>
      </c>
      <c r="V556" s="146">
        <f t="shared" si="778"/>
        <v>0</v>
      </c>
      <c r="W556" s="146">
        <f t="shared" si="778"/>
        <v>0</v>
      </c>
      <c r="X556" s="146">
        <f t="shared" si="778"/>
        <v>0</v>
      </c>
      <c r="Y556" s="146">
        <f t="shared" si="778"/>
        <v>0</v>
      </c>
      <c r="Z556" s="146">
        <f t="shared" si="778"/>
        <v>0</v>
      </c>
      <c r="AA556" s="128">
        <f t="shared" si="763"/>
        <v>0</v>
      </c>
      <c r="AB556" s="128">
        <f t="shared" si="651"/>
        <v>516752058</v>
      </c>
      <c r="AC556" s="175">
        <f t="shared" si="621"/>
        <v>1</v>
      </c>
    </row>
    <row r="557" spans="2:29" ht="14.25" x14ac:dyDescent="0.2">
      <c r="B557" s="76" t="s">
        <v>1610</v>
      </c>
      <c r="C557" s="77" t="s">
        <v>1611</v>
      </c>
      <c r="D557" s="41"/>
      <c r="E557" s="188">
        <f>SUM('ADICIONES  2021'!C557:I557)</f>
        <v>516752058</v>
      </c>
      <c r="F557" s="41"/>
      <c r="G557" s="41"/>
      <c r="H557" s="41"/>
      <c r="I557" s="41"/>
      <c r="J557" s="41"/>
      <c r="K557" s="128">
        <f t="shared" si="647"/>
        <v>516752058</v>
      </c>
      <c r="L557" s="41"/>
      <c r="M557" s="41"/>
      <c r="N557" s="41"/>
      <c r="O557" s="41"/>
      <c r="P557" s="41">
        <v>516752058</v>
      </c>
      <c r="Q557" s="409"/>
      <c r="R557" s="128">
        <f t="shared" si="756"/>
        <v>516752058</v>
      </c>
      <c r="S557" s="41"/>
      <c r="T557" s="41"/>
      <c r="U557" s="41"/>
      <c r="V557" s="41"/>
      <c r="W557" s="41"/>
      <c r="X557" s="41"/>
      <c r="Y557" s="41"/>
      <c r="Z557" s="41"/>
      <c r="AA557" s="128">
        <f t="shared" si="763"/>
        <v>0</v>
      </c>
      <c r="AB557" s="128">
        <f t="shared" si="651"/>
        <v>516752058</v>
      </c>
      <c r="AC557" s="175">
        <f t="shared" si="621"/>
        <v>1</v>
      </c>
    </row>
    <row r="558" spans="2:29" ht="15.75" x14ac:dyDescent="0.2">
      <c r="B558" s="81" t="s">
        <v>1612</v>
      </c>
      <c r="C558" s="79" t="s">
        <v>1613</v>
      </c>
      <c r="D558" s="146">
        <f>+D559</f>
        <v>0</v>
      </c>
      <c r="E558" s="187">
        <f>SUM('ADICIONES  2021'!C558:I558)</f>
        <v>58307034</v>
      </c>
      <c r="F558" s="146">
        <f>+F559</f>
        <v>0</v>
      </c>
      <c r="G558" s="146">
        <f>+G559</f>
        <v>0</v>
      </c>
      <c r="H558" s="146">
        <f>+H559</f>
        <v>0</v>
      </c>
      <c r="I558" s="146">
        <f>+I559</f>
        <v>0</v>
      </c>
      <c r="J558" s="146">
        <f>+J559</f>
        <v>0</v>
      </c>
      <c r="K558" s="128">
        <f t="shared" si="647"/>
        <v>58307034</v>
      </c>
      <c r="L558" s="146">
        <f t="shared" ref="L558:Q558" si="779">+L559</f>
        <v>0</v>
      </c>
      <c r="M558" s="146">
        <f t="shared" si="779"/>
        <v>0</v>
      </c>
      <c r="N558" s="146">
        <f t="shared" si="779"/>
        <v>0</v>
      </c>
      <c r="O558" s="146">
        <f t="shared" si="779"/>
        <v>0</v>
      </c>
      <c r="P558" s="146">
        <f t="shared" si="779"/>
        <v>58307034</v>
      </c>
      <c r="Q558" s="411">
        <f t="shared" si="779"/>
        <v>0</v>
      </c>
      <c r="R558" s="128">
        <f t="shared" si="756"/>
        <v>58307034</v>
      </c>
      <c r="S558" s="146">
        <f t="shared" ref="S558:Z558" si="780">+S559</f>
        <v>0</v>
      </c>
      <c r="T558" s="146">
        <f t="shared" si="780"/>
        <v>0</v>
      </c>
      <c r="U558" s="146">
        <f t="shared" si="780"/>
        <v>0</v>
      </c>
      <c r="V558" s="146">
        <f t="shared" si="780"/>
        <v>0</v>
      </c>
      <c r="W558" s="146">
        <f t="shared" si="780"/>
        <v>0</v>
      </c>
      <c r="X558" s="146">
        <f t="shared" si="780"/>
        <v>0</v>
      </c>
      <c r="Y558" s="146">
        <f t="shared" si="780"/>
        <v>0</v>
      </c>
      <c r="Z558" s="146">
        <f t="shared" si="780"/>
        <v>0</v>
      </c>
      <c r="AA558" s="128">
        <f t="shared" si="763"/>
        <v>0</v>
      </c>
      <c r="AB558" s="128">
        <f t="shared" si="651"/>
        <v>58307034</v>
      </c>
      <c r="AC558" s="175">
        <f t="shared" si="621"/>
        <v>1</v>
      </c>
    </row>
    <row r="559" spans="2:29" ht="14.25" x14ac:dyDescent="0.2">
      <c r="B559" s="76" t="s">
        <v>1614</v>
      </c>
      <c r="C559" s="77" t="s">
        <v>1613</v>
      </c>
      <c r="D559" s="41"/>
      <c r="E559" s="188">
        <f>SUM('ADICIONES  2021'!C559:I559)</f>
        <v>58307034</v>
      </c>
      <c r="F559" s="41"/>
      <c r="G559" s="41"/>
      <c r="H559" s="41"/>
      <c r="I559" s="41"/>
      <c r="J559" s="41"/>
      <c r="K559" s="128">
        <f t="shared" si="647"/>
        <v>58307034</v>
      </c>
      <c r="L559" s="41"/>
      <c r="M559" s="41"/>
      <c r="N559" s="41"/>
      <c r="O559" s="41"/>
      <c r="P559" s="41">
        <v>58307034</v>
      </c>
      <c r="Q559" s="409"/>
      <c r="R559" s="128">
        <f t="shared" si="756"/>
        <v>58307034</v>
      </c>
      <c r="S559" s="41"/>
      <c r="T559" s="41"/>
      <c r="U559" s="41"/>
      <c r="V559" s="41"/>
      <c r="W559" s="41"/>
      <c r="X559" s="41"/>
      <c r="Y559" s="41"/>
      <c r="Z559" s="41"/>
      <c r="AA559" s="128">
        <f t="shared" si="763"/>
        <v>0</v>
      </c>
      <c r="AB559" s="128">
        <f t="shared" si="651"/>
        <v>58307034</v>
      </c>
      <c r="AC559" s="175">
        <f t="shared" si="621"/>
        <v>1</v>
      </c>
    </row>
    <row r="560" spans="2:29" ht="15.75" x14ac:dyDescent="0.2">
      <c r="B560" s="81" t="s">
        <v>1615</v>
      </c>
      <c r="C560" s="79" t="s">
        <v>1616</v>
      </c>
      <c r="D560" s="146">
        <f>+D561</f>
        <v>0</v>
      </c>
      <c r="E560" s="187">
        <f>SUM('ADICIONES  2021'!C560:I560)</f>
        <v>40452895.149999999</v>
      </c>
      <c r="F560" s="146">
        <f t="shared" ref="F560:J561" si="781">+F561</f>
        <v>0</v>
      </c>
      <c r="G560" s="146">
        <f t="shared" si="781"/>
        <v>0</v>
      </c>
      <c r="H560" s="146">
        <f t="shared" si="781"/>
        <v>0</v>
      </c>
      <c r="I560" s="146">
        <f t="shared" si="781"/>
        <v>0</v>
      </c>
      <c r="J560" s="146">
        <f t="shared" si="781"/>
        <v>0</v>
      </c>
      <c r="K560" s="128">
        <f t="shared" si="647"/>
        <v>40452895.149999999</v>
      </c>
      <c r="L560" s="146">
        <f t="shared" ref="L560:Q561" si="782">+L561</f>
        <v>0</v>
      </c>
      <c r="M560" s="146">
        <f t="shared" si="782"/>
        <v>0</v>
      </c>
      <c r="N560" s="146">
        <f t="shared" si="782"/>
        <v>0</v>
      </c>
      <c r="O560" s="146">
        <f t="shared" si="782"/>
        <v>0</v>
      </c>
      <c r="P560" s="146">
        <f t="shared" si="782"/>
        <v>40452895.149999999</v>
      </c>
      <c r="Q560" s="411">
        <f t="shared" si="782"/>
        <v>0</v>
      </c>
      <c r="R560" s="128">
        <f t="shared" si="756"/>
        <v>40452895.149999999</v>
      </c>
      <c r="S560" s="146">
        <f t="shared" ref="S560:Z561" si="783">+S561</f>
        <v>0</v>
      </c>
      <c r="T560" s="146">
        <f t="shared" si="783"/>
        <v>0</v>
      </c>
      <c r="U560" s="146">
        <f t="shared" si="783"/>
        <v>0</v>
      </c>
      <c r="V560" s="146">
        <f t="shared" si="783"/>
        <v>0</v>
      </c>
      <c r="W560" s="146">
        <f t="shared" si="783"/>
        <v>0</v>
      </c>
      <c r="X560" s="146">
        <f t="shared" si="783"/>
        <v>0</v>
      </c>
      <c r="Y560" s="146">
        <f t="shared" si="783"/>
        <v>0</v>
      </c>
      <c r="Z560" s="146">
        <f t="shared" si="783"/>
        <v>0</v>
      </c>
      <c r="AA560" s="128">
        <f t="shared" si="763"/>
        <v>0</v>
      </c>
      <c r="AB560" s="128">
        <f t="shared" si="651"/>
        <v>40452895.149999999</v>
      </c>
      <c r="AC560" s="175">
        <f t="shared" si="621"/>
        <v>1</v>
      </c>
    </row>
    <row r="561" spans="1:29" ht="31.5" x14ac:dyDescent="0.2">
      <c r="B561" s="81" t="s">
        <v>1617</v>
      </c>
      <c r="C561" s="79" t="s">
        <v>1618</v>
      </c>
      <c r="D561" s="146">
        <f>+D562</f>
        <v>0</v>
      </c>
      <c r="E561" s="187">
        <f>SUM('ADICIONES  2021'!C561:I561)</f>
        <v>40452895.149999999</v>
      </c>
      <c r="F561" s="146">
        <f t="shared" si="781"/>
        <v>0</v>
      </c>
      <c r="G561" s="146">
        <f t="shared" si="781"/>
        <v>0</v>
      </c>
      <c r="H561" s="146">
        <f t="shared" si="781"/>
        <v>0</v>
      </c>
      <c r="I561" s="146">
        <f t="shared" si="781"/>
        <v>0</v>
      </c>
      <c r="J561" s="146">
        <f t="shared" si="781"/>
        <v>0</v>
      </c>
      <c r="K561" s="128">
        <f t="shared" si="647"/>
        <v>40452895.149999999</v>
      </c>
      <c r="L561" s="146">
        <f t="shared" si="782"/>
        <v>0</v>
      </c>
      <c r="M561" s="146">
        <f t="shared" si="782"/>
        <v>0</v>
      </c>
      <c r="N561" s="146">
        <f t="shared" si="782"/>
        <v>0</v>
      </c>
      <c r="O561" s="146">
        <f t="shared" si="782"/>
        <v>0</v>
      </c>
      <c r="P561" s="146">
        <f t="shared" si="782"/>
        <v>40452895.149999999</v>
      </c>
      <c r="Q561" s="411">
        <f t="shared" si="782"/>
        <v>0</v>
      </c>
      <c r="R561" s="128">
        <f t="shared" si="756"/>
        <v>40452895.149999999</v>
      </c>
      <c r="S561" s="146">
        <f t="shared" si="783"/>
        <v>0</v>
      </c>
      <c r="T561" s="146">
        <f t="shared" si="783"/>
        <v>0</v>
      </c>
      <c r="U561" s="146">
        <f t="shared" si="783"/>
        <v>0</v>
      </c>
      <c r="V561" s="146">
        <f t="shared" si="783"/>
        <v>0</v>
      </c>
      <c r="W561" s="146">
        <f t="shared" si="783"/>
        <v>0</v>
      </c>
      <c r="X561" s="146">
        <f t="shared" si="783"/>
        <v>0</v>
      </c>
      <c r="Y561" s="146">
        <f t="shared" si="783"/>
        <v>0</v>
      </c>
      <c r="Z561" s="146">
        <f t="shared" si="783"/>
        <v>0</v>
      </c>
      <c r="AA561" s="128">
        <f t="shared" si="763"/>
        <v>0</v>
      </c>
      <c r="AB561" s="128">
        <f t="shared" si="651"/>
        <v>40452895.149999999</v>
      </c>
      <c r="AC561" s="175">
        <f t="shared" si="621"/>
        <v>1</v>
      </c>
    </row>
    <row r="562" spans="1:29" ht="28.5" x14ac:dyDescent="0.2">
      <c r="B562" s="76" t="s">
        <v>1619</v>
      </c>
      <c r="C562" s="77" t="s">
        <v>1618</v>
      </c>
      <c r="D562" s="41"/>
      <c r="E562" s="188">
        <f>SUM('ADICIONES  2021'!C562:I562)</f>
        <v>40452895.149999999</v>
      </c>
      <c r="F562" s="41"/>
      <c r="G562" s="41"/>
      <c r="H562" s="41"/>
      <c r="I562" s="41"/>
      <c r="J562" s="41"/>
      <c r="K562" s="128">
        <f t="shared" si="647"/>
        <v>40452895.149999999</v>
      </c>
      <c r="L562" s="41"/>
      <c r="M562" s="41"/>
      <c r="N562" s="41"/>
      <c r="O562" s="41"/>
      <c r="P562" s="41">
        <v>40452895.149999999</v>
      </c>
      <c r="Q562" s="409"/>
      <c r="R562" s="128">
        <f t="shared" si="756"/>
        <v>40452895.149999999</v>
      </c>
      <c r="S562" s="41"/>
      <c r="T562" s="41"/>
      <c r="U562" s="41"/>
      <c r="V562" s="41"/>
      <c r="W562" s="41"/>
      <c r="X562" s="41"/>
      <c r="Y562" s="41"/>
      <c r="Z562" s="41"/>
      <c r="AA562" s="128">
        <f t="shared" si="763"/>
        <v>0</v>
      </c>
      <c r="AB562" s="128">
        <f t="shared" si="651"/>
        <v>40452895.149999999</v>
      </c>
      <c r="AC562" s="175">
        <f t="shared" si="621"/>
        <v>1</v>
      </c>
    </row>
    <row r="563" spans="1:29" ht="31.5" x14ac:dyDescent="0.2">
      <c r="B563" s="81" t="s">
        <v>1620</v>
      </c>
      <c r="C563" s="79" t="s">
        <v>1621</v>
      </c>
      <c r="D563" s="146">
        <f>SUM(D564:D565)</f>
        <v>0</v>
      </c>
      <c r="E563" s="187">
        <f>SUM('ADICIONES  2021'!C563:I563)</f>
        <v>1688537021.8899999</v>
      </c>
      <c r="F563" s="146">
        <f>SUM(F564:F565)</f>
        <v>0</v>
      </c>
      <c r="G563" s="146">
        <f>SUM(G564:G565)</f>
        <v>0</v>
      </c>
      <c r="H563" s="146">
        <f>SUM(H564:H565)</f>
        <v>0</v>
      </c>
      <c r="I563" s="146">
        <f>SUM(I564:I565)</f>
        <v>0</v>
      </c>
      <c r="J563" s="146">
        <f>SUM(J564:J565)</f>
        <v>0</v>
      </c>
      <c r="K563" s="128">
        <f t="shared" si="647"/>
        <v>1688537021.8899999</v>
      </c>
      <c r="L563" s="146">
        <f t="shared" ref="L563:Q563" si="784">SUM(L564:L565)</f>
        <v>0</v>
      </c>
      <c r="M563" s="146">
        <f t="shared" si="784"/>
        <v>0</v>
      </c>
      <c r="N563" s="146">
        <f t="shared" si="784"/>
        <v>0</v>
      </c>
      <c r="O563" s="146">
        <f t="shared" si="784"/>
        <v>0</v>
      </c>
      <c r="P563" s="146">
        <f t="shared" si="784"/>
        <v>0</v>
      </c>
      <c r="Q563" s="411">
        <f t="shared" si="784"/>
        <v>0</v>
      </c>
      <c r="R563" s="128">
        <f t="shared" si="756"/>
        <v>0</v>
      </c>
      <c r="S563" s="146">
        <f t="shared" ref="S563:Z563" si="785">SUM(S564:S565)</f>
        <v>0</v>
      </c>
      <c r="T563" s="146">
        <f t="shared" si="785"/>
        <v>0</v>
      </c>
      <c r="U563" s="146">
        <f t="shared" si="785"/>
        <v>0</v>
      </c>
      <c r="V563" s="146">
        <f t="shared" si="785"/>
        <v>0</v>
      </c>
      <c r="W563" s="146">
        <f t="shared" si="785"/>
        <v>0</v>
      </c>
      <c r="X563" s="146">
        <f t="shared" si="785"/>
        <v>0</v>
      </c>
      <c r="Y563" s="146">
        <f t="shared" si="785"/>
        <v>0</v>
      </c>
      <c r="Z563" s="146">
        <f t="shared" si="785"/>
        <v>0</v>
      </c>
      <c r="AA563" s="128">
        <f t="shared" si="763"/>
        <v>0</v>
      </c>
      <c r="AB563" s="128">
        <f t="shared" si="651"/>
        <v>0</v>
      </c>
      <c r="AC563" s="175">
        <f t="shared" si="621"/>
        <v>0</v>
      </c>
    </row>
    <row r="564" spans="1:29" ht="42.75" x14ac:dyDescent="0.2">
      <c r="B564" s="76" t="s">
        <v>1622</v>
      </c>
      <c r="C564" s="77" t="s">
        <v>1623</v>
      </c>
      <c r="D564" s="41"/>
      <c r="E564" s="188">
        <f>SUM('ADICIONES  2021'!C564:I564)</f>
        <v>619767114</v>
      </c>
      <c r="F564" s="41"/>
      <c r="G564" s="41"/>
      <c r="H564" s="41"/>
      <c r="I564" s="41"/>
      <c r="J564" s="41"/>
      <c r="K564" s="128">
        <f t="shared" si="647"/>
        <v>619767114</v>
      </c>
      <c r="L564" s="41"/>
      <c r="M564" s="41"/>
      <c r="N564" s="41"/>
      <c r="O564" s="41"/>
      <c r="P564" s="41"/>
      <c r="Q564" s="409"/>
      <c r="R564" s="128">
        <f t="shared" si="756"/>
        <v>0</v>
      </c>
      <c r="S564" s="41"/>
      <c r="T564" s="41"/>
      <c r="U564" s="41"/>
      <c r="V564" s="41"/>
      <c r="W564" s="41"/>
      <c r="X564" s="41"/>
      <c r="Y564" s="41"/>
      <c r="Z564" s="41"/>
      <c r="AA564" s="128">
        <f t="shared" si="763"/>
        <v>0</v>
      </c>
      <c r="AB564" s="128">
        <f t="shared" si="651"/>
        <v>0</v>
      </c>
      <c r="AC564" s="175">
        <f t="shared" si="621"/>
        <v>0</v>
      </c>
    </row>
    <row r="565" spans="1:29" ht="28.5" x14ac:dyDescent="0.2">
      <c r="B565" s="76" t="s">
        <v>1624</v>
      </c>
      <c r="C565" s="77" t="s">
        <v>1625</v>
      </c>
      <c r="D565" s="41"/>
      <c r="E565" s="188">
        <f>SUM('ADICIONES  2021'!C565:I565)</f>
        <v>1068769907.89</v>
      </c>
      <c r="F565" s="41"/>
      <c r="G565" s="41"/>
      <c r="H565" s="41"/>
      <c r="I565" s="41"/>
      <c r="J565" s="41"/>
      <c r="K565" s="128">
        <f t="shared" si="647"/>
        <v>1068769907.89</v>
      </c>
      <c r="L565" s="41"/>
      <c r="M565" s="41"/>
      <c r="N565" s="41"/>
      <c r="O565" s="41"/>
      <c r="P565" s="41"/>
      <c r="Q565" s="409"/>
      <c r="R565" s="128">
        <f t="shared" si="756"/>
        <v>0</v>
      </c>
      <c r="S565" s="41"/>
      <c r="T565" s="41"/>
      <c r="U565" s="41"/>
      <c r="V565" s="41"/>
      <c r="W565" s="41"/>
      <c r="X565" s="41"/>
      <c r="Y565" s="41"/>
      <c r="Z565" s="41"/>
      <c r="AA565" s="128">
        <f t="shared" si="763"/>
        <v>0</v>
      </c>
      <c r="AB565" s="128">
        <f t="shared" si="651"/>
        <v>0</v>
      </c>
      <c r="AC565" s="175">
        <f t="shared" si="621"/>
        <v>0</v>
      </c>
    </row>
    <row r="566" spans="1:29" s="63" customFormat="1" ht="15.75" x14ac:dyDescent="0.2">
      <c r="A566" s="397">
        <v>1</v>
      </c>
      <c r="B566" s="81" t="s">
        <v>838</v>
      </c>
      <c r="C566" s="79" t="s">
        <v>839</v>
      </c>
      <c r="D566" s="329">
        <f>+D567+D570</f>
        <v>87617897000</v>
      </c>
      <c r="E566" s="187">
        <f>SUM('ADICIONES  2021'!C566:I566)</f>
        <v>0</v>
      </c>
      <c r="F566" s="223">
        <f t="shared" ref="F566:J566" si="786">+F567+F570</f>
        <v>0</v>
      </c>
      <c r="G566" s="223">
        <f t="shared" si="786"/>
        <v>0</v>
      </c>
      <c r="H566" s="223">
        <f t="shared" si="786"/>
        <v>0</v>
      </c>
      <c r="I566" s="223">
        <f t="shared" si="786"/>
        <v>0</v>
      </c>
      <c r="J566" s="223">
        <f t="shared" si="786"/>
        <v>0</v>
      </c>
      <c r="K566" s="78">
        <f t="shared" si="647"/>
        <v>87617897000</v>
      </c>
      <c r="L566" s="223">
        <f t="shared" ref="L566:Q566" si="787">+L567+L570</f>
        <v>0</v>
      </c>
      <c r="M566" s="223">
        <f t="shared" si="787"/>
        <v>0</v>
      </c>
      <c r="N566" s="223">
        <f t="shared" si="787"/>
        <v>0</v>
      </c>
      <c r="O566" s="223">
        <f t="shared" si="787"/>
        <v>0</v>
      </c>
      <c r="P566" s="223">
        <f t="shared" si="787"/>
        <v>0</v>
      </c>
      <c r="Q566" s="407">
        <f t="shared" si="787"/>
        <v>0</v>
      </c>
      <c r="R566" s="78">
        <f t="shared" si="649"/>
        <v>0</v>
      </c>
      <c r="S566" s="223">
        <f t="shared" ref="S566:Z566" si="788">+S567+S570</f>
        <v>0</v>
      </c>
      <c r="T566" s="223">
        <f t="shared" si="788"/>
        <v>0</v>
      </c>
      <c r="U566" s="223">
        <f t="shared" si="788"/>
        <v>0</v>
      </c>
      <c r="V566" s="223">
        <f t="shared" si="788"/>
        <v>0</v>
      </c>
      <c r="W566" s="223">
        <f t="shared" si="788"/>
        <v>0</v>
      </c>
      <c r="X566" s="223">
        <f t="shared" si="788"/>
        <v>0</v>
      </c>
      <c r="Y566" s="223">
        <f t="shared" si="788"/>
        <v>0</v>
      </c>
      <c r="Z566" s="223">
        <f t="shared" si="788"/>
        <v>0</v>
      </c>
      <c r="AA566" s="78">
        <f t="shared" si="599"/>
        <v>0</v>
      </c>
      <c r="AB566" s="78">
        <f t="shared" si="651"/>
        <v>0</v>
      </c>
      <c r="AC566" s="174">
        <f t="shared" si="621"/>
        <v>0</v>
      </c>
    </row>
    <row r="567" spans="1:29" s="63" customFormat="1" ht="47.25" x14ac:dyDescent="0.2">
      <c r="A567" s="397"/>
      <c r="B567" s="81" t="s">
        <v>840</v>
      </c>
      <c r="C567" s="79" t="s">
        <v>841</v>
      </c>
      <c r="D567" s="329">
        <f>SUM(D568:D569)</f>
        <v>33000000000</v>
      </c>
      <c r="E567" s="187">
        <f>SUM('ADICIONES  2021'!C567:I567)</f>
        <v>0</v>
      </c>
      <c r="F567" s="223">
        <f t="shared" ref="F567:J567" si="789">SUM(F568:F569)</f>
        <v>0</v>
      </c>
      <c r="G567" s="223">
        <f t="shared" si="789"/>
        <v>0</v>
      </c>
      <c r="H567" s="223">
        <f t="shared" si="789"/>
        <v>0</v>
      </c>
      <c r="I567" s="223">
        <f t="shared" si="789"/>
        <v>0</v>
      </c>
      <c r="J567" s="223">
        <f t="shared" si="789"/>
        <v>0</v>
      </c>
      <c r="K567" s="78">
        <f t="shared" si="647"/>
        <v>33000000000</v>
      </c>
      <c r="L567" s="223">
        <f t="shared" ref="L567:Q567" si="790">SUM(L568:L569)</f>
        <v>0</v>
      </c>
      <c r="M567" s="223">
        <f t="shared" si="790"/>
        <v>0</v>
      </c>
      <c r="N567" s="223">
        <f t="shared" si="790"/>
        <v>0</v>
      </c>
      <c r="O567" s="223">
        <f t="shared" si="790"/>
        <v>0</v>
      </c>
      <c r="P567" s="223">
        <f t="shared" si="790"/>
        <v>0</v>
      </c>
      <c r="Q567" s="407">
        <f t="shared" si="790"/>
        <v>0</v>
      </c>
      <c r="R567" s="78">
        <f t="shared" si="649"/>
        <v>0</v>
      </c>
      <c r="S567" s="223">
        <f t="shared" ref="S567:Z567" si="791">SUM(S568:S569)</f>
        <v>0</v>
      </c>
      <c r="T567" s="223">
        <f t="shared" si="791"/>
        <v>0</v>
      </c>
      <c r="U567" s="223">
        <f t="shared" si="791"/>
        <v>0</v>
      </c>
      <c r="V567" s="223">
        <f t="shared" si="791"/>
        <v>0</v>
      </c>
      <c r="W567" s="223">
        <f t="shared" si="791"/>
        <v>0</v>
      </c>
      <c r="X567" s="223">
        <f t="shared" si="791"/>
        <v>0</v>
      </c>
      <c r="Y567" s="223">
        <f t="shared" si="791"/>
        <v>0</v>
      </c>
      <c r="Z567" s="223">
        <f t="shared" si="791"/>
        <v>0</v>
      </c>
      <c r="AA567" s="78">
        <f t="shared" si="599"/>
        <v>0</v>
      </c>
      <c r="AB567" s="78">
        <f t="shared" si="651"/>
        <v>0</v>
      </c>
      <c r="AC567" s="174">
        <f t="shared" si="621"/>
        <v>0</v>
      </c>
    </row>
    <row r="568" spans="1:29" ht="28.5" x14ac:dyDescent="0.2">
      <c r="B568" s="76" t="s">
        <v>842</v>
      </c>
      <c r="C568" s="77" t="s">
        <v>843</v>
      </c>
      <c r="D568" s="331">
        <v>30000000000</v>
      </c>
      <c r="E568" s="188">
        <f>SUM('ADICIONES  2021'!C568:I568)</f>
        <v>0</v>
      </c>
      <c r="F568" s="41"/>
      <c r="G568" s="41"/>
      <c r="H568" s="41"/>
      <c r="I568" s="41"/>
      <c r="J568" s="41"/>
      <c r="K568" s="128">
        <f t="shared" si="647"/>
        <v>30000000000</v>
      </c>
      <c r="L568" s="41"/>
      <c r="M568" s="41"/>
      <c r="N568" s="41"/>
      <c r="O568" s="41"/>
      <c r="P568" s="41"/>
      <c r="Q568" s="409"/>
      <c r="R568" s="128">
        <f t="shared" si="649"/>
        <v>0</v>
      </c>
      <c r="S568" s="41"/>
      <c r="T568" s="41"/>
      <c r="U568" s="41"/>
      <c r="V568" s="41"/>
      <c r="W568" s="41"/>
      <c r="X568" s="41"/>
      <c r="Y568" s="41"/>
      <c r="Z568" s="41"/>
      <c r="AA568" s="128">
        <f t="shared" ref="AA568:AA635" si="792">SUM(S568:Z568)</f>
        <v>0</v>
      </c>
      <c r="AB568" s="128">
        <f t="shared" si="651"/>
        <v>0</v>
      </c>
      <c r="AC568" s="175">
        <f t="shared" si="621"/>
        <v>0</v>
      </c>
    </row>
    <row r="569" spans="1:29" ht="28.5" x14ac:dyDescent="0.2">
      <c r="B569" s="76" t="s">
        <v>844</v>
      </c>
      <c r="C569" s="77" t="s">
        <v>845</v>
      </c>
      <c r="D569" s="331">
        <v>3000000000</v>
      </c>
      <c r="E569" s="188">
        <f>SUM('ADICIONES  2021'!C569:I569)</f>
        <v>0</v>
      </c>
      <c r="F569" s="128"/>
      <c r="G569" s="128"/>
      <c r="H569" s="128"/>
      <c r="I569" s="128"/>
      <c r="J569" s="128"/>
      <c r="K569" s="128">
        <f t="shared" si="647"/>
        <v>3000000000</v>
      </c>
      <c r="L569" s="128"/>
      <c r="M569" s="128"/>
      <c r="N569" s="128"/>
      <c r="O569" s="128"/>
      <c r="P569" s="128"/>
      <c r="Q569" s="413"/>
      <c r="R569" s="128">
        <f t="shared" si="649"/>
        <v>0</v>
      </c>
      <c r="S569" s="128"/>
      <c r="T569" s="128"/>
      <c r="U569" s="128"/>
      <c r="V569" s="128"/>
      <c r="W569" s="128"/>
      <c r="X569" s="128"/>
      <c r="Y569" s="128"/>
      <c r="Z569" s="128"/>
      <c r="AA569" s="128">
        <f t="shared" si="792"/>
        <v>0</v>
      </c>
      <c r="AB569" s="128">
        <f t="shared" si="651"/>
        <v>0</v>
      </c>
      <c r="AC569" s="175">
        <v>0</v>
      </c>
    </row>
    <row r="570" spans="1:29" s="63" customFormat="1" ht="63" x14ac:dyDescent="0.2">
      <c r="A570" s="397"/>
      <c r="B570" s="81" t="s">
        <v>846</v>
      </c>
      <c r="C570" s="79" t="s">
        <v>847</v>
      </c>
      <c r="D570" s="329">
        <f>+D571</f>
        <v>54617897000</v>
      </c>
      <c r="E570" s="187">
        <f>SUM('ADICIONES  2021'!C570:I570)</f>
        <v>0</v>
      </c>
      <c r="F570" s="223">
        <f t="shared" ref="F570:J570" si="793">+F571</f>
        <v>0</v>
      </c>
      <c r="G570" s="223">
        <f t="shared" si="793"/>
        <v>0</v>
      </c>
      <c r="H570" s="223">
        <f t="shared" si="793"/>
        <v>0</v>
      </c>
      <c r="I570" s="223">
        <f t="shared" si="793"/>
        <v>0</v>
      </c>
      <c r="J570" s="223">
        <f t="shared" si="793"/>
        <v>0</v>
      </c>
      <c r="K570" s="78">
        <f t="shared" si="647"/>
        <v>54617897000</v>
      </c>
      <c r="L570" s="223">
        <f t="shared" ref="L570:Q570" si="794">+L571</f>
        <v>0</v>
      </c>
      <c r="M570" s="223">
        <f t="shared" si="794"/>
        <v>0</v>
      </c>
      <c r="N570" s="223">
        <f t="shared" si="794"/>
        <v>0</v>
      </c>
      <c r="O570" s="223">
        <f t="shared" si="794"/>
        <v>0</v>
      </c>
      <c r="P570" s="223">
        <f t="shared" si="794"/>
        <v>0</v>
      </c>
      <c r="Q570" s="407">
        <f t="shared" si="794"/>
        <v>0</v>
      </c>
      <c r="R570" s="78">
        <f t="shared" si="649"/>
        <v>0</v>
      </c>
      <c r="S570" s="223">
        <f t="shared" ref="S570:Z570" si="795">+S571</f>
        <v>0</v>
      </c>
      <c r="T570" s="223">
        <f t="shared" si="795"/>
        <v>0</v>
      </c>
      <c r="U570" s="223">
        <f t="shared" si="795"/>
        <v>0</v>
      </c>
      <c r="V570" s="223">
        <f t="shared" si="795"/>
        <v>0</v>
      </c>
      <c r="W570" s="223">
        <f t="shared" si="795"/>
        <v>0</v>
      </c>
      <c r="X570" s="223">
        <f t="shared" si="795"/>
        <v>0</v>
      </c>
      <c r="Y570" s="223">
        <f t="shared" si="795"/>
        <v>0</v>
      </c>
      <c r="Z570" s="223">
        <f t="shared" si="795"/>
        <v>0</v>
      </c>
      <c r="AA570" s="78">
        <f t="shared" si="792"/>
        <v>0</v>
      </c>
      <c r="AB570" s="78">
        <f t="shared" si="651"/>
        <v>0</v>
      </c>
      <c r="AC570" s="174">
        <v>0</v>
      </c>
    </row>
    <row r="571" spans="1:29" ht="14.25" x14ac:dyDescent="0.2">
      <c r="B571" s="76" t="s">
        <v>848</v>
      </c>
      <c r="C571" s="77" t="s">
        <v>849</v>
      </c>
      <c r="D571" s="334">
        <v>54617897000</v>
      </c>
      <c r="E571" s="188">
        <f>SUM('ADICIONES  2021'!C571:I571)</f>
        <v>0</v>
      </c>
      <c r="F571" s="41"/>
      <c r="G571" s="41"/>
      <c r="H571" s="41"/>
      <c r="I571" s="41"/>
      <c r="J571" s="41"/>
      <c r="K571" s="128">
        <f t="shared" si="647"/>
        <v>54617897000</v>
      </c>
      <c r="L571" s="41"/>
      <c r="M571" s="41"/>
      <c r="N571" s="41"/>
      <c r="O571" s="41"/>
      <c r="P571" s="41"/>
      <c r="Q571" s="409"/>
      <c r="R571" s="128">
        <f t="shared" si="649"/>
        <v>0</v>
      </c>
      <c r="S571" s="41"/>
      <c r="T571" s="41"/>
      <c r="U571" s="41"/>
      <c r="V571" s="41"/>
      <c r="W571" s="41"/>
      <c r="X571" s="41"/>
      <c r="Y571" s="41"/>
      <c r="Z571" s="41"/>
      <c r="AA571" s="128">
        <f t="shared" si="792"/>
        <v>0</v>
      </c>
      <c r="AB571" s="128">
        <f t="shared" si="651"/>
        <v>0</v>
      </c>
      <c r="AC571" s="175">
        <f t="shared" si="621"/>
        <v>0</v>
      </c>
    </row>
    <row r="572" spans="1:29" s="63" customFormat="1" ht="31.5" x14ac:dyDescent="0.2">
      <c r="A572" s="397"/>
      <c r="B572" s="81" t="s">
        <v>850</v>
      </c>
      <c r="C572" s="79" t="s">
        <v>851</v>
      </c>
      <c r="D572" s="329">
        <f>+D573</f>
        <v>0</v>
      </c>
      <c r="E572" s="187">
        <f>SUM('ADICIONES  2021'!C572:I572)</f>
        <v>7309022356.5699997</v>
      </c>
      <c r="F572" s="223">
        <f t="shared" ref="F572:J572" si="796">+F573</f>
        <v>0</v>
      </c>
      <c r="G572" s="223">
        <f t="shared" si="796"/>
        <v>0</v>
      </c>
      <c r="H572" s="223">
        <f t="shared" si="796"/>
        <v>0</v>
      </c>
      <c r="I572" s="223">
        <f t="shared" si="796"/>
        <v>0</v>
      </c>
      <c r="J572" s="223">
        <f t="shared" si="796"/>
        <v>0</v>
      </c>
      <c r="K572" s="78">
        <f t="shared" si="647"/>
        <v>7309022356.5699997</v>
      </c>
      <c r="L572" s="223">
        <f t="shared" ref="L572:Q572" si="797">+L573</f>
        <v>0</v>
      </c>
      <c r="M572" s="223">
        <f t="shared" si="797"/>
        <v>1918229.27</v>
      </c>
      <c r="N572" s="223">
        <f t="shared" si="797"/>
        <v>7687727647.8199997</v>
      </c>
      <c r="O572" s="223">
        <f t="shared" si="797"/>
        <v>444797404.14999992</v>
      </c>
      <c r="P572" s="223">
        <f t="shared" si="797"/>
        <v>1029998416.52</v>
      </c>
      <c r="Q572" s="407">
        <f t="shared" si="797"/>
        <v>29323357.130000003</v>
      </c>
      <c r="R572" s="78">
        <f t="shared" si="649"/>
        <v>9193765054.8899994</v>
      </c>
      <c r="S572" s="223">
        <f t="shared" ref="S572:Z572" si="798">+S573</f>
        <v>135777600.78999999</v>
      </c>
      <c r="T572" s="223">
        <f t="shared" si="798"/>
        <v>0</v>
      </c>
      <c r="U572" s="223">
        <f t="shared" si="798"/>
        <v>0</v>
      </c>
      <c r="V572" s="223">
        <f t="shared" si="798"/>
        <v>0</v>
      </c>
      <c r="W572" s="223">
        <f t="shared" si="798"/>
        <v>0</v>
      </c>
      <c r="X572" s="223">
        <f t="shared" si="798"/>
        <v>0</v>
      </c>
      <c r="Y572" s="223">
        <f t="shared" si="798"/>
        <v>0</v>
      </c>
      <c r="Z572" s="223">
        <f t="shared" si="798"/>
        <v>0</v>
      </c>
      <c r="AA572" s="78">
        <f t="shared" si="792"/>
        <v>135777600.78999999</v>
      </c>
      <c r="AB572" s="78">
        <f t="shared" si="651"/>
        <v>9329542655.6800003</v>
      </c>
      <c r="AC572" s="176">
        <v>0</v>
      </c>
    </row>
    <row r="573" spans="1:29" s="63" customFormat="1" ht="15.75" x14ac:dyDescent="0.2">
      <c r="A573" s="397">
        <v>1</v>
      </c>
      <c r="B573" s="81" t="s">
        <v>852</v>
      </c>
      <c r="C573" s="79" t="s">
        <v>853</v>
      </c>
      <c r="D573" s="329">
        <f>+D574+D575+D577+D595+D596+D597+D598+D599+D601+D602+D603+D604+D605+D606+D607+D608+D609+D610+D611+D612+D613+D614+D615+D616+D617+D618+D619+D621+D622+D623+D624+D625+D626+D627+D628+D629+D630+D631+D632+D633+D634+D635+D636+D637+D638+D639+D640+D641+D642+D643+D644+D645+D646+D647+D648+D649+D600+D620+D576</f>
        <v>0</v>
      </c>
      <c r="E573" s="187">
        <f>SUM('ADICIONES  2021'!C573:I573)</f>
        <v>7309022356.5699997</v>
      </c>
      <c r="F573" s="329">
        <f t="shared" ref="F573:J573" si="799">+F574+F575+F577+F595+F596+F597+F598+F599+F601+F602+F603+F604+F605+F606+F607+F608+F609+F610+F611+F612+F613+F614+F615+F616+F617+F618+F619+F621+F622+F623+F624+F625+F626+F627+F628+F629+F630+F631+F632+F633+F634+F635+F636+F637+F638+F639+F640+F641+F642+F643+F644+F645+F646+F647+F648+F649+F600+F620+F576</f>
        <v>0</v>
      </c>
      <c r="G573" s="329">
        <f t="shared" si="799"/>
        <v>0</v>
      </c>
      <c r="H573" s="329">
        <f t="shared" si="799"/>
        <v>0</v>
      </c>
      <c r="I573" s="329">
        <f t="shared" si="799"/>
        <v>0</v>
      </c>
      <c r="J573" s="329">
        <f t="shared" si="799"/>
        <v>0</v>
      </c>
      <c r="K573" s="78">
        <f t="shared" si="647"/>
        <v>7309022356.5699997</v>
      </c>
      <c r="L573" s="329">
        <f t="shared" ref="L573:Q573" si="800">+L574+L575+L577+L595+L596+L597+L598+L599+L601+L602+L603+L604+L605+L606+L607+L608+L609+L610+L611+L612+L613+L614+L615+L616+L617+L618+L619+L621+L622+L623+L624+L625+L626+L627+L628+L629+L630+L631+L632+L633+L634+L635+L636+L637+L638+L639+L640+L641+L642+L643+L644+L645+L646+L647+L648+L649+L600+L620+L576</f>
        <v>0</v>
      </c>
      <c r="M573" s="329">
        <f t="shared" si="800"/>
        <v>1918229.27</v>
      </c>
      <c r="N573" s="329">
        <f t="shared" si="800"/>
        <v>7687727647.8199997</v>
      </c>
      <c r="O573" s="329">
        <f t="shared" si="800"/>
        <v>444797404.14999992</v>
      </c>
      <c r="P573" s="329">
        <f t="shared" si="800"/>
        <v>1029998416.52</v>
      </c>
      <c r="Q573" s="416">
        <f t="shared" si="800"/>
        <v>29323357.130000003</v>
      </c>
      <c r="R573" s="78">
        <f t="shared" si="649"/>
        <v>9193765054.8899994</v>
      </c>
      <c r="S573" s="329">
        <f t="shared" ref="S573:Y573" si="801">+S574+S575+S577+S595+S596+S597+S598+S599+S601+S602+S603+S604+S605+S606+S607+S608+S609+S610+S611+S612+S613+S614+S615+S616+S617+S618+S619+S621+S622+S623+S624+S625+S626+S627+S628+S629+S630+S631+S632+S633+S634+S635+S636+S637+S638+S639+S640+S641+S642+S643+S644+S645+S646+S647+S648+S649+S600+S620+S576</f>
        <v>135777600.78999999</v>
      </c>
      <c r="T573" s="329">
        <f t="shared" si="801"/>
        <v>0</v>
      </c>
      <c r="U573" s="329">
        <f t="shared" si="801"/>
        <v>0</v>
      </c>
      <c r="V573" s="329">
        <f t="shared" si="801"/>
        <v>0</v>
      </c>
      <c r="W573" s="329">
        <f t="shared" si="801"/>
        <v>0</v>
      </c>
      <c r="X573" s="329">
        <f t="shared" si="801"/>
        <v>0</v>
      </c>
      <c r="Y573" s="329">
        <f t="shared" si="801"/>
        <v>0</v>
      </c>
      <c r="Z573" s="329">
        <f>+Z574+Z575+Z577+Z595+Z596+Z597+Z598+Z599+Z601+Z602+Z603+Z604+Z605+Z606+Z607+Z608+Z609+Z610+Z611+Z612+Z613+Z614+Z615+Z616+Z617+Z618+Z619+Z621+Z622+Z623+Z624+Z625+Z626+Z627+Z628+Z629+Z630+Z631+Z632+Z633+Z634+Z635+Z636+Z637+Z638+Z639+Z640+Z641+Z642+Z643+Z644+Z645+Z646+Z647+Z648+Z649+Z600+Z620+Z576</f>
        <v>0</v>
      </c>
      <c r="AA573" s="78">
        <f t="shared" si="792"/>
        <v>135777600.78999999</v>
      </c>
      <c r="AB573" s="78">
        <f t="shared" si="651"/>
        <v>9329542655.6800003</v>
      </c>
      <c r="AC573" s="176">
        <v>0</v>
      </c>
    </row>
    <row r="574" spans="1:29" ht="14.25" hidden="1" x14ac:dyDescent="0.2">
      <c r="B574" s="76" t="s">
        <v>854</v>
      </c>
      <c r="C574" s="77" t="s">
        <v>284</v>
      </c>
      <c r="D574" s="334"/>
      <c r="E574" s="188">
        <f>SUM('ADICIONES  2021'!C574:I574)</f>
        <v>0</v>
      </c>
      <c r="F574" s="128"/>
      <c r="G574" s="128"/>
      <c r="H574" s="128"/>
      <c r="I574" s="128"/>
      <c r="J574" s="128"/>
      <c r="K574" s="128">
        <f t="shared" si="647"/>
        <v>0</v>
      </c>
      <c r="L574" s="128"/>
      <c r="M574" s="128"/>
      <c r="N574" s="128">
        <v>0</v>
      </c>
      <c r="O574" s="128">
        <v>0</v>
      </c>
      <c r="P574" s="128"/>
      <c r="Q574" s="413"/>
      <c r="R574" s="128">
        <f t="shared" si="649"/>
        <v>0</v>
      </c>
      <c r="S574" s="128">
        <v>0</v>
      </c>
      <c r="T574" s="128"/>
      <c r="U574" s="128"/>
      <c r="V574" s="128"/>
      <c r="W574" s="128"/>
      <c r="X574" s="128"/>
      <c r="Y574" s="128"/>
      <c r="Z574" s="128"/>
      <c r="AA574" s="128">
        <f t="shared" si="792"/>
        <v>0</v>
      </c>
      <c r="AB574" s="128">
        <f t="shared" si="651"/>
        <v>0</v>
      </c>
      <c r="AC574" s="175" t="e">
        <f t="shared" si="621"/>
        <v>#DIV/0!</v>
      </c>
    </row>
    <row r="575" spans="1:29" ht="14.25" x14ac:dyDescent="0.2">
      <c r="B575" s="76" t="s">
        <v>855</v>
      </c>
      <c r="C575" s="77" t="s">
        <v>285</v>
      </c>
      <c r="D575" s="334"/>
      <c r="E575" s="188">
        <f>SUM('ADICIONES  2021'!C575:I575)</f>
        <v>0</v>
      </c>
      <c r="F575" s="128"/>
      <c r="G575" s="128"/>
      <c r="H575" s="128"/>
      <c r="I575" s="128"/>
      <c r="J575" s="128"/>
      <c r="K575" s="128">
        <f t="shared" si="647"/>
        <v>0</v>
      </c>
      <c r="L575" s="128"/>
      <c r="M575" s="128"/>
      <c r="N575" s="128">
        <v>768917292</v>
      </c>
      <c r="O575" s="128">
        <v>437763467.76999998</v>
      </c>
      <c r="P575" s="128"/>
      <c r="Q575" s="413"/>
      <c r="R575" s="128">
        <f t="shared" si="649"/>
        <v>1206680759.77</v>
      </c>
      <c r="S575" s="128">
        <v>12664945.039999999</v>
      </c>
      <c r="T575" s="128"/>
      <c r="U575" s="128"/>
      <c r="V575" s="128"/>
      <c r="W575" s="128"/>
      <c r="X575" s="128"/>
      <c r="Y575" s="128"/>
      <c r="Z575" s="128"/>
      <c r="AA575" s="128">
        <f t="shared" si="792"/>
        <v>12664945.039999999</v>
      </c>
      <c r="AB575" s="128">
        <f t="shared" si="651"/>
        <v>1219345704.8099999</v>
      </c>
      <c r="AC575" s="175">
        <v>0</v>
      </c>
    </row>
    <row r="576" spans="1:29" ht="14.25" x14ac:dyDescent="0.2">
      <c r="B576" s="76" t="s">
        <v>855</v>
      </c>
      <c r="C576" s="77" t="s">
        <v>285</v>
      </c>
      <c r="D576" s="334"/>
      <c r="E576" s="188">
        <f>SUM('ADICIONES  2021'!C576:I576)</f>
        <v>427564239.73000002</v>
      </c>
      <c r="F576" s="128"/>
      <c r="G576" s="128"/>
      <c r="H576" s="128"/>
      <c r="I576" s="128"/>
      <c r="J576" s="128"/>
      <c r="K576" s="128">
        <f t="shared" si="647"/>
        <v>427564239.73000002</v>
      </c>
      <c r="L576" s="128"/>
      <c r="M576" s="128"/>
      <c r="N576" s="128"/>
      <c r="O576" s="128"/>
      <c r="P576" s="128"/>
      <c r="Q576" s="413"/>
      <c r="R576" s="128">
        <f t="shared" si="649"/>
        <v>0</v>
      </c>
      <c r="S576" s="128">
        <v>0</v>
      </c>
      <c r="T576" s="128"/>
      <c r="U576" s="128"/>
      <c r="V576" s="128"/>
      <c r="W576" s="128"/>
      <c r="X576" s="128"/>
      <c r="Y576" s="128"/>
      <c r="Z576" s="128"/>
      <c r="AA576" s="128">
        <f t="shared" ref="AA576" si="802">SUM(S576:Z576)</f>
        <v>0</v>
      </c>
      <c r="AB576" s="128">
        <f t="shared" si="651"/>
        <v>0</v>
      </c>
      <c r="AC576" s="175">
        <f t="shared" ref="AC576" si="803">+AB576/K576</f>
        <v>0</v>
      </c>
    </row>
    <row r="577" spans="1:29" s="63" customFormat="1" ht="15.75" x14ac:dyDescent="0.2">
      <c r="A577" s="397"/>
      <c r="B577" s="81" t="s">
        <v>856</v>
      </c>
      <c r="C577" s="79" t="s">
        <v>857</v>
      </c>
      <c r="D577" s="329">
        <f>+D578+D580+D582+D584+D586+D589+D591</f>
        <v>0</v>
      </c>
      <c r="E577" s="187">
        <f>SUM('ADICIONES  2021'!C577:I577)</f>
        <v>4190433949.29</v>
      </c>
      <c r="F577" s="223">
        <f t="shared" ref="F577:J577" si="804">+F578+F580+F582+F584+F586+F589+F591</f>
        <v>0</v>
      </c>
      <c r="G577" s="223">
        <f t="shared" si="804"/>
        <v>0</v>
      </c>
      <c r="H577" s="223">
        <f t="shared" si="804"/>
        <v>0</v>
      </c>
      <c r="I577" s="223">
        <f t="shared" si="804"/>
        <v>0</v>
      </c>
      <c r="J577" s="223">
        <f t="shared" si="804"/>
        <v>0</v>
      </c>
      <c r="K577" s="78">
        <f t="shared" si="647"/>
        <v>4190433949.29</v>
      </c>
      <c r="L577" s="223">
        <f t="shared" ref="L577:Q577" si="805">+L578+L580+L582+L584+L586+L589+L591</f>
        <v>0</v>
      </c>
      <c r="M577" s="223">
        <f t="shared" si="805"/>
        <v>1705.27</v>
      </c>
      <c r="N577" s="223">
        <f t="shared" si="805"/>
        <v>4599999256.04</v>
      </c>
      <c r="O577" s="223">
        <f t="shared" si="805"/>
        <v>4882325</v>
      </c>
      <c r="P577" s="223">
        <f t="shared" si="805"/>
        <v>776957799.90999997</v>
      </c>
      <c r="Q577" s="407">
        <f t="shared" si="805"/>
        <v>0</v>
      </c>
      <c r="R577" s="78">
        <f t="shared" si="649"/>
        <v>5381841086.2200003</v>
      </c>
      <c r="S577" s="223">
        <f t="shared" ref="S577:Z577" si="806">+S578+S580+S582+S584+S586+S589+S591</f>
        <v>84399477.319999993</v>
      </c>
      <c r="T577" s="223">
        <f t="shared" si="806"/>
        <v>0</v>
      </c>
      <c r="U577" s="223">
        <f t="shared" si="806"/>
        <v>0</v>
      </c>
      <c r="V577" s="223">
        <f t="shared" si="806"/>
        <v>0</v>
      </c>
      <c r="W577" s="223">
        <f t="shared" si="806"/>
        <v>0</v>
      </c>
      <c r="X577" s="223">
        <f t="shared" si="806"/>
        <v>0</v>
      </c>
      <c r="Y577" s="223">
        <f t="shared" si="806"/>
        <v>0</v>
      </c>
      <c r="Z577" s="223">
        <f t="shared" si="806"/>
        <v>0</v>
      </c>
      <c r="AA577" s="78">
        <f t="shared" si="792"/>
        <v>84399477.319999993</v>
      </c>
      <c r="AB577" s="78">
        <f t="shared" si="651"/>
        <v>5466240563.54</v>
      </c>
      <c r="AC577" s="176">
        <v>0</v>
      </c>
    </row>
    <row r="578" spans="1:29" s="63" customFormat="1" ht="31.5" x14ac:dyDescent="0.2">
      <c r="A578" s="397"/>
      <c r="B578" s="81" t="s">
        <v>858</v>
      </c>
      <c r="C578" s="79" t="s">
        <v>286</v>
      </c>
      <c r="D578" s="329">
        <f>+D579</f>
        <v>0</v>
      </c>
      <c r="E578" s="187">
        <f>SUM('ADICIONES  2021'!C578:I578)</f>
        <v>0</v>
      </c>
      <c r="F578" s="223">
        <f t="shared" ref="F578:J578" si="807">+F579</f>
        <v>0</v>
      </c>
      <c r="G578" s="223">
        <f t="shared" si="807"/>
        <v>0</v>
      </c>
      <c r="H578" s="223">
        <f t="shared" si="807"/>
        <v>0</v>
      </c>
      <c r="I578" s="223">
        <f t="shared" si="807"/>
        <v>0</v>
      </c>
      <c r="J578" s="223">
        <f t="shared" si="807"/>
        <v>0</v>
      </c>
      <c r="K578" s="78">
        <f t="shared" si="647"/>
        <v>0</v>
      </c>
      <c r="L578" s="223">
        <f t="shared" ref="L578:Q578" si="808">+L579</f>
        <v>0</v>
      </c>
      <c r="M578" s="223">
        <f t="shared" si="808"/>
        <v>1705.27</v>
      </c>
      <c r="N578" s="223">
        <f t="shared" si="808"/>
        <v>0</v>
      </c>
      <c r="O578" s="223">
        <f t="shared" si="808"/>
        <v>0</v>
      </c>
      <c r="P578" s="223">
        <f t="shared" si="808"/>
        <v>776957799.90999997</v>
      </c>
      <c r="Q578" s="407">
        <f t="shared" si="808"/>
        <v>0</v>
      </c>
      <c r="R578" s="78">
        <f t="shared" si="649"/>
        <v>776959505.17999995</v>
      </c>
      <c r="S578" s="223">
        <f t="shared" ref="S578:Z578" si="809">+S579</f>
        <v>84398787.319999993</v>
      </c>
      <c r="T578" s="223">
        <f t="shared" si="809"/>
        <v>0</v>
      </c>
      <c r="U578" s="223">
        <f t="shared" si="809"/>
        <v>0</v>
      </c>
      <c r="V578" s="223">
        <f t="shared" si="809"/>
        <v>0</v>
      </c>
      <c r="W578" s="223">
        <f t="shared" si="809"/>
        <v>0</v>
      </c>
      <c r="X578" s="223">
        <f t="shared" si="809"/>
        <v>0</v>
      </c>
      <c r="Y578" s="223">
        <f t="shared" si="809"/>
        <v>0</v>
      </c>
      <c r="Z578" s="223">
        <f t="shared" si="809"/>
        <v>0</v>
      </c>
      <c r="AA578" s="78">
        <f t="shared" si="792"/>
        <v>84398787.319999993</v>
      </c>
      <c r="AB578" s="78">
        <f t="shared" si="651"/>
        <v>861358292.5</v>
      </c>
      <c r="AC578" s="175">
        <v>0</v>
      </c>
    </row>
    <row r="579" spans="1:29" ht="14.25" x14ac:dyDescent="0.2">
      <c r="B579" s="76" t="s">
        <v>859</v>
      </c>
      <c r="C579" s="77" t="s">
        <v>286</v>
      </c>
      <c r="D579" s="334"/>
      <c r="E579" s="188">
        <f>SUM('ADICIONES  2021'!C579:I579)</f>
        <v>0</v>
      </c>
      <c r="F579" s="128"/>
      <c r="G579" s="128"/>
      <c r="H579" s="128"/>
      <c r="I579" s="128"/>
      <c r="J579" s="128"/>
      <c r="K579" s="128">
        <f t="shared" si="647"/>
        <v>0</v>
      </c>
      <c r="L579" s="128"/>
      <c r="M579" s="128">
        <v>1705.27</v>
      </c>
      <c r="N579" s="128"/>
      <c r="O579" s="128"/>
      <c r="P579" s="128">
        <v>776957799.90999997</v>
      </c>
      <c r="Q579" s="413"/>
      <c r="R579" s="128">
        <f t="shared" si="649"/>
        <v>776959505.17999995</v>
      </c>
      <c r="S579" s="128">
        <v>84398787.319999993</v>
      </c>
      <c r="T579" s="128"/>
      <c r="U579" s="128"/>
      <c r="V579" s="128"/>
      <c r="W579" s="128"/>
      <c r="X579" s="128"/>
      <c r="Y579" s="128"/>
      <c r="Z579" s="128"/>
      <c r="AA579" s="128">
        <f t="shared" si="792"/>
        <v>84398787.319999993</v>
      </c>
      <c r="AB579" s="128">
        <f t="shared" si="651"/>
        <v>861358292.5</v>
      </c>
      <c r="AC579" s="175">
        <v>0</v>
      </c>
    </row>
    <row r="580" spans="1:29" s="63" customFormat="1" ht="15.75" hidden="1" x14ac:dyDescent="0.2">
      <c r="A580" s="397"/>
      <c r="B580" s="81" t="s">
        <v>860</v>
      </c>
      <c r="C580" s="79" t="s">
        <v>287</v>
      </c>
      <c r="D580" s="329">
        <f>+D581</f>
        <v>0</v>
      </c>
      <c r="E580" s="187">
        <f>SUM('ADICIONES  2021'!C580:I580)</f>
        <v>0</v>
      </c>
      <c r="F580" s="223">
        <f t="shared" ref="F580:J580" si="810">+F581</f>
        <v>0</v>
      </c>
      <c r="G580" s="223">
        <f t="shared" si="810"/>
        <v>0</v>
      </c>
      <c r="H580" s="223">
        <f t="shared" si="810"/>
        <v>0</v>
      </c>
      <c r="I580" s="223">
        <f t="shared" si="810"/>
        <v>0</v>
      </c>
      <c r="J580" s="223">
        <f t="shared" si="810"/>
        <v>0</v>
      </c>
      <c r="K580" s="78">
        <f t="shared" si="647"/>
        <v>0</v>
      </c>
      <c r="L580" s="223">
        <f t="shared" ref="L580:Q580" si="811">+L581</f>
        <v>0</v>
      </c>
      <c r="M580" s="223">
        <f t="shared" si="811"/>
        <v>0</v>
      </c>
      <c r="N580" s="223">
        <f t="shared" si="811"/>
        <v>0</v>
      </c>
      <c r="O580" s="223">
        <f t="shared" si="811"/>
        <v>0</v>
      </c>
      <c r="P580" s="223">
        <f t="shared" si="811"/>
        <v>0</v>
      </c>
      <c r="Q580" s="407">
        <f t="shared" si="811"/>
        <v>0</v>
      </c>
      <c r="R580" s="78">
        <f t="shared" si="649"/>
        <v>0</v>
      </c>
      <c r="S580" s="223">
        <f t="shared" ref="S580:Z580" si="812">+S581</f>
        <v>0</v>
      </c>
      <c r="T580" s="223">
        <f t="shared" si="812"/>
        <v>0</v>
      </c>
      <c r="U580" s="223">
        <f t="shared" si="812"/>
        <v>0</v>
      </c>
      <c r="V580" s="223">
        <f t="shared" si="812"/>
        <v>0</v>
      </c>
      <c r="W580" s="223">
        <f t="shared" si="812"/>
        <v>0</v>
      </c>
      <c r="X580" s="223">
        <f t="shared" si="812"/>
        <v>0</v>
      </c>
      <c r="Y580" s="223">
        <f t="shared" si="812"/>
        <v>0</v>
      </c>
      <c r="Z580" s="223">
        <f t="shared" si="812"/>
        <v>0</v>
      </c>
      <c r="AA580" s="78">
        <f t="shared" si="792"/>
        <v>0</v>
      </c>
      <c r="AB580" s="78">
        <f t="shared" si="651"/>
        <v>0</v>
      </c>
      <c r="AC580" s="175" t="e">
        <f t="shared" si="621"/>
        <v>#DIV/0!</v>
      </c>
    </row>
    <row r="581" spans="1:29" ht="14.25" hidden="1" x14ac:dyDescent="0.2">
      <c r="B581" s="76" t="s">
        <v>861</v>
      </c>
      <c r="C581" s="77" t="s">
        <v>862</v>
      </c>
      <c r="D581" s="334"/>
      <c r="E581" s="188">
        <f>SUM('ADICIONES  2021'!C581:I581)</f>
        <v>0</v>
      </c>
      <c r="F581" s="128"/>
      <c r="G581" s="128"/>
      <c r="H581" s="128"/>
      <c r="I581" s="128"/>
      <c r="J581" s="128"/>
      <c r="K581" s="128">
        <f t="shared" si="647"/>
        <v>0</v>
      </c>
      <c r="L581" s="128"/>
      <c r="M581" s="128"/>
      <c r="N581" s="128"/>
      <c r="O581" s="128"/>
      <c r="P581" s="128"/>
      <c r="Q581" s="413"/>
      <c r="R581" s="128">
        <f t="shared" si="649"/>
        <v>0</v>
      </c>
      <c r="S581" s="128"/>
      <c r="T581" s="128"/>
      <c r="U581" s="128"/>
      <c r="V581" s="128"/>
      <c r="W581" s="128"/>
      <c r="X581" s="128"/>
      <c r="Y581" s="128"/>
      <c r="Z581" s="128"/>
      <c r="AA581" s="128">
        <f t="shared" si="792"/>
        <v>0</v>
      </c>
      <c r="AB581" s="128">
        <f t="shared" si="651"/>
        <v>0</v>
      </c>
      <c r="AC581" s="175" t="e">
        <f t="shared" si="621"/>
        <v>#DIV/0!</v>
      </c>
    </row>
    <row r="582" spans="1:29" s="63" customFormat="1" ht="15.75" hidden="1" x14ac:dyDescent="0.2">
      <c r="A582" s="397"/>
      <c r="B582" s="81" t="s">
        <v>863</v>
      </c>
      <c r="C582" s="79" t="s">
        <v>288</v>
      </c>
      <c r="D582" s="329">
        <f>+D583</f>
        <v>0</v>
      </c>
      <c r="E582" s="187">
        <f>SUM('ADICIONES  2021'!C582:I582)</f>
        <v>0</v>
      </c>
      <c r="F582" s="223">
        <f t="shared" ref="F582:J582" si="813">+F583</f>
        <v>0</v>
      </c>
      <c r="G582" s="223">
        <f t="shared" si="813"/>
        <v>0</v>
      </c>
      <c r="H582" s="223">
        <f t="shared" si="813"/>
        <v>0</v>
      </c>
      <c r="I582" s="223">
        <f t="shared" si="813"/>
        <v>0</v>
      </c>
      <c r="J582" s="223">
        <f t="shared" si="813"/>
        <v>0</v>
      </c>
      <c r="K582" s="78">
        <f t="shared" si="647"/>
        <v>0</v>
      </c>
      <c r="L582" s="223">
        <f t="shared" ref="L582:Q582" si="814">+L583</f>
        <v>0</v>
      </c>
      <c r="M582" s="223">
        <f t="shared" si="814"/>
        <v>0</v>
      </c>
      <c r="N582" s="223">
        <f t="shared" si="814"/>
        <v>0</v>
      </c>
      <c r="O582" s="223">
        <f t="shared" si="814"/>
        <v>0</v>
      </c>
      <c r="P582" s="223">
        <f t="shared" si="814"/>
        <v>0</v>
      </c>
      <c r="Q582" s="407">
        <f t="shared" si="814"/>
        <v>0</v>
      </c>
      <c r="R582" s="78">
        <f t="shared" si="649"/>
        <v>0</v>
      </c>
      <c r="S582" s="223">
        <f t="shared" ref="S582:Z582" si="815">+S583</f>
        <v>0</v>
      </c>
      <c r="T582" s="223">
        <f t="shared" si="815"/>
        <v>0</v>
      </c>
      <c r="U582" s="223">
        <f t="shared" si="815"/>
        <v>0</v>
      </c>
      <c r="V582" s="223">
        <f t="shared" si="815"/>
        <v>0</v>
      </c>
      <c r="W582" s="223">
        <f t="shared" si="815"/>
        <v>0</v>
      </c>
      <c r="X582" s="223">
        <f t="shared" si="815"/>
        <v>0</v>
      </c>
      <c r="Y582" s="223">
        <f t="shared" si="815"/>
        <v>0</v>
      </c>
      <c r="Z582" s="223">
        <f t="shared" si="815"/>
        <v>0</v>
      </c>
      <c r="AA582" s="78">
        <f t="shared" si="792"/>
        <v>0</v>
      </c>
      <c r="AB582" s="78">
        <f t="shared" si="651"/>
        <v>0</v>
      </c>
      <c r="AC582" s="175" t="e">
        <f t="shared" si="621"/>
        <v>#DIV/0!</v>
      </c>
    </row>
    <row r="583" spans="1:29" ht="14.25" hidden="1" x14ac:dyDescent="0.2">
      <c r="B583" s="76" t="s">
        <v>864</v>
      </c>
      <c r="C583" s="77" t="s">
        <v>865</v>
      </c>
      <c r="D583" s="334"/>
      <c r="E583" s="188">
        <f>SUM('ADICIONES  2021'!C583:I583)</f>
        <v>0</v>
      </c>
      <c r="F583" s="128"/>
      <c r="G583" s="128"/>
      <c r="H583" s="128"/>
      <c r="I583" s="128"/>
      <c r="J583" s="128"/>
      <c r="K583" s="128">
        <f t="shared" si="647"/>
        <v>0</v>
      </c>
      <c r="L583" s="128"/>
      <c r="M583" s="128"/>
      <c r="N583" s="128"/>
      <c r="O583" s="128"/>
      <c r="P583" s="128"/>
      <c r="Q583" s="413"/>
      <c r="R583" s="128">
        <f t="shared" si="649"/>
        <v>0</v>
      </c>
      <c r="S583" s="128"/>
      <c r="T583" s="128"/>
      <c r="U583" s="128"/>
      <c r="V583" s="128"/>
      <c r="W583" s="128"/>
      <c r="X583" s="128"/>
      <c r="Y583" s="128"/>
      <c r="Z583" s="128"/>
      <c r="AA583" s="128">
        <f t="shared" si="792"/>
        <v>0</v>
      </c>
      <c r="AB583" s="128">
        <f t="shared" si="651"/>
        <v>0</v>
      </c>
      <c r="AC583" s="175" t="e">
        <f t="shared" si="621"/>
        <v>#DIV/0!</v>
      </c>
    </row>
    <row r="584" spans="1:29" s="63" customFormat="1" ht="15.75" hidden="1" x14ac:dyDescent="0.2">
      <c r="A584" s="397"/>
      <c r="B584" s="81" t="s">
        <v>866</v>
      </c>
      <c r="C584" s="79" t="s">
        <v>289</v>
      </c>
      <c r="D584" s="329">
        <f>+D585</f>
        <v>0</v>
      </c>
      <c r="E584" s="187">
        <f>SUM('ADICIONES  2021'!C584:I584)</f>
        <v>0</v>
      </c>
      <c r="F584" s="223">
        <f t="shared" ref="F584:J584" si="816">+F585</f>
        <v>0</v>
      </c>
      <c r="G584" s="223">
        <f t="shared" si="816"/>
        <v>0</v>
      </c>
      <c r="H584" s="223">
        <f t="shared" si="816"/>
        <v>0</v>
      </c>
      <c r="I584" s="223">
        <f t="shared" si="816"/>
        <v>0</v>
      </c>
      <c r="J584" s="223">
        <f t="shared" si="816"/>
        <v>0</v>
      </c>
      <c r="K584" s="78">
        <f t="shared" si="647"/>
        <v>0</v>
      </c>
      <c r="L584" s="223">
        <f t="shared" ref="L584:Q584" si="817">+L585</f>
        <v>0</v>
      </c>
      <c r="M584" s="223">
        <f t="shared" si="817"/>
        <v>0</v>
      </c>
      <c r="N584" s="223">
        <f t="shared" si="817"/>
        <v>0</v>
      </c>
      <c r="O584" s="223">
        <f t="shared" si="817"/>
        <v>0</v>
      </c>
      <c r="P584" s="223">
        <f t="shared" si="817"/>
        <v>0</v>
      </c>
      <c r="Q584" s="407">
        <f t="shared" si="817"/>
        <v>0</v>
      </c>
      <c r="R584" s="78">
        <f t="shared" si="649"/>
        <v>0</v>
      </c>
      <c r="S584" s="223">
        <f t="shared" ref="S584:Z584" si="818">+S585</f>
        <v>0</v>
      </c>
      <c r="T584" s="223">
        <f t="shared" si="818"/>
        <v>0</v>
      </c>
      <c r="U584" s="223">
        <f t="shared" si="818"/>
        <v>0</v>
      </c>
      <c r="V584" s="223">
        <f t="shared" si="818"/>
        <v>0</v>
      </c>
      <c r="W584" s="223">
        <f t="shared" si="818"/>
        <v>0</v>
      </c>
      <c r="X584" s="223">
        <f t="shared" si="818"/>
        <v>0</v>
      </c>
      <c r="Y584" s="223">
        <f t="shared" si="818"/>
        <v>0</v>
      </c>
      <c r="Z584" s="223">
        <f t="shared" si="818"/>
        <v>0</v>
      </c>
      <c r="AA584" s="78">
        <f t="shared" si="792"/>
        <v>0</v>
      </c>
      <c r="AB584" s="78">
        <f t="shared" si="651"/>
        <v>0</v>
      </c>
      <c r="AC584" s="175" t="e">
        <f t="shared" si="621"/>
        <v>#DIV/0!</v>
      </c>
    </row>
    <row r="585" spans="1:29" ht="14.25" hidden="1" x14ac:dyDescent="0.2">
      <c r="B585" s="76" t="s">
        <v>867</v>
      </c>
      <c r="C585" s="77" t="s">
        <v>868</v>
      </c>
      <c r="D585" s="334"/>
      <c r="E585" s="188">
        <f>SUM('ADICIONES  2021'!C585:I585)</f>
        <v>0</v>
      </c>
      <c r="F585" s="128"/>
      <c r="G585" s="128"/>
      <c r="H585" s="128"/>
      <c r="I585" s="128"/>
      <c r="J585" s="128"/>
      <c r="K585" s="128">
        <f t="shared" si="647"/>
        <v>0</v>
      </c>
      <c r="L585" s="128"/>
      <c r="M585" s="128"/>
      <c r="N585" s="128"/>
      <c r="O585" s="128"/>
      <c r="P585" s="128"/>
      <c r="Q585" s="413"/>
      <c r="R585" s="128">
        <f t="shared" si="649"/>
        <v>0</v>
      </c>
      <c r="S585" s="128"/>
      <c r="T585" s="128"/>
      <c r="U585" s="128"/>
      <c r="V585" s="128"/>
      <c r="W585" s="128"/>
      <c r="X585" s="128"/>
      <c r="Y585" s="128"/>
      <c r="Z585" s="128"/>
      <c r="AA585" s="128">
        <f t="shared" si="792"/>
        <v>0</v>
      </c>
      <c r="AB585" s="128">
        <f t="shared" si="651"/>
        <v>0</v>
      </c>
      <c r="AC585" s="175" t="e">
        <f t="shared" si="621"/>
        <v>#DIV/0!</v>
      </c>
    </row>
    <row r="586" spans="1:29" s="63" customFormat="1" ht="15.75" x14ac:dyDescent="0.2">
      <c r="A586" s="397"/>
      <c r="B586" s="81" t="s">
        <v>869</v>
      </c>
      <c r="C586" s="79" t="s">
        <v>290</v>
      </c>
      <c r="D586" s="329">
        <f>+D587+D588</f>
        <v>0</v>
      </c>
      <c r="E586" s="187">
        <f>SUM('ADICIONES  2021'!C586:I586)</f>
        <v>4190433949.29</v>
      </c>
      <c r="F586" s="223">
        <f t="shared" ref="F586:J586" si="819">+F587+F588</f>
        <v>0</v>
      </c>
      <c r="G586" s="223">
        <f t="shared" si="819"/>
        <v>0</v>
      </c>
      <c r="H586" s="223">
        <f t="shared" si="819"/>
        <v>0</v>
      </c>
      <c r="I586" s="223">
        <f t="shared" si="819"/>
        <v>0</v>
      </c>
      <c r="J586" s="223">
        <f t="shared" si="819"/>
        <v>0</v>
      </c>
      <c r="K586" s="78">
        <f t="shared" si="647"/>
        <v>4190433949.29</v>
      </c>
      <c r="L586" s="223">
        <f t="shared" ref="L586:Q586" si="820">+L587+L588</f>
        <v>0</v>
      </c>
      <c r="M586" s="223">
        <f t="shared" si="820"/>
        <v>0</v>
      </c>
      <c r="N586" s="223">
        <f t="shared" si="820"/>
        <v>4599999256.04</v>
      </c>
      <c r="O586" s="223">
        <f t="shared" si="820"/>
        <v>0</v>
      </c>
      <c r="P586" s="223">
        <f t="shared" si="820"/>
        <v>0</v>
      </c>
      <c r="Q586" s="407">
        <f t="shared" si="820"/>
        <v>0</v>
      </c>
      <c r="R586" s="78">
        <f t="shared" si="649"/>
        <v>4599999256.04</v>
      </c>
      <c r="S586" s="223">
        <f t="shared" ref="S586:Y586" si="821">+S587+S588</f>
        <v>0</v>
      </c>
      <c r="T586" s="223">
        <f t="shared" si="821"/>
        <v>0</v>
      </c>
      <c r="U586" s="223">
        <f t="shared" si="821"/>
        <v>0</v>
      </c>
      <c r="V586" s="223">
        <f t="shared" si="821"/>
        <v>0</v>
      </c>
      <c r="W586" s="223">
        <f t="shared" si="821"/>
        <v>0</v>
      </c>
      <c r="X586" s="223">
        <f t="shared" si="821"/>
        <v>0</v>
      </c>
      <c r="Y586" s="223">
        <f t="shared" si="821"/>
        <v>0</v>
      </c>
      <c r="Z586" s="223">
        <f>+Z587+Z588</f>
        <v>0</v>
      </c>
      <c r="AA586" s="78">
        <f t="shared" si="792"/>
        <v>0</v>
      </c>
      <c r="AB586" s="78">
        <f t="shared" si="651"/>
        <v>4599999256.04</v>
      </c>
      <c r="AC586" s="175">
        <f t="shared" ref="AC586:AC648" si="822">+AB586/K586</f>
        <v>1.0977381607027583</v>
      </c>
    </row>
    <row r="587" spans="1:29" ht="14.25" x14ac:dyDescent="0.2">
      <c r="B587" s="76" t="s">
        <v>870</v>
      </c>
      <c r="C587" s="77" t="s">
        <v>871</v>
      </c>
      <c r="D587" s="334"/>
      <c r="E587" s="188">
        <f>SUM('ADICIONES  2021'!C587:I587)</f>
        <v>0</v>
      </c>
      <c r="F587" s="128"/>
      <c r="G587" s="128"/>
      <c r="H587" s="128"/>
      <c r="I587" s="128"/>
      <c r="J587" s="128"/>
      <c r="K587" s="128">
        <f t="shared" si="647"/>
        <v>0</v>
      </c>
      <c r="L587" s="128"/>
      <c r="M587" s="128"/>
      <c r="N587" s="128">
        <v>4599999256.04</v>
      </c>
      <c r="O587" s="128"/>
      <c r="P587" s="128"/>
      <c r="Q587" s="413"/>
      <c r="R587" s="128">
        <f t="shared" si="649"/>
        <v>4599999256.04</v>
      </c>
      <c r="S587" s="128"/>
      <c r="T587" s="128"/>
      <c r="U587" s="128"/>
      <c r="V587" s="128"/>
      <c r="W587" s="128"/>
      <c r="X587" s="128"/>
      <c r="Y587" s="128"/>
      <c r="Z587" s="128"/>
      <c r="AA587" s="128">
        <f t="shared" si="792"/>
        <v>0</v>
      </c>
      <c r="AB587" s="128">
        <f t="shared" si="651"/>
        <v>4599999256.04</v>
      </c>
      <c r="AC587" s="175">
        <v>0</v>
      </c>
    </row>
    <row r="588" spans="1:29" ht="14.25" x14ac:dyDescent="0.2">
      <c r="B588" s="76" t="s">
        <v>870</v>
      </c>
      <c r="C588" s="77" t="s">
        <v>871</v>
      </c>
      <c r="D588" s="334"/>
      <c r="E588" s="188">
        <f>SUM('ADICIONES  2021'!C588:I588)</f>
        <v>4190433949.29</v>
      </c>
      <c r="F588" s="128"/>
      <c r="G588" s="128"/>
      <c r="H588" s="128"/>
      <c r="I588" s="128"/>
      <c r="J588" s="128"/>
      <c r="K588" s="128">
        <f t="shared" si="647"/>
        <v>4190433949.29</v>
      </c>
      <c r="L588" s="128"/>
      <c r="M588" s="128"/>
      <c r="N588" s="128"/>
      <c r="O588" s="128"/>
      <c r="P588" s="128"/>
      <c r="Q588" s="413"/>
      <c r="R588" s="128">
        <f t="shared" si="649"/>
        <v>0</v>
      </c>
      <c r="S588" s="128"/>
      <c r="T588" s="128"/>
      <c r="U588" s="128"/>
      <c r="V588" s="128"/>
      <c r="W588" s="128"/>
      <c r="X588" s="128"/>
      <c r="Y588" s="128"/>
      <c r="Z588" s="128"/>
      <c r="AA588" s="128">
        <f t="shared" si="792"/>
        <v>0</v>
      </c>
      <c r="AB588" s="128">
        <f t="shared" si="651"/>
        <v>0</v>
      </c>
      <c r="AC588" s="175">
        <f t="shared" si="822"/>
        <v>0</v>
      </c>
    </row>
    <row r="589" spans="1:29" s="63" customFormat="1" ht="15.75" hidden="1" x14ac:dyDescent="0.2">
      <c r="A589" s="397"/>
      <c r="B589" s="81" t="s">
        <v>872</v>
      </c>
      <c r="C589" s="79" t="s">
        <v>291</v>
      </c>
      <c r="D589" s="329">
        <f>+D590</f>
        <v>0</v>
      </c>
      <c r="E589" s="187">
        <f>SUM('ADICIONES  2021'!C589:I589)</f>
        <v>0</v>
      </c>
      <c r="F589" s="223">
        <f t="shared" ref="F589:J589" si="823">+F590</f>
        <v>0</v>
      </c>
      <c r="G589" s="223">
        <f t="shared" si="823"/>
        <v>0</v>
      </c>
      <c r="H589" s="223">
        <f t="shared" si="823"/>
        <v>0</v>
      </c>
      <c r="I589" s="223">
        <f t="shared" si="823"/>
        <v>0</v>
      </c>
      <c r="J589" s="223">
        <f t="shared" si="823"/>
        <v>0</v>
      </c>
      <c r="K589" s="78">
        <f t="shared" si="647"/>
        <v>0</v>
      </c>
      <c r="L589" s="223">
        <f t="shared" ref="L589:Q589" si="824">+L590</f>
        <v>0</v>
      </c>
      <c r="M589" s="223">
        <f t="shared" si="824"/>
        <v>0</v>
      </c>
      <c r="N589" s="223">
        <f t="shared" si="824"/>
        <v>0</v>
      </c>
      <c r="O589" s="223">
        <f t="shared" si="824"/>
        <v>0</v>
      </c>
      <c r="P589" s="223">
        <f t="shared" si="824"/>
        <v>0</v>
      </c>
      <c r="Q589" s="407">
        <f t="shared" si="824"/>
        <v>0</v>
      </c>
      <c r="R589" s="78">
        <f t="shared" si="649"/>
        <v>0</v>
      </c>
      <c r="S589" s="223">
        <f t="shared" ref="S589:Z589" si="825">+S590</f>
        <v>0</v>
      </c>
      <c r="T589" s="223">
        <f t="shared" si="825"/>
        <v>0</v>
      </c>
      <c r="U589" s="223">
        <f t="shared" si="825"/>
        <v>0</v>
      </c>
      <c r="V589" s="223">
        <f t="shared" si="825"/>
        <v>0</v>
      </c>
      <c r="W589" s="223">
        <f t="shared" si="825"/>
        <v>0</v>
      </c>
      <c r="X589" s="223">
        <f t="shared" si="825"/>
        <v>0</v>
      </c>
      <c r="Y589" s="223">
        <f t="shared" si="825"/>
        <v>0</v>
      </c>
      <c r="Z589" s="223">
        <f t="shared" si="825"/>
        <v>0</v>
      </c>
      <c r="AA589" s="78">
        <f t="shared" si="792"/>
        <v>0</v>
      </c>
      <c r="AB589" s="78">
        <f t="shared" si="651"/>
        <v>0</v>
      </c>
      <c r="AC589" s="175" t="e">
        <f t="shared" si="822"/>
        <v>#DIV/0!</v>
      </c>
    </row>
    <row r="590" spans="1:29" ht="14.25" hidden="1" x14ac:dyDescent="0.2">
      <c r="B590" s="76" t="s">
        <v>873</v>
      </c>
      <c r="C590" s="77" t="s">
        <v>291</v>
      </c>
      <c r="D590" s="334"/>
      <c r="E590" s="188">
        <f>SUM('ADICIONES  2021'!C590:I590)</f>
        <v>0</v>
      </c>
      <c r="F590" s="128"/>
      <c r="G590" s="128"/>
      <c r="H590" s="128"/>
      <c r="I590" s="128"/>
      <c r="J590" s="128"/>
      <c r="K590" s="128">
        <f t="shared" si="647"/>
        <v>0</v>
      </c>
      <c r="L590" s="128"/>
      <c r="M590" s="128"/>
      <c r="N590" s="128"/>
      <c r="O590" s="128"/>
      <c r="P590" s="128"/>
      <c r="Q590" s="413"/>
      <c r="R590" s="128">
        <f t="shared" si="649"/>
        <v>0</v>
      </c>
      <c r="S590" s="128"/>
      <c r="T590" s="128"/>
      <c r="U590" s="128"/>
      <c r="V590" s="128"/>
      <c r="W590" s="128"/>
      <c r="X590" s="128"/>
      <c r="Y590" s="128"/>
      <c r="Z590" s="128"/>
      <c r="AA590" s="128">
        <f t="shared" si="792"/>
        <v>0</v>
      </c>
      <c r="AB590" s="128">
        <f t="shared" si="651"/>
        <v>0</v>
      </c>
      <c r="AC590" s="175" t="e">
        <f t="shared" si="822"/>
        <v>#DIV/0!</v>
      </c>
    </row>
    <row r="591" spans="1:29" s="63" customFormat="1" ht="15.75" x14ac:dyDescent="0.2">
      <c r="A591" s="397"/>
      <c r="B591" s="81" t="s">
        <v>874</v>
      </c>
      <c r="C591" s="79" t="s">
        <v>875</v>
      </c>
      <c r="D591" s="329">
        <f>SUM(D592:D594)</f>
        <v>0</v>
      </c>
      <c r="E591" s="187">
        <f>SUM('ADICIONES  2021'!C591:I591)</f>
        <v>0</v>
      </c>
      <c r="F591" s="223">
        <f t="shared" ref="F591:J591" si="826">SUM(F592:F594)</f>
        <v>0</v>
      </c>
      <c r="G591" s="223">
        <f t="shared" si="826"/>
        <v>0</v>
      </c>
      <c r="H591" s="223">
        <f t="shared" si="826"/>
        <v>0</v>
      </c>
      <c r="I591" s="223">
        <f t="shared" si="826"/>
        <v>0</v>
      </c>
      <c r="J591" s="223">
        <f t="shared" si="826"/>
        <v>0</v>
      </c>
      <c r="K591" s="78">
        <f t="shared" si="647"/>
        <v>0</v>
      </c>
      <c r="L591" s="223">
        <f t="shared" ref="L591:Q591" si="827">SUM(L592:L594)</f>
        <v>0</v>
      </c>
      <c r="M591" s="223">
        <f t="shared" si="827"/>
        <v>0</v>
      </c>
      <c r="N591" s="223">
        <f t="shared" si="827"/>
        <v>0</v>
      </c>
      <c r="O591" s="223">
        <f t="shared" si="827"/>
        <v>4882325</v>
      </c>
      <c r="P591" s="223">
        <f t="shared" si="827"/>
        <v>0</v>
      </c>
      <c r="Q591" s="407">
        <f t="shared" si="827"/>
        <v>0</v>
      </c>
      <c r="R591" s="78">
        <f t="shared" si="649"/>
        <v>4882325</v>
      </c>
      <c r="S591" s="223">
        <f t="shared" ref="S591:Z591" si="828">SUM(S592:S594)</f>
        <v>690</v>
      </c>
      <c r="T591" s="223">
        <f t="shared" si="828"/>
        <v>0</v>
      </c>
      <c r="U591" s="223">
        <f t="shared" si="828"/>
        <v>0</v>
      </c>
      <c r="V591" s="223">
        <f t="shared" si="828"/>
        <v>0</v>
      </c>
      <c r="W591" s="223">
        <f t="shared" si="828"/>
        <v>0</v>
      </c>
      <c r="X591" s="223">
        <f t="shared" si="828"/>
        <v>0</v>
      </c>
      <c r="Y591" s="223">
        <f t="shared" si="828"/>
        <v>0</v>
      </c>
      <c r="Z591" s="223">
        <f t="shared" si="828"/>
        <v>0</v>
      </c>
      <c r="AA591" s="78">
        <f t="shared" si="792"/>
        <v>690</v>
      </c>
      <c r="AB591" s="78">
        <f t="shared" si="651"/>
        <v>4883015</v>
      </c>
      <c r="AC591" s="175">
        <v>0</v>
      </c>
    </row>
    <row r="592" spans="1:29" ht="28.5" x14ac:dyDescent="0.2">
      <c r="B592" s="76" t="s">
        <v>876</v>
      </c>
      <c r="C592" s="77" t="s">
        <v>292</v>
      </c>
      <c r="D592" s="334"/>
      <c r="E592" s="188">
        <f>SUM('ADICIONES  2021'!C592:I592)</f>
        <v>0</v>
      </c>
      <c r="F592" s="41"/>
      <c r="G592" s="41"/>
      <c r="H592" s="41"/>
      <c r="I592" s="41"/>
      <c r="J592" s="41"/>
      <c r="K592" s="128">
        <f t="shared" si="647"/>
        <v>0</v>
      </c>
      <c r="L592" s="41"/>
      <c r="M592" s="41"/>
      <c r="N592" s="41"/>
      <c r="O592" s="41">
        <v>4882325</v>
      </c>
      <c r="P592" s="41"/>
      <c r="Q592" s="409"/>
      <c r="R592" s="128">
        <f t="shared" si="649"/>
        <v>4882325</v>
      </c>
      <c r="S592" s="41">
        <v>690</v>
      </c>
      <c r="T592" s="41"/>
      <c r="U592" s="41"/>
      <c r="V592" s="41"/>
      <c r="W592" s="41"/>
      <c r="X592" s="41"/>
      <c r="Y592" s="41"/>
      <c r="Z592" s="41"/>
      <c r="AA592" s="128">
        <f t="shared" si="792"/>
        <v>690</v>
      </c>
      <c r="AB592" s="128">
        <f t="shared" si="651"/>
        <v>4883015</v>
      </c>
      <c r="AC592" s="175">
        <v>0</v>
      </c>
    </row>
    <row r="593" spans="2:29" ht="28.5" hidden="1" x14ac:dyDescent="0.2">
      <c r="B593" s="76" t="s">
        <v>877</v>
      </c>
      <c r="C593" s="77" t="s">
        <v>293</v>
      </c>
      <c r="D593" s="334"/>
      <c r="E593" s="188">
        <f>SUM('ADICIONES  2021'!C593:I593)</f>
        <v>0</v>
      </c>
      <c r="F593" s="41"/>
      <c r="G593" s="41"/>
      <c r="H593" s="41"/>
      <c r="I593" s="41"/>
      <c r="J593" s="41"/>
      <c r="K593" s="128">
        <f t="shared" si="647"/>
        <v>0</v>
      </c>
      <c r="L593" s="41"/>
      <c r="M593" s="41"/>
      <c r="N593" s="41"/>
      <c r="O593" s="41"/>
      <c r="P593" s="41"/>
      <c r="Q593" s="409"/>
      <c r="R593" s="128">
        <f t="shared" si="649"/>
        <v>0</v>
      </c>
      <c r="S593" s="41"/>
      <c r="T593" s="41"/>
      <c r="U593" s="41"/>
      <c r="V593" s="41"/>
      <c r="W593" s="41"/>
      <c r="X593" s="41"/>
      <c r="Y593" s="41"/>
      <c r="Z593" s="41"/>
      <c r="AA593" s="128">
        <f t="shared" si="792"/>
        <v>0</v>
      </c>
      <c r="AB593" s="128">
        <f t="shared" si="651"/>
        <v>0</v>
      </c>
      <c r="AC593" s="175" t="e">
        <f t="shared" si="822"/>
        <v>#DIV/0!</v>
      </c>
    </row>
    <row r="594" spans="2:29" ht="28.5" hidden="1" x14ac:dyDescent="0.2">
      <c r="B594" s="76" t="s">
        <v>878</v>
      </c>
      <c r="C594" s="77" t="s">
        <v>294</v>
      </c>
      <c r="D594" s="334"/>
      <c r="E594" s="188">
        <f>SUM('ADICIONES  2021'!C594:I594)</f>
        <v>0</v>
      </c>
      <c r="F594" s="41"/>
      <c r="G594" s="41"/>
      <c r="H594" s="41"/>
      <c r="I594" s="41"/>
      <c r="J594" s="41"/>
      <c r="K594" s="128">
        <f t="shared" si="647"/>
        <v>0</v>
      </c>
      <c r="L594" s="41"/>
      <c r="M594" s="41"/>
      <c r="N594" s="41"/>
      <c r="O594" s="41"/>
      <c r="P594" s="41"/>
      <c r="Q594" s="409"/>
      <c r="R594" s="128">
        <f t="shared" si="649"/>
        <v>0</v>
      </c>
      <c r="S594" s="41"/>
      <c r="T594" s="41"/>
      <c r="U594" s="41"/>
      <c r="V594" s="41"/>
      <c r="W594" s="41"/>
      <c r="X594" s="41"/>
      <c r="Y594" s="41"/>
      <c r="Z594" s="41"/>
      <c r="AA594" s="128">
        <f t="shared" si="792"/>
        <v>0</v>
      </c>
      <c r="AB594" s="128">
        <f t="shared" si="651"/>
        <v>0</v>
      </c>
      <c r="AC594" s="175" t="e">
        <f t="shared" si="822"/>
        <v>#DIV/0!</v>
      </c>
    </row>
    <row r="595" spans="2:29" ht="14.25" hidden="1" x14ac:dyDescent="0.2">
      <c r="B595" s="76" t="s">
        <v>879</v>
      </c>
      <c r="C595" s="77" t="s">
        <v>295</v>
      </c>
      <c r="D595" s="334"/>
      <c r="E595" s="188">
        <f>SUM('ADICIONES  2021'!C595:I595)</f>
        <v>0</v>
      </c>
      <c r="F595" s="41"/>
      <c r="G595" s="41"/>
      <c r="H595" s="41"/>
      <c r="I595" s="41"/>
      <c r="J595" s="41"/>
      <c r="K595" s="128">
        <f t="shared" si="647"/>
        <v>0</v>
      </c>
      <c r="L595" s="41"/>
      <c r="M595" s="41"/>
      <c r="N595" s="41"/>
      <c r="O595" s="41"/>
      <c r="P595" s="41"/>
      <c r="Q595" s="409"/>
      <c r="R595" s="128">
        <f t="shared" si="649"/>
        <v>0</v>
      </c>
      <c r="S595" s="41"/>
      <c r="T595" s="41"/>
      <c r="U595" s="41"/>
      <c r="V595" s="41"/>
      <c r="W595" s="41"/>
      <c r="X595" s="41"/>
      <c r="Y595" s="41"/>
      <c r="Z595" s="41"/>
      <c r="AA595" s="128">
        <f t="shared" si="792"/>
        <v>0</v>
      </c>
      <c r="AB595" s="128">
        <f t="shared" si="651"/>
        <v>0</v>
      </c>
      <c r="AC595" s="175" t="e">
        <f t="shared" si="822"/>
        <v>#DIV/0!</v>
      </c>
    </row>
    <row r="596" spans="2:29" ht="14.25" hidden="1" x14ac:dyDescent="0.2">
      <c r="B596" s="76" t="s">
        <v>880</v>
      </c>
      <c r="C596" s="77" t="s">
        <v>296</v>
      </c>
      <c r="D596" s="334"/>
      <c r="E596" s="188">
        <f>SUM('ADICIONES  2021'!C596:I596)</f>
        <v>0</v>
      </c>
      <c r="F596" s="41"/>
      <c r="G596" s="41"/>
      <c r="H596" s="41"/>
      <c r="I596" s="41"/>
      <c r="J596" s="41"/>
      <c r="K596" s="128">
        <f t="shared" si="647"/>
        <v>0</v>
      </c>
      <c r="L596" s="41"/>
      <c r="M596" s="41"/>
      <c r="N596" s="41"/>
      <c r="O596" s="41"/>
      <c r="P596" s="41"/>
      <c r="Q596" s="409"/>
      <c r="R596" s="128">
        <f t="shared" si="649"/>
        <v>0</v>
      </c>
      <c r="S596" s="41"/>
      <c r="T596" s="41"/>
      <c r="U596" s="41"/>
      <c r="V596" s="41"/>
      <c r="W596" s="41"/>
      <c r="X596" s="41"/>
      <c r="Y596" s="41"/>
      <c r="Z596" s="41"/>
      <c r="AA596" s="128">
        <f t="shared" si="792"/>
        <v>0</v>
      </c>
      <c r="AB596" s="128">
        <f t="shared" si="651"/>
        <v>0</v>
      </c>
      <c r="AC596" s="175" t="e">
        <f t="shared" si="822"/>
        <v>#DIV/0!</v>
      </c>
    </row>
    <row r="597" spans="2:29" ht="14.25" hidden="1" x14ac:dyDescent="0.2">
      <c r="B597" s="76" t="s">
        <v>881</v>
      </c>
      <c r="C597" s="77" t="s">
        <v>297</v>
      </c>
      <c r="D597" s="334"/>
      <c r="E597" s="188">
        <f>SUM('ADICIONES  2021'!C597:I597)</f>
        <v>0</v>
      </c>
      <c r="F597" s="41"/>
      <c r="G597" s="41"/>
      <c r="H597" s="41"/>
      <c r="I597" s="41"/>
      <c r="J597" s="41"/>
      <c r="K597" s="128">
        <f t="shared" si="647"/>
        <v>0</v>
      </c>
      <c r="L597" s="41"/>
      <c r="M597" s="41"/>
      <c r="N597" s="41"/>
      <c r="O597" s="41"/>
      <c r="P597" s="41"/>
      <c r="Q597" s="409"/>
      <c r="R597" s="128">
        <f t="shared" si="649"/>
        <v>0</v>
      </c>
      <c r="S597" s="41"/>
      <c r="T597" s="41"/>
      <c r="U597" s="41"/>
      <c r="V597" s="41"/>
      <c r="W597" s="41"/>
      <c r="X597" s="41"/>
      <c r="Y597" s="41"/>
      <c r="Z597" s="41"/>
      <c r="AA597" s="128">
        <f t="shared" si="792"/>
        <v>0</v>
      </c>
      <c r="AB597" s="128">
        <f t="shared" si="651"/>
        <v>0</v>
      </c>
      <c r="AC597" s="175" t="e">
        <f t="shared" si="822"/>
        <v>#DIV/0!</v>
      </c>
    </row>
    <row r="598" spans="2:29" ht="14.25" hidden="1" x14ac:dyDescent="0.2">
      <c r="B598" s="76" t="s">
        <v>882</v>
      </c>
      <c r="C598" s="77" t="s">
        <v>298</v>
      </c>
      <c r="D598" s="334"/>
      <c r="E598" s="188">
        <f>SUM('ADICIONES  2021'!C598:I598)</f>
        <v>0</v>
      </c>
      <c r="F598" s="41"/>
      <c r="G598" s="41"/>
      <c r="H598" s="41"/>
      <c r="I598" s="41"/>
      <c r="J598" s="41"/>
      <c r="K598" s="128">
        <f t="shared" si="647"/>
        <v>0</v>
      </c>
      <c r="L598" s="41"/>
      <c r="M598" s="41"/>
      <c r="N598" s="41"/>
      <c r="O598" s="41"/>
      <c r="P598" s="41"/>
      <c r="Q598" s="409"/>
      <c r="R598" s="128">
        <f t="shared" si="649"/>
        <v>0</v>
      </c>
      <c r="S598" s="41"/>
      <c r="T598" s="41"/>
      <c r="U598" s="41"/>
      <c r="V598" s="41"/>
      <c r="W598" s="41"/>
      <c r="X598" s="41"/>
      <c r="Y598" s="41"/>
      <c r="Z598" s="41"/>
      <c r="AA598" s="128">
        <f t="shared" si="792"/>
        <v>0</v>
      </c>
      <c r="AB598" s="128">
        <f t="shared" si="651"/>
        <v>0</v>
      </c>
      <c r="AC598" s="175" t="e">
        <f t="shared" si="822"/>
        <v>#DIV/0!</v>
      </c>
    </row>
    <row r="599" spans="2:29" ht="14.25" x14ac:dyDescent="0.2">
      <c r="B599" s="76" t="s">
        <v>883</v>
      </c>
      <c r="C599" s="77" t="s">
        <v>299</v>
      </c>
      <c r="D599" s="334"/>
      <c r="E599" s="188">
        <f>SUM('ADICIONES  2021'!C599:I599)</f>
        <v>0</v>
      </c>
      <c r="F599" s="41"/>
      <c r="G599" s="41"/>
      <c r="H599" s="41"/>
      <c r="I599" s="41"/>
      <c r="J599" s="41"/>
      <c r="K599" s="128">
        <f t="shared" ref="K599:K764" si="829">+D599+E599-F599+G599-H599</f>
        <v>0</v>
      </c>
      <c r="L599" s="41"/>
      <c r="M599" s="41"/>
      <c r="N599" s="41">
        <v>2281458860.8000002</v>
      </c>
      <c r="O599" s="41"/>
      <c r="P599" s="41"/>
      <c r="Q599" s="409"/>
      <c r="R599" s="128">
        <f t="shared" si="649"/>
        <v>2281458860.8000002</v>
      </c>
      <c r="S599" s="41"/>
      <c r="T599" s="41"/>
      <c r="U599" s="41"/>
      <c r="V599" s="41"/>
      <c r="W599" s="41"/>
      <c r="X599" s="41"/>
      <c r="Y599" s="41"/>
      <c r="Z599" s="41"/>
      <c r="AA599" s="128">
        <f t="shared" si="792"/>
        <v>0</v>
      </c>
      <c r="AB599" s="128">
        <f t="shared" si="651"/>
        <v>2281458860.8000002</v>
      </c>
      <c r="AC599" s="175">
        <v>0</v>
      </c>
    </row>
    <row r="600" spans="2:29" ht="14.25" x14ac:dyDescent="0.2">
      <c r="B600" s="76" t="s">
        <v>883</v>
      </c>
      <c r="C600" s="77" t="s">
        <v>299</v>
      </c>
      <c r="D600" s="334"/>
      <c r="E600" s="188">
        <f>SUM('ADICIONES  2021'!C600:I600)</f>
        <v>2281458860.8000002</v>
      </c>
      <c r="F600" s="41"/>
      <c r="G600" s="41"/>
      <c r="H600" s="41"/>
      <c r="I600" s="41"/>
      <c r="J600" s="41"/>
      <c r="K600" s="128">
        <f t="shared" si="829"/>
        <v>2281458860.8000002</v>
      </c>
      <c r="L600" s="41"/>
      <c r="M600" s="41"/>
      <c r="N600" s="41"/>
      <c r="O600" s="41"/>
      <c r="P600" s="41"/>
      <c r="Q600" s="409"/>
      <c r="R600" s="128">
        <f t="shared" si="649"/>
        <v>0</v>
      </c>
      <c r="S600" s="41"/>
      <c r="T600" s="41"/>
      <c r="U600" s="41"/>
      <c r="V600" s="41"/>
      <c r="W600" s="41"/>
      <c r="X600" s="41"/>
      <c r="Y600" s="41"/>
      <c r="Z600" s="41"/>
      <c r="AA600" s="128">
        <f t="shared" si="792"/>
        <v>0</v>
      </c>
      <c r="AB600" s="128">
        <f t="shared" si="651"/>
        <v>0</v>
      </c>
      <c r="AC600" s="175">
        <f t="shared" si="822"/>
        <v>0</v>
      </c>
    </row>
    <row r="601" spans="2:29" ht="14.25" hidden="1" x14ac:dyDescent="0.2">
      <c r="B601" s="76" t="s">
        <v>884</v>
      </c>
      <c r="C601" s="77" t="s">
        <v>300</v>
      </c>
      <c r="D601" s="334"/>
      <c r="E601" s="188">
        <f>SUM('ADICIONES  2021'!C601:I601)</f>
        <v>0</v>
      </c>
      <c r="F601" s="41"/>
      <c r="G601" s="41"/>
      <c r="H601" s="41"/>
      <c r="I601" s="41"/>
      <c r="J601" s="41"/>
      <c r="K601" s="128">
        <f t="shared" si="829"/>
        <v>0</v>
      </c>
      <c r="L601" s="41"/>
      <c r="M601" s="41"/>
      <c r="N601" s="41"/>
      <c r="O601" s="41"/>
      <c r="P601" s="41"/>
      <c r="Q601" s="409"/>
      <c r="R601" s="128">
        <f t="shared" si="649"/>
        <v>0</v>
      </c>
      <c r="S601" s="41"/>
      <c r="T601" s="41"/>
      <c r="U601" s="41"/>
      <c r="V601" s="41"/>
      <c r="W601" s="41"/>
      <c r="X601" s="41"/>
      <c r="Y601" s="41"/>
      <c r="Z601" s="41"/>
      <c r="AA601" s="128">
        <f t="shared" si="792"/>
        <v>0</v>
      </c>
      <c r="AB601" s="128">
        <f t="shared" ref="AB601:AB764" si="830">+R601+AA601</f>
        <v>0</v>
      </c>
      <c r="AC601" s="175" t="e">
        <f t="shared" si="822"/>
        <v>#DIV/0!</v>
      </c>
    </row>
    <row r="602" spans="2:29" ht="14.25" hidden="1" x14ac:dyDescent="0.2">
      <c r="B602" s="76" t="s">
        <v>885</v>
      </c>
      <c r="C602" s="77" t="s">
        <v>301</v>
      </c>
      <c r="D602" s="334"/>
      <c r="E602" s="188">
        <f>SUM('ADICIONES  2021'!C602:I602)</f>
        <v>0</v>
      </c>
      <c r="F602" s="41"/>
      <c r="G602" s="41"/>
      <c r="H602" s="41"/>
      <c r="I602" s="41"/>
      <c r="J602" s="41"/>
      <c r="K602" s="128">
        <f t="shared" si="829"/>
        <v>0</v>
      </c>
      <c r="L602" s="41"/>
      <c r="M602" s="41"/>
      <c r="N602" s="41"/>
      <c r="O602" s="41"/>
      <c r="P602" s="41"/>
      <c r="Q602" s="409"/>
      <c r="R602" s="128">
        <f t="shared" si="649"/>
        <v>0</v>
      </c>
      <c r="S602" s="41"/>
      <c r="T602" s="41"/>
      <c r="U602" s="41"/>
      <c r="V602" s="41"/>
      <c r="W602" s="41"/>
      <c r="X602" s="41"/>
      <c r="Y602" s="41"/>
      <c r="Z602" s="41"/>
      <c r="AA602" s="128">
        <f t="shared" si="792"/>
        <v>0</v>
      </c>
      <c r="AB602" s="128">
        <f t="shared" si="830"/>
        <v>0</v>
      </c>
      <c r="AC602" s="175" t="e">
        <f t="shared" si="822"/>
        <v>#DIV/0!</v>
      </c>
    </row>
    <row r="603" spans="2:29" ht="28.5" hidden="1" x14ac:dyDescent="0.2">
      <c r="B603" s="76" t="s">
        <v>886</v>
      </c>
      <c r="C603" s="77" t="s">
        <v>302</v>
      </c>
      <c r="D603" s="334"/>
      <c r="E603" s="188">
        <f>SUM('ADICIONES  2021'!C603:I603)</f>
        <v>0</v>
      </c>
      <c r="F603" s="41"/>
      <c r="G603" s="41"/>
      <c r="H603" s="41"/>
      <c r="I603" s="41"/>
      <c r="J603" s="41"/>
      <c r="K603" s="128">
        <f t="shared" si="829"/>
        <v>0</v>
      </c>
      <c r="L603" s="41"/>
      <c r="M603" s="41"/>
      <c r="N603" s="41"/>
      <c r="O603" s="41"/>
      <c r="P603" s="41"/>
      <c r="Q603" s="409"/>
      <c r="R603" s="128">
        <f t="shared" si="649"/>
        <v>0</v>
      </c>
      <c r="S603" s="41"/>
      <c r="T603" s="41"/>
      <c r="U603" s="41"/>
      <c r="V603" s="41"/>
      <c r="W603" s="41"/>
      <c r="X603" s="41"/>
      <c r="Y603" s="41"/>
      <c r="Z603" s="41"/>
      <c r="AA603" s="128">
        <f t="shared" si="792"/>
        <v>0</v>
      </c>
      <c r="AB603" s="128">
        <f t="shared" si="830"/>
        <v>0</v>
      </c>
      <c r="AC603" s="175" t="e">
        <f t="shared" si="822"/>
        <v>#DIV/0!</v>
      </c>
    </row>
    <row r="604" spans="2:29" ht="14.25" hidden="1" x14ac:dyDescent="0.2">
      <c r="B604" s="76" t="s">
        <v>887</v>
      </c>
      <c r="C604" s="77" t="s">
        <v>303</v>
      </c>
      <c r="D604" s="334"/>
      <c r="E604" s="188">
        <f>SUM('ADICIONES  2021'!C604:I604)</f>
        <v>0</v>
      </c>
      <c r="F604" s="41"/>
      <c r="G604" s="41"/>
      <c r="H604" s="41"/>
      <c r="I604" s="41"/>
      <c r="J604" s="41"/>
      <c r="K604" s="128">
        <f t="shared" si="829"/>
        <v>0</v>
      </c>
      <c r="L604" s="41"/>
      <c r="M604" s="41"/>
      <c r="N604" s="41"/>
      <c r="O604" s="41"/>
      <c r="P604" s="41"/>
      <c r="Q604" s="409"/>
      <c r="R604" s="128">
        <f t="shared" si="649"/>
        <v>0</v>
      </c>
      <c r="S604" s="41"/>
      <c r="T604" s="41"/>
      <c r="U604" s="41"/>
      <c r="V604" s="41"/>
      <c r="W604" s="41"/>
      <c r="X604" s="41"/>
      <c r="Y604" s="41"/>
      <c r="Z604" s="41"/>
      <c r="AA604" s="128">
        <f t="shared" si="792"/>
        <v>0</v>
      </c>
      <c r="AB604" s="128">
        <f t="shared" si="830"/>
        <v>0</v>
      </c>
      <c r="AC604" s="175" t="e">
        <f t="shared" si="822"/>
        <v>#DIV/0!</v>
      </c>
    </row>
    <row r="605" spans="2:29" ht="14.25" hidden="1" x14ac:dyDescent="0.2">
      <c r="B605" s="76" t="s">
        <v>888</v>
      </c>
      <c r="C605" s="77" t="s">
        <v>304</v>
      </c>
      <c r="D605" s="334"/>
      <c r="E605" s="188">
        <f>SUM('ADICIONES  2021'!C605:I605)</f>
        <v>0</v>
      </c>
      <c r="F605" s="41"/>
      <c r="G605" s="41"/>
      <c r="H605" s="41"/>
      <c r="I605" s="41"/>
      <c r="J605" s="41"/>
      <c r="K605" s="128">
        <f t="shared" si="829"/>
        <v>0</v>
      </c>
      <c r="L605" s="41"/>
      <c r="M605" s="41"/>
      <c r="N605" s="41"/>
      <c r="O605" s="41"/>
      <c r="P605" s="41"/>
      <c r="Q605" s="409"/>
      <c r="R605" s="128">
        <f t="shared" si="649"/>
        <v>0</v>
      </c>
      <c r="S605" s="41"/>
      <c r="T605" s="41"/>
      <c r="U605" s="41"/>
      <c r="V605" s="41"/>
      <c r="W605" s="41"/>
      <c r="X605" s="41"/>
      <c r="Y605" s="41"/>
      <c r="Z605" s="41"/>
      <c r="AA605" s="128">
        <f t="shared" si="792"/>
        <v>0</v>
      </c>
      <c r="AB605" s="128">
        <f t="shared" si="830"/>
        <v>0</v>
      </c>
      <c r="AC605" s="175" t="e">
        <f t="shared" si="822"/>
        <v>#DIV/0!</v>
      </c>
    </row>
    <row r="606" spans="2:29" ht="14.25" hidden="1" x14ac:dyDescent="0.2">
      <c r="B606" s="76" t="s">
        <v>889</v>
      </c>
      <c r="C606" s="77" t="s">
        <v>890</v>
      </c>
      <c r="D606" s="334"/>
      <c r="E606" s="188">
        <f>SUM('ADICIONES  2021'!C606:I606)</f>
        <v>0</v>
      </c>
      <c r="F606" s="41"/>
      <c r="G606" s="41"/>
      <c r="H606" s="41"/>
      <c r="I606" s="41"/>
      <c r="J606" s="41"/>
      <c r="K606" s="128">
        <f t="shared" si="829"/>
        <v>0</v>
      </c>
      <c r="L606" s="41"/>
      <c r="M606" s="41"/>
      <c r="N606" s="41"/>
      <c r="O606" s="41"/>
      <c r="P606" s="41"/>
      <c r="Q606" s="409"/>
      <c r="R606" s="128">
        <f t="shared" si="649"/>
        <v>0</v>
      </c>
      <c r="S606" s="41"/>
      <c r="T606" s="41"/>
      <c r="U606" s="41"/>
      <c r="V606" s="41"/>
      <c r="W606" s="41"/>
      <c r="X606" s="41"/>
      <c r="Y606" s="41"/>
      <c r="Z606" s="41"/>
      <c r="AA606" s="128">
        <f t="shared" si="792"/>
        <v>0</v>
      </c>
      <c r="AB606" s="128">
        <f t="shared" si="830"/>
        <v>0</v>
      </c>
      <c r="AC606" s="175" t="e">
        <f t="shared" si="822"/>
        <v>#DIV/0!</v>
      </c>
    </row>
    <row r="607" spans="2:29" ht="28.5" hidden="1" x14ac:dyDescent="0.2">
      <c r="B607" s="76" t="s">
        <v>891</v>
      </c>
      <c r="C607" s="77" t="s">
        <v>305</v>
      </c>
      <c r="D607" s="334"/>
      <c r="E607" s="188">
        <f>SUM('ADICIONES  2021'!C607:I607)</f>
        <v>0</v>
      </c>
      <c r="F607" s="41"/>
      <c r="G607" s="41"/>
      <c r="H607" s="41"/>
      <c r="I607" s="41"/>
      <c r="J607" s="41"/>
      <c r="K607" s="128">
        <f t="shared" si="829"/>
        <v>0</v>
      </c>
      <c r="L607" s="41"/>
      <c r="M607" s="41"/>
      <c r="N607" s="41"/>
      <c r="O607" s="41"/>
      <c r="P607" s="41"/>
      <c r="Q607" s="409"/>
      <c r="R607" s="128">
        <f t="shared" si="649"/>
        <v>0</v>
      </c>
      <c r="S607" s="41"/>
      <c r="T607" s="41"/>
      <c r="U607" s="41"/>
      <c r="V607" s="41"/>
      <c r="W607" s="41"/>
      <c r="X607" s="41"/>
      <c r="Y607" s="41"/>
      <c r="Z607" s="41"/>
      <c r="AA607" s="128">
        <f t="shared" si="792"/>
        <v>0</v>
      </c>
      <c r="AB607" s="128">
        <f t="shared" si="830"/>
        <v>0</v>
      </c>
      <c r="AC607" s="175" t="e">
        <f t="shared" si="822"/>
        <v>#DIV/0!</v>
      </c>
    </row>
    <row r="608" spans="2:29" ht="14.25" hidden="1" x14ac:dyDescent="0.2">
      <c r="B608" s="76" t="s">
        <v>892</v>
      </c>
      <c r="C608" s="77" t="s">
        <v>306</v>
      </c>
      <c r="D608" s="334"/>
      <c r="E608" s="188">
        <f>SUM('ADICIONES  2021'!C608:I608)</f>
        <v>0</v>
      </c>
      <c r="F608" s="41"/>
      <c r="G608" s="41"/>
      <c r="H608" s="41"/>
      <c r="I608" s="41"/>
      <c r="J608" s="41"/>
      <c r="K608" s="128">
        <f t="shared" si="829"/>
        <v>0</v>
      </c>
      <c r="L608" s="41"/>
      <c r="M608" s="41"/>
      <c r="N608" s="41"/>
      <c r="O608" s="41"/>
      <c r="P608" s="41"/>
      <c r="Q608" s="409"/>
      <c r="R608" s="128">
        <f t="shared" si="649"/>
        <v>0</v>
      </c>
      <c r="S608" s="41"/>
      <c r="T608" s="41"/>
      <c r="U608" s="41"/>
      <c r="V608" s="41"/>
      <c r="W608" s="41"/>
      <c r="X608" s="41"/>
      <c r="Y608" s="41"/>
      <c r="Z608" s="41"/>
      <c r="AA608" s="128">
        <f t="shared" si="792"/>
        <v>0</v>
      </c>
      <c r="AB608" s="128">
        <f t="shared" si="830"/>
        <v>0</v>
      </c>
      <c r="AC608" s="175" t="e">
        <f t="shared" si="822"/>
        <v>#DIV/0!</v>
      </c>
    </row>
    <row r="609" spans="1:29" ht="28.5" hidden="1" x14ac:dyDescent="0.2">
      <c r="B609" s="76" t="s">
        <v>893</v>
      </c>
      <c r="C609" s="77" t="s">
        <v>894</v>
      </c>
      <c r="D609" s="334"/>
      <c r="E609" s="188">
        <f>SUM('ADICIONES  2021'!C609:I609)</f>
        <v>0</v>
      </c>
      <c r="F609" s="41"/>
      <c r="G609" s="41"/>
      <c r="H609" s="41"/>
      <c r="I609" s="41"/>
      <c r="J609" s="41"/>
      <c r="K609" s="128">
        <f t="shared" si="829"/>
        <v>0</v>
      </c>
      <c r="L609" s="41"/>
      <c r="M609" s="41"/>
      <c r="N609" s="41"/>
      <c r="O609" s="41"/>
      <c r="P609" s="41"/>
      <c r="Q609" s="409"/>
      <c r="R609" s="128">
        <f t="shared" si="649"/>
        <v>0</v>
      </c>
      <c r="S609" s="41"/>
      <c r="T609" s="41"/>
      <c r="U609" s="41"/>
      <c r="V609" s="41"/>
      <c r="W609" s="41"/>
      <c r="X609" s="41"/>
      <c r="Y609" s="41"/>
      <c r="Z609" s="41"/>
      <c r="AA609" s="128">
        <f t="shared" si="792"/>
        <v>0</v>
      </c>
      <c r="AB609" s="128">
        <f t="shared" si="830"/>
        <v>0</v>
      </c>
      <c r="AC609" s="175" t="e">
        <f t="shared" si="822"/>
        <v>#DIV/0!</v>
      </c>
    </row>
    <row r="610" spans="1:29" ht="28.5" hidden="1" x14ac:dyDescent="0.2">
      <c r="B610" s="76" t="s">
        <v>895</v>
      </c>
      <c r="C610" s="77" t="s">
        <v>896</v>
      </c>
      <c r="D610" s="334"/>
      <c r="E610" s="188">
        <f>SUM('ADICIONES  2021'!C610:I610)</f>
        <v>0</v>
      </c>
      <c r="F610" s="41"/>
      <c r="G610" s="41"/>
      <c r="H610" s="41"/>
      <c r="I610" s="41"/>
      <c r="J610" s="41"/>
      <c r="K610" s="128">
        <f t="shared" si="829"/>
        <v>0</v>
      </c>
      <c r="L610" s="41"/>
      <c r="M610" s="41"/>
      <c r="N610" s="41"/>
      <c r="O610" s="41"/>
      <c r="P610" s="41"/>
      <c r="Q610" s="409"/>
      <c r="R610" s="128">
        <f t="shared" si="649"/>
        <v>0</v>
      </c>
      <c r="S610" s="41"/>
      <c r="T610" s="41"/>
      <c r="U610" s="41"/>
      <c r="V610" s="41"/>
      <c r="W610" s="41"/>
      <c r="X610" s="41"/>
      <c r="Y610" s="41"/>
      <c r="Z610" s="41"/>
      <c r="AA610" s="128">
        <f t="shared" si="792"/>
        <v>0</v>
      </c>
      <c r="AB610" s="128">
        <f t="shared" si="830"/>
        <v>0</v>
      </c>
      <c r="AC610" s="175" t="e">
        <f t="shared" si="822"/>
        <v>#DIV/0!</v>
      </c>
    </row>
    <row r="611" spans="1:29" ht="14.25" hidden="1" x14ac:dyDescent="0.2">
      <c r="B611" s="76" t="s">
        <v>897</v>
      </c>
      <c r="C611" s="77" t="s">
        <v>898</v>
      </c>
      <c r="D611" s="334"/>
      <c r="E611" s="188">
        <f>SUM('ADICIONES  2021'!C611:I611)</f>
        <v>0</v>
      </c>
      <c r="F611" s="128"/>
      <c r="G611" s="128"/>
      <c r="H611" s="128"/>
      <c r="I611" s="128"/>
      <c r="J611" s="128"/>
      <c r="K611" s="128">
        <f t="shared" si="829"/>
        <v>0</v>
      </c>
      <c r="L611" s="128"/>
      <c r="M611" s="128"/>
      <c r="N611" s="128"/>
      <c r="O611" s="128"/>
      <c r="P611" s="128"/>
      <c r="Q611" s="413"/>
      <c r="R611" s="128">
        <f t="shared" si="649"/>
        <v>0</v>
      </c>
      <c r="S611" s="128"/>
      <c r="T611" s="128"/>
      <c r="U611" s="128"/>
      <c r="V611" s="128"/>
      <c r="W611" s="128"/>
      <c r="X611" s="128"/>
      <c r="Y611" s="128"/>
      <c r="Z611" s="128"/>
      <c r="AA611" s="128">
        <f t="shared" si="792"/>
        <v>0</v>
      </c>
      <c r="AB611" s="128">
        <f t="shared" si="830"/>
        <v>0</v>
      </c>
      <c r="AC611" s="175" t="e">
        <f t="shared" si="822"/>
        <v>#DIV/0!</v>
      </c>
    </row>
    <row r="612" spans="1:29" ht="14.25" hidden="1" x14ac:dyDescent="0.2">
      <c r="B612" s="76" t="s">
        <v>899</v>
      </c>
      <c r="C612" s="77" t="s">
        <v>900</v>
      </c>
      <c r="D612" s="334"/>
      <c r="E612" s="188">
        <f>SUM('ADICIONES  2021'!C612:I612)</f>
        <v>0</v>
      </c>
      <c r="F612" s="41"/>
      <c r="G612" s="41"/>
      <c r="H612" s="41"/>
      <c r="I612" s="41"/>
      <c r="J612" s="41"/>
      <c r="K612" s="128">
        <f t="shared" si="829"/>
        <v>0</v>
      </c>
      <c r="L612" s="41"/>
      <c r="M612" s="41"/>
      <c r="N612" s="41"/>
      <c r="O612" s="41"/>
      <c r="P612" s="41"/>
      <c r="Q612" s="409"/>
      <c r="R612" s="128">
        <f t="shared" si="649"/>
        <v>0</v>
      </c>
      <c r="S612" s="41"/>
      <c r="T612" s="41"/>
      <c r="U612" s="41"/>
      <c r="V612" s="41"/>
      <c r="W612" s="41"/>
      <c r="X612" s="41"/>
      <c r="Y612" s="41"/>
      <c r="Z612" s="41"/>
      <c r="AA612" s="128">
        <f t="shared" si="792"/>
        <v>0</v>
      </c>
      <c r="AB612" s="128">
        <f t="shared" si="830"/>
        <v>0</v>
      </c>
      <c r="AC612" s="175" t="e">
        <f t="shared" si="822"/>
        <v>#DIV/0!</v>
      </c>
    </row>
    <row r="613" spans="1:29" ht="14.25" hidden="1" x14ac:dyDescent="0.2">
      <c r="A613" s="396">
        <v>1</v>
      </c>
      <c r="B613" s="76" t="s">
        <v>901</v>
      </c>
      <c r="C613" s="77" t="s">
        <v>325</v>
      </c>
      <c r="D613" s="334"/>
      <c r="E613" s="188">
        <f>SUM('ADICIONES  2021'!C613:I613)</f>
        <v>0</v>
      </c>
      <c r="F613" s="128"/>
      <c r="G613" s="128"/>
      <c r="H613" s="128"/>
      <c r="I613" s="128"/>
      <c r="J613" s="128"/>
      <c r="K613" s="128">
        <f t="shared" si="829"/>
        <v>0</v>
      </c>
      <c r="L613" s="128"/>
      <c r="M613" s="128"/>
      <c r="N613" s="128"/>
      <c r="O613" s="128"/>
      <c r="P613" s="128"/>
      <c r="Q613" s="413"/>
      <c r="R613" s="128">
        <f t="shared" si="649"/>
        <v>0</v>
      </c>
      <c r="S613" s="128"/>
      <c r="T613" s="128"/>
      <c r="U613" s="128"/>
      <c r="V613" s="128"/>
      <c r="W613" s="128"/>
      <c r="X613" s="128"/>
      <c r="Y613" s="128"/>
      <c r="Z613" s="128"/>
      <c r="AA613" s="128">
        <f t="shared" si="792"/>
        <v>0</v>
      </c>
      <c r="AB613" s="128">
        <f t="shared" si="830"/>
        <v>0</v>
      </c>
      <c r="AC613" s="175" t="e">
        <f t="shared" si="822"/>
        <v>#DIV/0!</v>
      </c>
    </row>
    <row r="614" spans="1:29" ht="28.5" hidden="1" x14ac:dyDescent="0.2">
      <c r="B614" s="76" t="s">
        <v>902</v>
      </c>
      <c r="C614" s="77" t="s">
        <v>903</v>
      </c>
      <c r="D614" s="334"/>
      <c r="E614" s="188">
        <f>SUM('ADICIONES  2021'!C614:I614)</f>
        <v>0</v>
      </c>
      <c r="F614" s="128"/>
      <c r="G614" s="128"/>
      <c r="H614" s="128"/>
      <c r="I614" s="128"/>
      <c r="J614" s="128"/>
      <c r="K614" s="128">
        <f t="shared" si="829"/>
        <v>0</v>
      </c>
      <c r="L614" s="128"/>
      <c r="M614" s="128"/>
      <c r="N614" s="128"/>
      <c r="O614" s="128"/>
      <c r="P614" s="128"/>
      <c r="Q614" s="413"/>
      <c r="R614" s="128">
        <f t="shared" si="649"/>
        <v>0</v>
      </c>
      <c r="S614" s="128"/>
      <c r="T614" s="128"/>
      <c r="U614" s="128"/>
      <c r="V614" s="128"/>
      <c r="W614" s="128"/>
      <c r="X614" s="128"/>
      <c r="Y614" s="128"/>
      <c r="Z614" s="128"/>
      <c r="AA614" s="128">
        <f t="shared" si="792"/>
        <v>0</v>
      </c>
      <c r="AB614" s="128">
        <f t="shared" si="830"/>
        <v>0</v>
      </c>
      <c r="AC614" s="175" t="e">
        <f t="shared" si="822"/>
        <v>#DIV/0!</v>
      </c>
    </row>
    <row r="615" spans="1:29" ht="28.5" hidden="1" x14ac:dyDescent="0.2">
      <c r="A615" s="396">
        <v>1</v>
      </c>
      <c r="B615" s="76" t="s">
        <v>904</v>
      </c>
      <c r="C615" s="77" t="s">
        <v>905</v>
      </c>
      <c r="D615" s="334"/>
      <c r="E615" s="188">
        <f>SUM('ADICIONES  2021'!C615:I615)</f>
        <v>0</v>
      </c>
      <c r="F615" s="128"/>
      <c r="G615" s="128"/>
      <c r="H615" s="128"/>
      <c r="I615" s="128"/>
      <c r="J615" s="128"/>
      <c r="K615" s="128">
        <f t="shared" si="829"/>
        <v>0</v>
      </c>
      <c r="L615" s="128"/>
      <c r="M615" s="128"/>
      <c r="N615" s="128"/>
      <c r="O615" s="128"/>
      <c r="P615" s="128"/>
      <c r="Q615" s="413"/>
      <c r="R615" s="128">
        <f t="shared" si="649"/>
        <v>0</v>
      </c>
      <c r="S615" s="128"/>
      <c r="T615" s="128"/>
      <c r="U615" s="128"/>
      <c r="V615" s="128"/>
      <c r="W615" s="128"/>
      <c r="X615" s="128"/>
      <c r="Y615" s="128"/>
      <c r="Z615" s="128"/>
      <c r="AA615" s="128">
        <f t="shared" si="792"/>
        <v>0</v>
      </c>
      <c r="AB615" s="128">
        <f t="shared" si="830"/>
        <v>0</v>
      </c>
      <c r="AC615" s="175" t="e">
        <f t="shared" si="822"/>
        <v>#DIV/0!</v>
      </c>
    </row>
    <row r="616" spans="1:29" ht="28.5" x14ac:dyDescent="0.2">
      <c r="B616" s="76" t="s">
        <v>906</v>
      </c>
      <c r="C616" s="77" t="s">
        <v>307</v>
      </c>
      <c r="D616" s="334"/>
      <c r="E616" s="188">
        <f>SUM('ADICIONES  2021'!C616:I616)</f>
        <v>0</v>
      </c>
      <c r="F616" s="128"/>
      <c r="G616" s="128"/>
      <c r="H616" s="128"/>
      <c r="I616" s="128"/>
      <c r="J616" s="128"/>
      <c r="K616" s="128">
        <f t="shared" si="829"/>
        <v>0</v>
      </c>
      <c r="L616" s="128"/>
      <c r="M616" s="128">
        <v>1916524</v>
      </c>
      <c r="N616" s="128">
        <v>486469</v>
      </c>
      <c r="O616" s="128"/>
      <c r="P616" s="128">
        <v>58150835.5</v>
      </c>
      <c r="Q616" s="413">
        <v>4838089.75</v>
      </c>
      <c r="R616" s="128">
        <f t="shared" si="649"/>
        <v>65391918.25</v>
      </c>
      <c r="S616" s="128">
        <v>32684433.440000001</v>
      </c>
      <c r="T616" s="128"/>
      <c r="U616" s="128"/>
      <c r="V616" s="128"/>
      <c r="W616" s="128"/>
      <c r="X616" s="128"/>
      <c r="Y616" s="128"/>
      <c r="Z616" s="128"/>
      <c r="AA616" s="128">
        <f t="shared" si="792"/>
        <v>32684433.440000001</v>
      </c>
      <c r="AB616" s="128">
        <f t="shared" si="830"/>
        <v>98076351.689999998</v>
      </c>
      <c r="AC616" s="175">
        <v>0</v>
      </c>
    </row>
    <row r="617" spans="1:29" ht="14.25" hidden="1" x14ac:dyDescent="0.2">
      <c r="A617" s="396">
        <v>1</v>
      </c>
      <c r="B617" s="76" t="s">
        <v>907</v>
      </c>
      <c r="C617" s="77" t="s">
        <v>908</v>
      </c>
      <c r="D617" s="334"/>
      <c r="E617" s="188">
        <f>SUM('ADICIONES  2021'!C617:I617)</f>
        <v>0</v>
      </c>
      <c r="F617" s="128"/>
      <c r="G617" s="128"/>
      <c r="H617" s="128"/>
      <c r="I617" s="128"/>
      <c r="J617" s="128"/>
      <c r="K617" s="128">
        <f t="shared" si="829"/>
        <v>0</v>
      </c>
      <c r="L617" s="128"/>
      <c r="M617" s="128"/>
      <c r="N617" s="128"/>
      <c r="O617" s="128"/>
      <c r="P617" s="128"/>
      <c r="Q617" s="413">
        <v>0</v>
      </c>
      <c r="R617" s="128">
        <f t="shared" si="649"/>
        <v>0</v>
      </c>
      <c r="S617" s="128"/>
      <c r="T617" s="128"/>
      <c r="U617" s="128"/>
      <c r="V617" s="128"/>
      <c r="W617" s="128"/>
      <c r="X617" s="128"/>
      <c r="Y617" s="128"/>
      <c r="Z617" s="128"/>
      <c r="AA617" s="128">
        <f t="shared" si="792"/>
        <v>0</v>
      </c>
      <c r="AB617" s="128">
        <f t="shared" si="830"/>
        <v>0</v>
      </c>
      <c r="AC617" s="175" t="e">
        <f t="shared" si="822"/>
        <v>#DIV/0!</v>
      </c>
    </row>
    <row r="618" spans="1:29" ht="14.25" hidden="1" x14ac:dyDescent="0.2">
      <c r="B618" s="76" t="s">
        <v>909</v>
      </c>
      <c r="C618" s="77" t="s">
        <v>910</v>
      </c>
      <c r="D618" s="334"/>
      <c r="E618" s="188">
        <f>SUM('ADICIONES  2021'!C618:I618)</f>
        <v>0</v>
      </c>
      <c r="F618" s="128"/>
      <c r="G618" s="128"/>
      <c r="H618" s="128"/>
      <c r="I618" s="128"/>
      <c r="J618" s="128"/>
      <c r="K618" s="128">
        <f t="shared" si="829"/>
        <v>0</v>
      </c>
      <c r="L618" s="128"/>
      <c r="M618" s="128"/>
      <c r="N618" s="128"/>
      <c r="O618" s="128"/>
      <c r="P618" s="128"/>
      <c r="Q618" s="413">
        <v>0</v>
      </c>
      <c r="R618" s="128">
        <f t="shared" si="649"/>
        <v>0</v>
      </c>
      <c r="S618" s="128"/>
      <c r="T618" s="128"/>
      <c r="U618" s="128"/>
      <c r="V618" s="128"/>
      <c r="W618" s="128"/>
      <c r="X618" s="128"/>
      <c r="Y618" s="128"/>
      <c r="Z618" s="128"/>
      <c r="AA618" s="128">
        <f t="shared" si="792"/>
        <v>0</v>
      </c>
      <c r="AB618" s="128">
        <f t="shared" si="830"/>
        <v>0</v>
      </c>
      <c r="AC618" s="175" t="e">
        <f t="shared" si="822"/>
        <v>#DIV/0!</v>
      </c>
    </row>
    <row r="619" spans="1:29" ht="14.25" hidden="1" x14ac:dyDescent="0.2">
      <c r="B619" s="76" t="s">
        <v>911</v>
      </c>
      <c r="C619" s="77" t="s">
        <v>912</v>
      </c>
      <c r="D619" s="334"/>
      <c r="E619" s="188">
        <f>SUM('ADICIONES  2021'!C619:I619)</f>
        <v>0</v>
      </c>
      <c r="F619" s="128"/>
      <c r="G619" s="128"/>
      <c r="H619" s="128"/>
      <c r="I619" s="128"/>
      <c r="J619" s="128"/>
      <c r="K619" s="128">
        <f t="shared" si="829"/>
        <v>0</v>
      </c>
      <c r="L619" s="128"/>
      <c r="M619" s="128"/>
      <c r="N619" s="128"/>
      <c r="O619" s="128"/>
      <c r="P619" s="128"/>
      <c r="Q619" s="413">
        <v>0</v>
      </c>
      <c r="R619" s="128">
        <f t="shared" si="649"/>
        <v>0</v>
      </c>
      <c r="S619" s="128"/>
      <c r="T619" s="128"/>
      <c r="U619" s="128"/>
      <c r="V619" s="128"/>
      <c r="W619" s="128"/>
      <c r="X619" s="128"/>
      <c r="Y619" s="128"/>
      <c r="Z619" s="128"/>
      <c r="AA619" s="128">
        <f t="shared" si="792"/>
        <v>0</v>
      </c>
      <c r="AB619" s="128">
        <f t="shared" si="830"/>
        <v>0</v>
      </c>
      <c r="AC619" s="175" t="e">
        <f t="shared" si="822"/>
        <v>#DIV/0!</v>
      </c>
    </row>
    <row r="620" spans="1:29" ht="14.25" x14ac:dyDescent="0.2">
      <c r="B620" s="76" t="s">
        <v>911</v>
      </c>
      <c r="C620" s="77" t="s">
        <v>912</v>
      </c>
      <c r="D620" s="334"/>
      <c r="E620" s="188">
        <f>SUM('ADICIONES  2021'!C620:I620)</f>
        <v>409565306.75</v>
      </c>
      <c r="F620" s="128"/>
      <c r="G620" s="128"/>
      <c r="H620" s="128"/>
      <c r="I620" s="128"/>
      <c r="J620" s="128"/>
      <c r="K620" s="128">
        <f t="shared" si="829"/>
        <v>409565306.75</v>
      </c>
      <c r="L620" s="128"/>
      <c r="M620" s="128"/>
      <c r="N620" s="128"/>
      <c r="O620" s="128"/>
      <c r="P620" s="128"/>
      <c r="Q620" s="413">
        <v>0</v>
      </c>
      <c r="R620" s="128">
        <f t="shared" si="649"/>
        <v>0</v>
      </c>
      <c r="S620" s="128"/>
      <c r="T620" s="128"/>
      <c r="U620" s="128"/>
      <c r="V620" s="128"/>
      <c r="W620" s="128"/>
      <c r="X620" s="128"/>
      <c r="Y620" s="128"/>
      <c r="Z620" s="128"/>
      <c r="AA620" s="128">
        <f t="shared" si="792"/>
        <v>0</v>
      </c>
      <c r="AB620" s="128">
        <f t="shared" si="830"/>
        <v>0</v>
      </c>
      <c r="AC620" s="175">
        <f t="shared" si="822"/>
        <v>0</v>
      </c>
    </row>
    <row r="621" spans="1:29" ht="14.25" hidden="1" x14ac:dyDescent="0.2">
      <c r="B621" s="76" t="s">
        <v>913</v>
      </c>
      <c r="C621" s="77" t="s">
        <v>914</v>
      </c>
      <c r="D621" s="334"/>
      <c r="E621" s="188">
        <f>SUM('ADICIONES  2021'!C621:I621)</f>
        <v>0</v>
      </c>
      <c r="F621" s="128"/>
      <c r="G621" s="128"/>
      <c r="H621" s="128"/>
      <c r="I621" s="128"/>
      <c r="J621" s="128"/>
      <c r="K621" s="128">
        <f t="shared" si="829"/>
        <v>0</v>
      </c>
      <c r="L621" s="128"/>
      <c r="M621" s="128"/>
      <c r="N621" s="128"/>
      <c r="O621" s="128"/>
      <c r="P621" s="128"/>
      <c r="Q621" s="413">
        <v>0</v>
      </c>
      <c r="R621" s="128">
        <f t="shared" si="649"/>
        <v>0</v>
      </c>
      <c r="S621" s="128"/>
      <c r="T621" s="128"/>
      <c r="U621" s="128"/>
      <c r="V621" s="128"/>
      <c r="W621" s="128"/>
      <c r="X621" s="128"/>
      <c r="Y621" s="128"/>
      <c r="Z621" s="128"/>
      <c r="AA621" s="128">
        <f t="shared" si="792"/>
        <v>0</v>
      </c>
      <c r="AB621" s="128">
        <f t="shared" si="830"/>
        <v>0</v>
      </c>
      <c r="AC621" s="175" t="e">
        <f t="shared" si="822"/>
        <v>#DIV/0!</v>
      </c>
    </row>
    <row r="622" spans="1:29" ht="14.25" x14ac:dyDescent="0.2">
      <c r="B622" s="76" t="s">
        <v>915</v>
      </c>
      <c r="C622" s="77" t="s">
        <v>916</v>
      </c>
      <c r="D622" s="334"/>
      <c r="E622" s="188">
        <f>SUM('ADICIONES  2021'!C622:I622)</f>
        <v>0</v>
      </c>
      <c r="F622" s="128"/>
      <c r="G622" s="128"/>
      <c r="H622" s="128"/>
      <c r="I622" s="128"/>
      <c r="J622" s="128"/>
      <c r="K622" s="128">
        <f t="shared" si="829"/>
        <v>0</v>
      </c>
      <c r="L622" s="128"/>
      <c r="M622" s="128"/>
      <c r="N622" s="128"/>
      <c r="O622" s="128"/>
      <c r="P622" s="128">
        <v>2049869.87</v>
      </c>
      <c r="Q622" s="413">
        <v>2996293</v>
      </c>
      <c r="R622" s="128">
        <f t="shared" si="649"/>
        <v>5046162.87</v>
      </c>
      <c r="S622" s="128"/>
      <c r="T622" s="128"/>
      <c r="U622" s="128"/>
      <c r="V622" s="128"/>
      <c r="W622" s="128"/>
      <c r="X622" s="128"/>
      <c r="Y622" s="128"/>
      <c r="Z622" s="128"/>
      <c r="AA622" s="128">
        <f t="shared" si="792"/>
        <v>0</v>
      </c>
      <c r="AB622" s="128">
        <f t="shared" si="830"/>
        <v>5046162.87</v>
      </c>
      <c r="AC622" s="175">
        <v>0</v>
      </c>
    </row>
    <row r="623" spans="1:29" ht="28.5" x14ac:dyDescent="0.2">
      <c r="B623" s="76" t="s">
        <v>917</v>
      </c>
      <c r="C623" s="77" t="s">
        <v>308</v>
      </c>
      <c r="D623" s="334"/>
      <c r="E623" s="188">
        <f>SUM('ADICIONES  2021'!C623:I623)</f>
        <v>0</v>
      </c>
      <c r="F623" s="41"/>
      <c r="G623" s="41"/>
      <c r="H623" s="41"/>
      <c r="I623" s="41"/>
      <c r="J623" s="41"/>
      <c r="K623" s="128">
        <f t="shared" si="829"/>
        <v>0</v>
      </c>
      <c r="L623" s="41"/>
      <c r="M623" s="41"/>
      <c r="N623" s="41">
        <v>3756634</v>
      </c>
      <c r="O623" s="41">
        <v>475284</v>
      </c>
      <c r="P623" s="41"/>
      <c r="Q623" s="409"/>
      <c r="R623" s="128">
        <f t="shared" si="649"/>
        <v>4231918</v>
      </c>
      <c r="S623" s="41">
        <v>3323474</v>
      </c>
      <c r="T623" s="41"/>
      <c r="U623" s="41"/>
      <c r="V623" s="41"/>
      <c r="W623" s="41"/>
      <c r="X623" s="41"/>
      <c r="Y623" s="41"/>
      <c r="Z623" s="41"/>
      <c r="AA623" s="128">
        <f t="shared" si="792"/>
        <v>3323474</v>
      </c>
      <c r="AB623" s="128">
        <f t="shared" si="830"/>
        <v>7555392</v>
      </c>
      <c r="AC623" s="175">
        <v>0</v>
      </c>
    </row>
    <row r="624" spans="1:29" ht="28.5" x14ac:dyDescent="0.2">
      <c r="B624" s="76" t="s">
        <v>918</v>
      </c>
      <c r="C624" s="77" t="s">
        <v>309</v>
      </c>
      <c r="D624" s="334"/>
      <c r="E624" s="188">
        <f>SUM('ADICIONES  2021'!C624:I624)</f>
        <v>0</v>
      </c>
      <c r="F624" s="41"/>
      <c r="G624" s="41"/>
      <c r="H624" s="41"/>
      <c r="I624" s="41"/>
      <c r="J624" s="41"/>
      <c r="K624" s="128">
        <f t="shared" si="829"/>
        <v>0</v>
      </c>
      <c r="L624" s="41"/>
      <c r="M624" s="41"/>
      <c r="N624" s="41"/>
      <c r="O624" s="41"/>
      <c r="P624" s="41">
        <v>343642.5</v>
      </c>
      <c r="Q624" s="409"/>
      <c r="R624" s="128">
        <f t="shared" si="649"/>
        <v>343642.5</v>
      </c>
      <c r="S624" s="41"/>
      <c r="T624" s="41"/>
      <c r="U624" s="41"/>
      <c r="V624" s="41"/>
      <c r="W624" s="41"/>
      <c r="X624" s="41"/>
      <c r="Y624" s="41"/>
      <c r="Z624" s="41"/>
      <c r="AA624" s="128">
        <f t="shared" si="792"/>
        <v>0</v>
      </c>
      <c r="AB624" s="128">
        <f t="shared" si="830"/>
        <v>343642.5</v>
      </c>
      <c r="AC624" s="175">
        <v>0</v>
      </c>
    </row>
    <row r="625" spans="2:29" ht="28.5" hidden="1" x14ac:dyDescent="0.2">
      <c r="B625" s="76" t="s">
        <v>919</v>
      </c>
      <c r="C625" s="77" t="s">
        <v>310</v>
      </c>
      <c r="D625" s="334"/>
      <c r="E625" s="188">
        <f>SUM('ADICIONES  2021'!C625:I625)</f>
        <v>0</v>
      </c>
      <c r="F625" s="41"/>
      <c r="G625" s="41"/>
      <c r="H625" s="41"/>
      <c r="I625" s="41"/>
      <c r="J625" s="41"/>
      <c r="K625" s="128">
        <f t="shared" si="829"/>
        <v>0</v>
      </c>
      <c r="L625" s="41"/>
      <c r="M625" s="41"/>
      <c r="N625" s="41"/>
      <c r="O625" s="41"/>
      <c r="P625" s="41"/>
      <c r="Q625" s="409"/>
      <c r="R625" s="128">
        <f t="shared" si="649"/>
        <v>0</v>
      </c>
      <c r="S625" s="41"/>
      <c r="T625" s="41"/>
      <c r="U625" s="41"/>
      <c r="V625" s="41"/>
      <c r="W625" s="41"/>
      <c r="X625" s="41"/>
      <c r="Y625" s="41"/>
      <c r="Z625" s="41"/>
      <c r="AA625" s="128">
        <f t="shared" si="792"/>
        <v>0</v>
      </c>
      <c r="AB625" s="128">
        <f t="shared" si="830"/>
        <v>0</v>
      </c>
      <c r="AC625" s="175" t="e">
        <f t="shared" si="822"/>
        <v>#DIV/0!</v>
      </c>
    </row>
    <row r="626" spans="2:29" ht="14.25" hidden="1" x14ac:dyDescent="0.2">
      <c r="B626" s="76" t="s">
        <v>920</v>
      </c>
      <c r="C626" s="77" t="s">
        <v>311</v>
      </c>
      <c r="D626" s="334"/>
      <c r="E626" s="188">
        <f>SUM('ADICIONES  2021'!C626:I626)</f>
        <v>0</v>
      </c>
      <c r="F626" s="41"/>
      <c r="G626" s="41"/>
      <c r="H626" s="41"/>
      <c r="I626" s="41"/>
      <c r="J626" s="41"/>
      <c r="K626" s="128">
        <f t="shared" si="829"/>
        <v>0</v>
      </c>
      <c r="L626" s="41"/>
      <c r="M626" s="41"/>
      <c r="N626" s="41"/>
      <c r="O626" s="41"/>
      <c r="P626" s="41"/>
      <c r="Q626" s="409"/>
      <c r="R626" s="128">
        <f t="shared" si="649"/>
        <v>0</v>
      </c>
      <c r="S626" s="41"/>
      <c r="T626" s="41"/>
      <c r="U626" s="41"/>
      <c r="V626" s="41"/>
      <c r="W626" s="41"/>
      <c r="X626" s="41"/>
      <c r="Y626" s="41"/>
      <c r="Z626" s="41"/>
      <c r="AA626" s="128">
        <f t="shared" si="792"/>
        <v>0</v>
      </c>
      <c r="AB626" s="128">
        <f t="shared" si="830"/>
        <v>0</v>
      </c>
      <c r="AC626" s="175" t="e">
        <f t="shared" si="822"/>
        <v>#DIV/0!</v>
      </c>
    </row>
    <row r="627" spans="2:29" ht="42.75" x14ac:dyDescent="0.2">
      <c r="B627" s="76" t="s">
        <v>921</v>
      </c>
      <c r="C627" s="77" t="s">
        <v>312</v>
      </c>
      <c r="D627" s="334"/>
      <c r="E627" s="188">
        <f>SUM('ADICIONES  2021'!C627:I627)</f>
        <v>0</v>
      </c>
      <c r="F627" s="41"/>
      <c r="G627" s="41"/>
      <c r="H627" s="41"/>
      <c r="I627" s="41"/>
      <c r="J627" s="41"/>
      <c r="K627" s="128">
        <f t="shared" si="829"/>
        <v>0</v>
      </c>
      <c r="L627" s="41"/>
      <c r="M627" s="41"/>
      <c r="N627" s="41"/>
      <c r="O627" s="41"/>
      <c r="P627" s="41"/>
      <c r="Q627" s="409">
        <v>48830.77</v>
      </c>
      <c r="R627" s="128">
        <f t="shared" si="649"/>
        <v>48830.77</v>
      </c>
      <c r="S627" s="41">
        <v>106193.29</v>
      </c>
      <c r="T627" s="41"/>
      <c r="U627" s="41"/>
      <c r="V627" s="41"/>
      <c r="W627" s="41"/>
      <c r="X627" s="41"/>
      <c r="Y627" s="41"/>
      <c r="Z627" s="41"/>
      <c r="AA627" s="128">
        <f t="shared" si="792"/>
        <v>106193.29</v>
      </c>
      <c r="AB627" s="128">
        <f t="shared" si="830"/>
        <v>155024.06</v>
      </c>
      <c r="AC627" s="175">
        <v>0</v>
      </c>
    </row>
    <row r="628" spans="2:29" ht="42.75" x14ac:dyDescent="0.2">
      <c r="B628" s="76" t="s">
        <v>922</v>
      </c>
      <c r="C628" s="77" t="s">
        <v>313</v>
      </c>
      <c r="D628" s="334"/>
      <c r="E628" s="188">
        <f>SUM('ADICIONES  2021'!C628:I628)</f>
        <v>0</v>
      </c>
      <c r="F628" s="41"/>
      <c r="G628" s="41"/>
      <c r="H628" s="41"/>
      <c r="I628" s="41"/>
      <c r="J628" s="41"/>
      <c r="K628" s="128">
        <f t="shared" si="829"/>
        <v>0</v>
      </c>
      <c r="L628" s="41"/>
      <c r="M628" s="41"/>
      <c r="N628" s="41"/>
      <c r="O628" s="41">
        <v>164431.26999999999</v>
      </c>
      <c r="P628" s="41"/>
      <c r="Q628" s="409">
        <v>71416.66</v>
      </c>
      <c r="R628" s="128">
        <f t="shared" si="649"/>
        <v>235847.93</v>
      </c>
      <c r="S628" s="41"/>
      <c r="T628" s="41"/>
      <c r="U628" s="41"/>
      <c r="V628" s="41"/>
      <c r="W628" s="41"/>
      <c r="X628" s="41"/>
      <c r="Y628" s="41"/>
      <c r="Z628" s="41"/>
      <c r="AA628" s="128">
        <f t="shared" si="792"/>
        <v>0</v>
      </c>
      <c r="AB628" s="128">
        <f t="shared" si="830"/>
        <v>235847.93</v>
      </c>
      <c r="AC628" s="175">
        <v>0</v>
      </c>
    </row>
    <row r="629" spans="2:29" ht="42.75" x14ac:dyDescent="0.2">
      <c r="B629" s="76" t="s">
        <v>923</v>
      </c>
      <c r="C629" s="77" t="s">
        <v>314</v>
      </c>
      <c r="D629" s="334"/>
      <c r="E629" s="188">
        <f>SUM('ADICIONES  2021'!C629:I629)</f>
        <v>0</v>
      </c>
      <c r="F629" s="41"/>
      <c r="G629" s="41"/>
      <c r="H629" s="41"/>
      <c r="I629" s="41"/>
      <c r="J629" s="41"/>
      <c r="K629" s="128">
        <f t="shared" si="829"/>
        <v>0</v>
      </c>
      <c r="L629" s="41"/>
      <c r="M629" s="41"/>
      <c r="N629" s="41"/>
      <c r="O629" s="41"/>
      <c r="P629" s="41">
        <v>87341978.129999995</v>
      </c>
      <c r="Q629" s="409"/>
      <c r="R629" s="128">
        <f t="shared" si="649"/>
        <v>87341978.129999995</v>
      </c>
      <c r="S629" s="41"/>
      <c r="T629" s="41"/>
      <c r="U629" s="41"/>
      <c r="V629" s="41"/>
      <c r="W629" s="41"/>
      <c r="X629" s="41"/>
      <c r="Y629" s="41"/>
      <c r="Z629" s="41"/>
      <c r="AA629" s="128">
        <f t="shared" si="792"/>
        <v>0</v>
      </c>
      <c r="AB629" s="128">
        <f t="shared" si="830"/>
        <v>87341978.129999995</v>
      </c>
      <c r="AC629" s="175">
        <v>0</v>
      </c>
    </row>
    <row r="630" spans="2:29" ht="42.75" hidden="1" x14ac:dyDescent="0.2">
      <c r="B630" s="76" t="s">
        <v>924</v>
      </c>
      <c r="C630" s="77" t="s">
        <v>315</v>
      </c>
      <c r="D630" s="334"/>
      <c r="E630" s="188">
        <f>SUM('ADICIONES  2021'!C630:I630)</f>
        <v>0</v>
      </c>
      <c r="F630" s="128"/>
      <c r="G630" s="128"/>
      <c r="H630" s="128"/>
      <c r="I630" s="128"/>
      <c r="J630" s="128"/>
      <c r="K630" s="128">
        <f t="shared" si="829"/>
        <v>0</v>
      </c>
      <c r="L630" s="128"/>
      <c r="M630" s="128"/>
      <c r="N630" s="128"/>
      <c r="O630" s="128"/>
      <c r="P630" s="128"/>
      <c r="Q630" s="413"/>
      <c r="R630" s="128">
        <f t="shared" si="649"/>
        <v>0</v>
      </c>
      <c r="S630" s="128"/>
      <c r="T630" s="128"/>
      <c r="U630" s="128"/>
      <c r="V630" s="128"/>
      <c r="W630" s="128"/>
      <c r="X630" s="128"/>
      <c r="Y630" s="128"/>
      <c r="Z630" s="128"/>
      <c r="AA630" s="128">
        <f t="shared" si="792"/>
        <v>0</v>
      </c>
      <c r="AB630" s="128">
        <f t="shared" si="830"/>
        <v>0</v>
      </c>
      <c r="AC630" s="175" t="e">
        <f t="shared" si="822"/>
        <v>#DIV/0!</v>
      </c>
    </row>
    <row r="631" spans="2:29" ht="57" hidden="1" x14ac:dyDescent="0.2">
      <c r="B631" s="76" t="s">
        <v>925</v>
      </c>
      <c r="C631" s="77" t="s">
        <v>316</v>
      </c>
      <c r="D631" s="334"/>
      <c r="E631" s="188">
        <f>SUM('ADICIONES  2021'!C631:I631)</f>
        <v>0</v>
      </c>
      <c r="F631" s="128"/>
      <c r="G631" s="128"/>
      <c r="H631" s="128"/>
      <c r="I631" s="128"/>
      <c r="J631" s="128"/>
      <c r="K631" s="128">
        <f t="shared" si="829"/>
        <v>0</v>
      </c>
      <c r="L631" s="128"/>
      <c r="M631" s="128"/>
      <c r="N631" s="128"/>
      <c r="O631" s="128"/>
      <c r="P631" s="128"/>
      <c r="Q631" s="413"/>
      <c r="R631" s="128">
        <f t="shared" ref="R631:R697" si="831">SUM(L631:Q631)</f>
        <v>0</v>
      </c>
      <c r="S631" s="128"/>
      <c r="T631" s="128"/>
      <c r="U631" s="128"/>
      <c r="V631" s="128"/>
      <c r="W631" s="128"/>
      <c r="X631" s="128"/>
      <c r="Y631" s="128"/>
      <c r="Z631" s="128"/>
      <c r="AA631" s="128">
        <f t="shared" si="792"/>
        <v>0</v>
      </c>
      <c r="AB631" s="128">
        <f t="shared" si="830"/>
        <v>0</v>
      </c>
      <c r="AC631" s="175" t="e">
        <f t="shared" si="822"/>
        <v>#DIV/0!</v>
      </c>
    </row>
    <row r="632" spans="2:29" ht="42.75" hidden="1" x14ac:dyDescent="0.2">
      <c r="B632" s="76" t="s">
        <v>926</v>
      </c>
      <c r="C632" s="77" t="s">
        <v>317</v>
      </c>
      <c r="D632" s="334"/>
      <c r="E632" s="188">
        <f>SUM('ADICIONES  2021'!C632:I632)</f>
        <v>0</v>
      </c>
      <c r="F632" s="128"/>
      <c r="G632" s="128"/>
      <c r="H632" s="128"/>
      <c r="I632" s="128"/>
      <c r="J632" s="128"/>
      <c r="K632" s="128">
        <f t="shared" si="829"/>
        <v>0</v>
      </c>
      <c r="L632" s="128"/>
      <c r="M632" s="128"/>
      <c r="N632" s="128"/>
      <c r="O632" s="128"/>
      <c r="P632" s="128"/>
      <c r="Q632" s="413"/>
      <c r="R632" s="128">
        <f t="shared" si="831"/>
        <v>0</v>
      </c>
      <c r="S632" s="128"/>
      <c r="T632" s="128"/>
      <c r="U632" s="128"/>
      <c r="V632" s="128"/>
      <c r="W632" s="128"/>
      <c r="X632" s="128"/>
      <c r="Y632" s="128"/>
      <c r="Z632" s="128"/>
      <c r="AA632" s="128">
        <f t="shared" si="792"/>
        <v>0</v>
      </c>
      <c r="AB632" s="128">
        <f t="shared" si="830"/>
        <v>0</v>
      </c>
      <c r="AC632" s="175" t="e">
        <f t="shared" si="822"/>
        <v>#DIV/0!</v>
      </c>
    </row>
    <row r="633" spans="2:29" ht="14.25" x14ac:dyDescent="0.2">
      <c r="B633" s="76" t="s">
        <v>927</v>
      </c>
      <c r="C633" s="77" t="s">
        <v>318</v>
      </c>
      <c r="D633" s="334"/>
      <c r="E633" s="188">
        <f>SUM('ADICIONES  2021'!C633:I633)</f>
        <v>0</v>
      </c>
      <c r="F633" s="128"/>
      <c r="G633" s="128"/>
      <c r="H633" s="128"/>
      <c r="I633" s="128"/>
      <c r="J633" s="128"/>
      <c r="K633" s="128">
        <f t="shared" si="829"/>
        <v>0</v>
      </c>
      <c r="L633" s="128"/>
      <c r="M633" s="128"/>
      <c r="N633" s="128"/>
      <c r="O633" s="128"/>
      <c r="P633" s="128">
        <v>64115</v>
      </c>
      <c r="Q633" s="413"/>
      <c r="R633" s="128">
        <f t="shared" si="831"/>
        <v>64115</v>
      </c>
      <c r="S633" s="128"/>
      <c r="T633" s="128"/>
      <c r="U633" s="128"/>
      <c r="V633" s="128"/>
      <c r="W633" s="128"/>
      <c r="X633" s="128"/>
      <c r="Y633" s="128"/>
      <c r="Z633" s="128"/>
      <c r="AA633" s="128">
        <f t="shared" si="792"/>
        <v>0</v>
      </c>
      <c r="AB633" s="128">
        <f t="shared" si="830"/>
        <v>64115</v>
      </c>
      <c r="AC633" s="175">
        <v>0</v>
      </c>
    </row>
    <row r="634" spans="2:29" ht="14.25" x14ac:dyDescent="0.2">
      <c r="B634" s="76" t="s">
        <v>928</v>
      </c>
      <c r="C634" s="77" t="s">
        <v>319</v>
      </c>
      <c r="D634" s="334"/>
      <c r="E634" s="188">
        <f>SUM('ADICIONES  2021'!C634:I634)</f>
        <v>0</v>
      </c>
      <c r="F634" s="41"/>
      <c r="G634" s="41"/>
      <c r="H634" s="41"/>
      <c r="I634" s="41"/>
      <c r="J634" s="41"/>
      <c r="K634" s="128">
        <f t="shared" si="829"/>
        <v>0</v>
      </c>
      <c r="L634" s="41"/>
      <c r="M634" s="41"/>
      <c r="N634" s="41"/>
      <c r="O634" s="41"/>
      <c r="P634" s="41">
        <v>745811</v>
      </c>
      <c r="Q634" s="409"/>
      <c r="R634" s="128">
        <f t="shared" si="831"/>
        <v>745811</v>
      </c>
      <c r="S634" s="41"/>
      <c r="T634" s="41"/>
      <c r="U634" s="41"/>
      <c r="V634" s="41"/>
      <c r="W634" s="41"/>
      <c r="X634" s="41"/>
      <c r="Y634" s="41"/>
      <c r="Z634" s="41"/>
      <c r="AA634" s="128">
        <f t="shared" si="792"/>
        <v>0</v>
      </c>
      <c r="AB634" s="128">
        <f t="shared" si="830"/>
        <v>745811</v>
      </c>
      <c r="AC634" s="175">
        <v>0</v>
      </c>
    </row>
    <row r="635" spans="2:29" ht="28.5" hidden="1" x14ac:dyDescent="0.2">
      <c r="B635" s="76" t="s">
        <v>929</v>
      </c>
      <c r="C635" s="77" t="s">
        <v>320</v>
      </c>
      <c r="D635" s="334"/>
      <c r="E635" s="188">
        <f>SUM('ADICIONES  2021'!C635:I635)</f>
        <v>0</v>
      </c>
      <c r="F635" s="41"/>
      <c r="G635" s="41"/>
      <c r="H635" s="41"/>
      <c r="I635" s="41"/>
      <c r="J635" s="41"/>
      <c r="K635" s="128">
        <f t="shared" si="829"/>
        <v>0</v>
      </c>
      <c r="L635" s="41"/>
      <c r="M635" s="41"/>
      <c r="N635" s="41"/>
      <c r="O635" s="41"/>
      <c r="P635" s="41"/>
      <c r="Q635" s="409"/>
      <c r="R635" s="128">
        <f t="shared" si="831"/>
        <v>0</v>
      </c>
      <c r="S635" s="41"/>
      <c r="T635" s="41"/>
      <c r="U635" s="41"/>
      <c r="V635" s="41"/>
      <c r="W635" s="41"/>
      <c r="X635" s="41"/>
      <c r="Y635" s="41"/>
      <c r="Z635" s="41"/>
      <c r="AA635" s="128">
        <f t="shared" si="792"/>
        <v>0</v>
      </c>
      <c r="AB635" s="128">
        <f t="shared" si="830"/>
        <v>0</v>
      </c>
      <c r="AC635" s="175" t="e">
        <f t="shared" si="822"/>
        <v>#DIV/0!</v>
      </c>
    </row>
    <row r="636" spans="2:29" ht="28.5" x14ac:dyDescent="0.2">
      <c r="B636" s="76" t="s">
        <v>930</v>
      </c>
      <c r="C636" s="77" t="s">
        <v>321</v>
      </c>
      <c r="D636" s="334"/>
      <c r="E636" s="188">
        <f>SUM('ADICIONES  2021'!C636:I636)</f>
        <v>0</v>
      </c>
      <c r="F636" s="128"/>
      <c r="G636" s="128"/>
      <c r="H636" s="128"/>
      <c r="I636" s="128"/>
      <c r="J636" s="128"/>
      <c r="K636" s="128">
        <f t="shared" si="829"/>
        <v>0</v>
      </c>
      <c r="L636" s="128"/>
      <c r="M636" s="128"/>
      <c r="N636" s="128">
        <v>7955946.2999999998</v>
      </c>
      <c r="O636" s="128"/>
      <c r="P636" s="128"/>
      <c r="Q636" s="413"/>
      <c r="R636" s="128">
        <f t="shared" si="831"/>
        <v>7955946.2999999998</v>
      </c>
      <c r="S636" s="128"/>
      <c r="T636" s="128"/>
      <c r="U636" s="128"/>
      <c r="V636" s="128"/>
      <c r="W636" s="128"/>
      <c r="X636" s="128"/>
      <c r="Y636" s="128"/>
      <c r="Z636" s="128"/>
      <c r="AA636" s="128">
        <f t="shared" ref="AA636:AA648" si="832">SUM(S636:Z636)</f>
        <v>0</v>
      </c>
      <c r="AB636" s="128">
        <f t="shared" si="830"/>
        <v>7955946.2999999998</v>
      </c>
      <c r="AC636" s="175">
        <v>0</v>
      </c>
    </row>
    <row r="637" spans="2:29" ht="14.25" hidden="1" x14ac:dyDescent="0.2">
      <c r="B637" s="76" t="s">
        <v>931</v>
      </c>
      <c r="C637" s="77" t="s">
        <v>322</v>
      </c>
      <c r="D637" s="334"/>
      <c r="E637" s="188">
        <f>SUM('ADICIONES  2021'!C637:I637)</f>
        <v>0</v>
      </c>
      <c r="F637" s="128"/>
      <c r="G637" s="128"/>
      <c r="H637" s="128"/>
      <c r="I637" s="128"/>
      <c r="J637" s="128"/>
      <c r="K637" s="128">
        <f t="shared" si="829"/>
        <v>0</v>
      </c>
      <c r="L637" s="128"/>
      <c r="M637" s="128"/>
      <c r="N637" s="128"/>
      <c r="O637" s="128"/>
      <c r="P637" s="128"/>
      <c r="Q637" s="413"/>
      <c r="R637" s="128">
        <f t="shared" si="831"/>
        <v>0</v>
      </c>
      <c r="S637" s="128"/>
      <c r="T637" s="128"/>
      <c r="U637" s="128"/>
      <c r="V637" s="128"/>
      <c r="W637" s="128"/>
      <c r="X637" s="128"/>
      <c r="Y637" s="128"/>
      <c r="Z637" s="128"/>
      <c r="AA637" s="128">
        <f t="shared" si="832"/>
        <v>0</v>
      </c>
      <c r="AB637" s="128">
        <f t="shared" si="830"/>
        <v>0</v>
      </c>
      <c r="AC637" s="175" t="e">
        <f t="shared" si="822"/>
        <v>#DIV/0!</v>
      </c>
    </row>
    <row r="638" spans="2:29" ht="14.25" x14ac:dyDescent="0.2">
      <c r="B638" s="76" t="s">
        <v>932</v>
      </c>
      <c r="C638" s="77" t="s">
        <v>323</v>
      </c>
      <c r="D638" s="334"/>
      <c r="E638" s="188">
        <f>SUM('ADICIONES  2021'!C638:I638)</f>
        <v>0</v>
      </c>
      <c r="F638" s="128"/>
      <c r="G638" s="128"/>
      <c r="H638" s="128"/>
      <c r="I638" s="128"/>
      <c r="J638" s="128"/>
      <c r="K638" s="128">
        <f t="shared" si="829"/>
        <v>0</v>
      </c>
      <c r="L638" s="128"/>
      <c r="M638" s="128"/>
      <c r="N638" s="128">
        <v>10126785.23</v>
      </c>
      <c r="O638" s="385">
        <v>299373.71000000002</v>
      </c>
      <c r="P638" s="128">
        <v>2310860.37</v>
      </c>
      <c r="Q638" s="413">
        <v>1452575.58</v>
      </c>
      <c r="R638" s="128">
        <f t="shared" si="831"/>
        <v>14189594.890000002</v>
      </c>
      <c r="S638" s="128">
        <v>2591167.67</v>
      </c>
      <c r="T638" s="128"/>
      <c r="U638" s="128"/>
      <c r="V638" s="128"/>
      <c r="W638" s="128"/>
      <c r="X638" s="128"/>
      <c r="Y638" s="128"/>
      <c r="Z638" s="128"/>
      <c r="AA638" s="128">
        <f t="shared" si="832"/>
        <v>2591167.67</v>
      </c>
      <c r="AB638" s="128">
        <f t="shared" si="830"/>
        <v>16780762.560000002</v>
      </c>
      <c r="AC638" s="175">
        <v>0</v>
      </c>
    </row>
    <row r="639" spans="2:29" ht="28.5" hidden="1" x14ac:dyDescent="0.2">
      <c r="B639" s="76" t="s">
        <v>933</v>
      </c>
      <c r="C639" s="77" t="s">
        <v>324</v>
      </c>
      <c r="D639" s="334"/>
      <c r="E639" s="188">
        <f>SUM('ADICIONES  2021'!C639:I639)</f>
        <v>0</v>
      </c>
      <c r="F639" s="128"/>
      <c r="G639" s="128"/>
      <c r="H639" s="128"/>
      <c r="I639" s="128"/>
      <c r="J639" s="128"/>
      <c r="K639" s="128">
        <f t="shared" si="829"/>
        <v>0</v>
      </c>
      <c r="L639" s="128"/>
      <c r="M639" s="128"/>
      <c r="N639" s="128"/>
      <c r="O639" s="128"/>
      <c r="P639" s="128"/>
      <c r="Q639" s="413">
        <v>0</v>
      </c>
      <c r="R639" s="128">
        <f t="shared" si="831"/>
        <v>0</v>
      </c>
      <c r="S639" s="128"/>
      <c r="T639" s="128"/>
      <c r="U639" s="128"/>
      <c r="V639" s="128"/>
      <c r="W639" s="128"/>
      <c r="X639" s="128"/>
      <c r="Y639" s="128"/>
      <c r="Z639" s="128"/>
      <c r="AA639" s="128">
        <f t="shared" si="832"/>
        <v>0</v>
      </c>
      <c r="AB639" s="128">
        <f t="shared" si="830"/>
        <v>0</v>
      </c>
      <c r="AC639" s="175" t="e">
        <f t="shared" si="822"/>
        <v>#DIV/0!</v>
      </c>
    </row>
    <row r="640" spans="2:29" ht="28.5" x14ac:dyDescent="0.2">
      <c r="B640" s="76" t="s">
        <v>934</v>
      </c>
      <c r="C640" s="77" t="s">
        <v>935</v>
      </c>
      <c r="D640" s="334"/>
      <c r="E640" s="188">
        <f>SUM('ADICIONES  2021'!C640:I640)</f>
        <v>0</v>
      </c>
      <c r="F640" s="128"/>
      <c r="G640" s="128"/>
      <c r="H640" s="128"/>
      <c r="I640" s="128"/>
      <c r="J640" s="128"/>
      <c r="K640" s="128">
        <f t="shared" si="829"/>
        <v>0</v>
      </c>
      <c r="L640" s="128"/>
      <c r="M640" s="128"/>
      <c r="N640" s="128">
        <v>23730.19</v>
      </c>
      <c r="O640" s="128">
        <v>8173.59</v>
      </c>
      <c r="P640" s="128">
        <v>249600.01</v>
      </c>
      <c r="Q640" s="413">
        <v>19916151.370000001</v>
      </c>
      <c r="R640" s="128">
        <f t="shared" si="831"/>
        <v>20197655.16</v>
      </c>
      <c r="S640" s="128">
        <v>7910.03</v>
      </c>
      <c r="T640" s="128"/>
      <c r="U640" s="128"/>
      <c r="V640" s="128"/>
      <c r="W640" s="128"/>
      <c r="X640" s="128"/>
      <c r="Y640" s="128"/>
      <c r="Z640" s="128"/>
      <c r="AA640" s="128">
        <f t="shared" si="832"/>
        <v>7910.03</v>
      </c>
      <c r="AB640" s="128">
        <f t="shared" si="830"/>
        <v>20205565.190000001</v>
      </c>
      <c r="AC640" s="175">
        <v>0</v>
      </c>
    </row>
    <row r="641" spans="1:29" ht="28.5" hidden="1" x14ac:dyDescent="0.2">
      <c r="B641" s="76" t="s">
        <v>936</v>
      </c>
      <c r="C641" s="77" t="s">
        <v>937</v>
      </c>
      <c r="D641" s="334"/>
      <c r="E641" s="188">
        <f>SUM('ADICIONES  2021'!C641:I641)</f>
        <v>0</v>
      </c>
      <c r="F641" s="41"/>
      <c r="G641" s="41"/>
      <c r="H641" s="41"/>
      <c r="I641" s="41"/>
      <c r="J641" s="41"/>
      <c r="K641" s="128">
        <f t="shared" si="829"/>
        <v>0</v>
      </c>
      <c r="L641" s="41"/>
      <c r="M641" s="41"/>
      <c r="N641" s="41"/>
      <c r="O641" s="41"/>
      <c r="P641" s="41"/>
      <c r="Q641" s="409"/>
      <c r="R641" s="128">
        <f t="shared" si="831"/>
        <v>0</v>
      </c>
      <c r="S641" s="41"/>
      <c r="T641" s="41"/>
      <c r="U641" s="41"/>
      <c r="V641" s="41"/>
      <c r="W641" s="41"/>
      <c r="X641" s="41"/>
      <c r="Y641" s="41"/>
      <c r="Z641" s="41"/>
      <c r="AA641" s="128">
        <f t="shared" si="832"/>
        <v>0</v>
      </c>
      <c r="AB641" s="128">
        <f t="shared" si="830"/>
        <v>0</v>
      </c>
      <c r="AC641" s="175" t="e">
        <f t="shared" si="822"/>
        <v>#DIV/0!</v>
      </c>
    </row>
    <row r="642" spans="1:29" ht="28.5" x14ac:dyDescent="0.2">
      <c r="B642" s="76" t="s">
        <v>938</v>
      </c>
      <c r="C642" s="77" t="s">
        <v>939</v>
      </c>
      <c r="D642" s="334"/>
      <c r="E642" s="188">
        <f>SUM('ADICIONES  2021'!C642:I642)</f>
        <v>0</v>
      </c>
      <c r="F642" s="41"/>
      <c r="G642" s="41"/>
      <c r="H642" s="41"/>
      <c r="I642" s="41"/>
      <c r="J642" s="41"/>
      <c r="K642" s="128">
        <f t="shared" si="829"/>
        <v>0</v>
      </c>
      <c r="L642" s="41"/>
      <c r="M642" s="41"/>
      <c r="N642" s="41"/>
      <c r="O642" s="41">
        <v>1204348.81</v>
      </c>
      <c r="P642" s="41"/>
      <c r="Q642" s="409"/>
      <c r="R642" s="128">
        <f t="shared" si="831"/>
        <v>1204348.81</v>
      </c>
      <c r="S642" s="41"/>
      <c r="T642" s="41"/>
      <c r="U642" s="41"/>
      <c r="V642" s="41"/>
      <c r="W642" s="41"/>
      <c r="X642" s="41"/>
      <c r="Y642" s="41"/>
      <c r="Z642" s="41"/>
      <c r="AA642" s="128">
        <f t="shared" si="832"/>
        <v>0</v>
      </c>
      <c r="AB642" s="128">
        <f t="shared" si="830"/>
        <v>1204348.81</v>
      </c>
      <c r="AC642" s="175">
        <v>0</v>
      </c>
    </row>
    <row r="643" spans="1:29" ht="28.5" x14ac:dyDescent="0.2">
      <c r="B643" s="76" t="s">
        <v>940</v>
      </c>
      <c r="C643" s="77" t="s">
        <v>941</v>
      </c>
      <c r="D643" s="334"/>
      <c r="E643" s="188">
        <f>SUM('ADICIONES  2021'!C643:I643)</f>
        <v>0</v>
      </c>
      <c r="F643" s="128"/>
      <c r="G643" s="128"/>
      <c r="H643" s="128"/>
      <c r="I643" s="128"/>
      <c r="J643" s="128"/>
      <c r="K643" s="128">
        <f t="shared" si="829"/>
        <v>0</v>
      </c>
      <c r="L643" s="128"/>
      <c r="M643" s="128"/>
      <c r="N643" s="128"/>
      <c r="O643" s="128"/>
      <c r="P643" s="128">
        <v>7290499.75</v>
      </c>
      <c r="Q643" s="413"/>
      <c r="R643" s="128">
        <f t="shared" si="831"/>
        <v>7290499.75</v>
      </c>
      <c r="S643" s="128"/>
      <c r="T643" s="128"/>
      <c r="U643" s="128"/>
      <c r="V643" s="128"/>
      <c r="W643" s="128"/>
      <c r="X643" s="128"/>
      <c r="Y643" s="128"/>
      <c r="Z643" s="128"/>
      <c r="AA643" s="128">
        <f t="shared" si="832"/>
        <v>0</v>
      </c>
      <c r="AB643" s="128">
        <f t="shared" si="830"/>
        <v>7290499.75</v>
      </c>
      <c r="AC643" s="175">
        <v>0</v>
      </c>
    </row>
    <row r="644" spans="1:29" ht="28.5" hidden="1" x14ac:dyDescent="0.2">
      <c r="B644" s="76" t="s">
        <v>942</v>
      </c>
      <c r="C644" s="77" t="s">
        <v>943</v>
      </c>
      <c r="D644" s="334"/>
      <c r="E644" s="188">
        <f>SUM('ADICIONES  2021'!C644:I644)</f>
        <v>0</v>
      </c>
      <c r="F644" s="128"/>
      <c r="G644" s="128"/>
      <c r="H644" s="128"/>
      <c r="I644" s="128"/>
      <c r="J644" s="128"/>
      <c r="K644" s="128">
        <f t="shared" si="829"/>
        <v>0</v>
      </c>
      <c r="L644" s="128"/>
      <c r="M644" s="128"/>
      <c r="N644" s="128"/>
      <c r="O644" s="128"/>
      <c r="P644" s="128"/>
      <c r="Q644" s="413"/>
      <c r="R644" s="128">
        <f t="shared" si="831"/>
        <v>0</v>
      </c>
      <c r="S644" s="128"/>
      <c r="T644" s="128"/>
      <c r="U644" s="128"/>
      <c r="V644" s="128"/>
      <c r="W644" s="128"/>
      <c r="X644" s="128"/>
      <c r="Y644" s="128"/>
      <c r="Z644" s="128"/>
      <c r="AA644" s="128">
        <f t="shared" si="832"/>
        <v>0</v>
      </c>
      <c r="AB644" s="128">
        <f t="shared" si="830"/>
        <v>0</v>
      </c>
      <c r="AC644" s="175" t="e">
        <f t="shared" si="822"/>
        <v>#DIV/0!</v>
      </c>
    </row>
    <row r="645" spans="1:29" ht="28.5" x14ac:dyDescent="0.2">
      <c r="B645" s="76" t="s">
        <v>944</v>
      </c>
      <c r="C645" s="77" t="s">
        <v>945</v>
      </c>
      <c r="D645" s="334"/>
      <c r="E645" s="188">
        <f>SUM('ADICIONES  2021'!C645:I645)</f>
        <v>0</v>
      </c>
      <c r="F645" s="41"/>
      <c r="G645" s="41"/>
      <c r="H645" s="41"/>
      <c r="I645" s="41"/>
      <c r="J645" s="41"/>
      <c r="K645" s="128">
        <f t="shared" si="829"/>
        <v>0</v>
      </c>
      <c r="L645" s="41"/>
      <c r="M645" s="41"/>
      <c r="N645" s="41"/>
      <c r="O645" s="41"/>
      <c r="P645" s="41">
        <v>27566.48</v>
      </c>
      <c r="Q645" s="409"/>
      <c r="R645" s="128">
        <f t="shared" si="831"/>
        <v>27566.48</v>
      </c>
      <c r="S645" s="41"/>
      <c r="T645" s="41"/>
      <c r="U645" s="41"/>
      <c r="V645" s="41"/>
      <c r="W645" s="41"/>
      <c r="X645" s="41"/>
      <c r="Y645" s="41"/>
      <c r="Z645" s="41"/>
      <c r="AA645" s="128">
        <f t="shared" si="832"/>
        <v>0</v>
      </c>
      <c r="AB645" s="128">
        <f t="shared" si="830"/>
        <v>27566.48</v>
      </c>
      <c r="AC645" s="175">
        <v>0</v>
      </c>
    </row>
    <row r="646" spans="1:29" ht="28.5" hidden="1" x14ac:dyDescent="0.2">
      <c r="B646" s="76" t="s">
        <v>946</v>
      </c>
      <c r="C646" s="77" t="s">
        <v>947</v>
      </c>
      <c r="D646" s="334"/>
      <c r="E646" s="188">
        <f>SUM('ADICIONES  2021'!C646:I646)</f>
        <v>0</v>
      </c>
      <c r="F646" s="41"/>
      <c r="G646" s="41"/>
      <c r="H646" s="41"/>
      <c r="I646" s="41"/>
      <c r="J646" s="41"/>
      <c r="K646" s="128">
        <f t="shared" si="829"/>
        <v>0</v>
      </c>
      <c r="L646" s="41"/>
      <c r="M646" s="41"/>
      <c r="N646" s="41"/>
      <c r="O646" s="41"/>
      <c r="P646" s="41"/>
      <c r="Q646" s="409"/>
      <c r="R646" s="128">
        <f t="shared" si="831"/>
        <v>0</v>
      </c>
      <c r="S646" s="41"/>
      <c r="T646" s="41"/>
      <c r="U646" s="41"/>
      <c r="V646" s="41"/>
      <c r="W646" s="41"/>
      <c r="X646" s="41"/>
      <c r="Y646" s="41"/>
      <c r="Z646" s="41"/>
      <c r="AA646" s="128">
        <f t="shared" si="832"/>
        <v>0</v>
      </c>
      <c r="AB646" s="128">
        <f t="shared" si="830"/>
        <v>0</v>
      </c>
      <c r="AC646" s="175" t="e">
        <f t="shared" si="822"/>
        <v>#DIV/0!</v>
      </c>
    </row>
    <row r="647" spans="1:29" ht="28.5" hidden="1" x14ac:dyDescent="0.2">
      <c r="B647" s="76" t="s">
        <v>948</v>
      </c>
      <c r="C647" s="77" t="s">
        <v>380</v>
      </c>
      <c r="D647" s="334"/>
      <c r="E647" s="188">
        <f>SUM('ADICIONES  2021'!C647:I647)</f>
        <v>0</v>
      </c>
      <c r="F647" s="41"/>
      <c r="G647" s="41"/>
      <c r="H647" s="41"/>
      <c r="I647" s="41"/>
      <c r="J647" s="41"/>
      <c r="K647" s="128">
        <f t="shared" si="829"/>
        <v>0</v>
      </c>
      <c r="L647" s="41"/>
      <c r="M647" s="41"/>
      <c r="N647" s="41"/>
      <c r="O647" s="41"/>
      <c r="P647" s="41"/>
      <c r="Q647" s="409"/>
      <c r="R647" s="128">
        <f t="shared" si="831"/>
        <v>0</v>
      </c>
      <c r="S647" s="41"/>
      <c r="T647" s="41"/>
      <c r="U647" s="41"/>
      <c r="V647" s="41"/>
      <c r="W647" s="41"/>
      <c r="X647" s="41"/>
      <c r="Y647" s="41"/>
      <c r="Z647" s="41"/>
      <c r="AA647" s="128">
        <f t="shared" si="832"/>
        <v>0</v>
      </c>
      <c r="AB647" s="128">
        <f t="shared" si="830"/>
        <v>0</v>
      </c>
      <c r="AC647" s="175" t="e">
        <f t="shared" si="822"/>
        <v>#DIV/0!</v>
      </c>
    </row>
    <row r="648" spans="1:29" ht="28.5" hidden="1" x14ac:dyDescent="0.2">
      <c r="B648" s="76" t="s">
        <v>949</v>
      </c>
      <c r="C648" s="77" t="s">
        <v>950</v>
      </c>
      <c r="D648" s="334"/>
      <c r="E648" s="188">
        <f>SUM('ADICIONES  2021'!C648:I648)</f>
        <v>0</v>
      </c>
      <c r="F648" s="128"/>
      <c r="G648" s="128"/>
      <c r="H648" s="128"/>
      <c r="I648" s="128"/>
      <c r="J648" s="128"/>
      <c r="K648" s="128">
        <f>+D648+E648-F648+G648-H648</f>
        <v>0</v>
      </c>
      <c r="L648" s="128"/>
      <c r="M648" s="128"/>
      <c r="N648" s="128"/>
      <c r="O648" s="128"/>
      <c r="P648" s="128"/>
      <c r="Q648" s="413"/>
      <c r="R648" s="128">
        <f>SUM(L648:Q648)</f>
        <v>0</v>
      </c>
      <c r="S648" s="128"/>
      <c r="T648" s="128"/>
      <c r="U648" s="128"/>
      <c r="V648" s="128"/>
      <c r="W648" s="128"/>
      <c r="X648" s="128"/>
      <c r="Y648" s="128"/>
      <c r="Z648" s="128"/>
      <c r="AA648" s="128">
        <f t="shared" si="832"/>
        <v>0</v>
      </c>
      <c r="AB648" s="128">
        <f t="shared" si="830"/>
        <v>0</v>
      </c>
      <c r="AC648" s="175" t="e">
        <f t="shared" si="822"/>
        <v>#DIV/0!</v>
      </c>
    </row>
    <row r="649" spans="1:29" ht="28.5" x14ac:dyDescent="0.2">
      <c r="B649" s="76" t="s">
        <v>951</v>
      </c>
      <c r="C649" s="77" t="s">
        <v>952</v>
      </c>
      <c r="D649" s="334"/>
      <c r="E649" s="188">
        <f>SUM('ADICIONES  2021'!C649:I649)</f>
        <v>0</v>
      </c>
      <c r="F649" s="128"/>
      <c r="G649" s="128"/>
      <c r="H649" s="128"/>
      <c r="I649" s="128"/>
      <c r="J649" s="128"/>
      <c r="K649" s="128">
        <f t="shared" si="829"/>
        <v>0</v>
      </c>
      <c r="L649" s="128"/>
      <c r="M649" s="128"/>
      <c r="N649" s="128">
        <v>15002674.26</v>
      </c>
      <c r="O649" s="128"/>
      <c r="P649" s="128">
        <v>94465838</v>
      </c>
      <c r="Q649" s="413"/>
      <c r="R649" s="128">
        <f t="shared" si="831"/>
        <v>109468512.26000001</v>
      </c>
      <c r="S649" s="128"/>
      <c r="T649" s="128"/>
      <c r="U649" s="128"/>
      <c r="V649" s="128"/>
      <c r="W649" s="128"/>
      <c r="X649" s="128"/>
      <c r="Y649" s="128"/>
      <c r="Z649" s="128"/>
      <c r="AA649" s="128">
        <f t="shared" ref="AA649:AA715" si="833">SUM(S649:Z649)</f>
        <v>0</v>
      </c>
      <c r="AB649" s="128">
        <f t="shared" si="830"/>
        <v>109468512.26000001</v>
      </c>
      <c r="AC649" s="175">
        <v>0</v>
      </c>
    </row>
    <row r="650" spans="1:29" s="5" customFormat="1" ht="15.75" x14ac:dyDescent="0.2">
      <c r="A650" s="100">
        <v>1</v>
      </c>
      <c r="B650" s="81" t="s">
        <v>1626</v>
      </c>
      <c r="C650" s="79" t="s">
        <v>1627</v>
      </c>
      <c r="D650" s="78">
        <f>+D651</f>
        <v>0</v>
      </c>
      <c r="E650" s="187">
        <f>SUM('ADICIONES  2021'!C650:I650)</f>
        <v>6653868002.9099998</v>
      </c>
      <c r="F650" s="78">
        <f t="shared" ref="F650:J650" si="834">+F651</f>
        <v>0</v>
      </c>
      <c r="G650" s="78">
        <f t="shared" si="834"/>
        <v>0</v>
      </c>
      <c r="H650" s="78">
        <f t="shared" si="834"/>
        <v>0</v>
      </c>
      <c r="I650" s="78">
        <f t="shared" si="834"/>
        <v>0</v>
      </c>
      <c r="J650" s="78">
        <f t="shared" si="834"/>
        <v>0</v>
      </c>
      <c r="K650" s="127">
        <f t="shared" si="829"/>
        <v>6653868002.9099998</v>
      </c>
      <c r="L650" s="78">
        <f t="shared" ref="L650:Q650" si="835">+L651</f>
        <v>0</v>
      </c>
      <c r="M650" s="78">
        <f t="shared" si="835"/>
        <v>0</v>
      </c>
      <c r="N650" s="78">
        <f t="shared" si="835"/>
        <v>0</v>
      </c>
      <c r="O650" s="78">
        <f t="shared" si="835"/>
        <v>0</v>
      </c>
      <c r="P650" s="78">
        <f t="shared" si="835"/>
        <v>0</v>
      </c>
      <c r="Q650" s="408">
        <f t="shared" si="835"/>
        <v>0</v>
      </c>
      <c r="R650" s="127">
        <f t="shared" si="831"/>
        <v>0</v>
      </c>
      <c r="S650" s="78">
        <f t="shared" ref="S650:Z650" si="836">+S651</f>
        <v>0</v>
      </c>
      <c r="T650" s="78">
        <f t="shared" si="836"/>
        <v>0</v>
      </c>
      <c r="U650" s="78">
        <f t="shared" si="836"/>
        <v>0</v>
      </c>
      <c r="V650" s="78">
        <f t="shared" si="836"/>
        <v>0</v>
      </c>
      <c r="W650" s="78">
        <f t="shared" si="836"/>
        <v>0</v>
      </c>
      <c r="X650" s="78">
        <f t="shared" si="836"/>
        <v>0</v>
      </c>
      <c r="Y650" s="78">
        <f t="shared" si="836"/>
        <v>0</v>
      </c>
      <c r="Z650" s="78">
        <f t="shared" si="836"/>
        <v>0</v>
      </c>
      <c r="AA650" s="127">
        <f t="shared" si="833"/>
        <v>0</v>
      </c>
      <c r="AB650" s="127">
        <f t="shared" si="830"/>
        <v>0</v>
      </c>
      <c r="AC650" s="176">
        <f t="shared" ref="AC650:AC716" si="837">+AB650/K650</f>
        <v>0</v>
      </c>
    </row>
    <row r="651" spans="1:29" s="5" customFormat="1" ht="15.75" x14ac:dyDescent="0.2">
      <c r="A651" s="100"/>
      <c r="B651" s="81" t="s">
        <v>1628</v>
      </c>
      <c r="C651" s="79" t="s">
        <v>1629</v>
      </c>
      <c r="D651" s="78">
        <f>+D655+D652</f>
        <v>0</v>
      </c>
      <c r="E651" s="187">
        <f>SUM('ADICIONES  2021'!C651:I651)</f>
        <v>6653868002.9099998</v>
      </c>
      <c r="F651" s="78">
        <f t="shared" ref="F651:J651" si="838">+F655+F652</f>
        <v>0</v>
      </c>
      <c r="G651" s="78">
        <f t="shared" si="838"/>
        <v>0</v>
      </c>
      <c r="H651" s="78">
        <f t="shared" si="838"/>
        <v>0</v>
      </c>
      <c r="I651" s="78">
        <f t="shared" si="838"/>
        <v>0</v>
      </c>
      <c r="J651" s="78">
        <f t="shared" si="838"/>
        <v>0</v>
      </c>
      <c r="K651" s="127">
        <f t="shared" si="829"/>
        <v>6653868002.9099998</v>
      </c>
      <c r="L651" s="78">
        <f t="shared" ref="L651:Q651" si="839">+L655+L652</f>
        <v>0</v>
      </c>
      <c r="M651" s="78">
        <f t="shared" si="839"/>
        <v>0</v>
      </c>
      <c r="N651" s="78">
        <f t="shared" si="839"/>
        <v>0</v>
      </c>
      <c r="O651" s="78">
        <f t="shared" si="839"/>
        <v>0</v>
      </c>
      <c r="P651" s="78">
        <f t="shared" si="839"/>
        <v>0</v>
      </c>
      <c r="Q651" s="408">
        <f t="shared" si="839"/>
        <v>0</v>
      </c>
      <c r="R651" s="127">
        <f t="shared" si="831"/>
        <v>0</v>
      </c>
      <c r="S651" s="78">
        <f t="shared" ref="S651:Z651" si="840">+S655+S652</f>
        <v>0</v>
      </c>
      <c r="T651" s="78">
        <f t="shared" si="840"/>
        <v>0</v>
      </c>
      <c r="U651" s="78">
        <f t="shared" si="840"/>
        <v>0</v>
      </c>
      <c r="V651" s="78">
        <f t="shared" si="840"/>
        <v>0</v>
      </c>
      <c r="W651" s="78">
        <f t="shared" si="840"/>
        <v>0</v>
      </c>
      <c r="X651" s="78">
        <f t="shared" si="840"/>
        <v>0</v>
      </c>
      <c r="Y651" s="78">
        <f t="shared" si="840"/>
        <v>0</v>
      </c>
      <c r="Z651" s="78">
        <f t="shared" si="840"/>
        <v>0</v>
      </c>
      <c r="AA651" s="127">
        <f t="shared" si="833"/>
        <v>0</v>
      </c>
      <c r="AB651" s="127">
        <f t="shared" si="830"/>
        <v>0</v>
      </c>
      <c r="AC651" s="176">
        <f t="shared" si="837"/>
        <v>0</v>
      </c>
    </row>
    <row r="652" spans="1:29" s="5" customFormat="1" ht="15.75" x14ac:dyDescent="0.2">
      <c r="A652" s="100"/>
      <c r="B652" s="81" t="s">
        <v>1882</v>
      </c>
      <c r="C652" s="79" t="s">
        <v>1883</v>
      </c>
      <c r="D652" s="78">
        <f>SUM(D653:D654)</f>
        <v>0</v>
      </c>
      <c r="E652" s="187">
        <f>SUM('ADICIONES  2021'!C652:I652)</f>
        <v>1753741970.9100001</v>
      </c>
      <c r="F652" s="78">
        <f t="shared" ref="F652:J652" si="841">SUM(F653:F654)</f>
        <v>0</v>
      </c>
      <c r="G652" s="78">
        <f t="shared" si="841"/>
        <v>0</v>
      </c>
      <c r="H652" s="78">
        <f t="shared" si="841"/>
        <v>0</v>
      </c>
      <c r="I652" s="78">
        <f t="shared" si="841"/>
        <v>0</v>
      </c>
      <c r="J652" s="78">
        <f t="shared" si="841"/>
        <v>0</v>
      </c>
      <c r="K652" s="127">
        <f t="shared" si="829"/>
        <v>1753741970.9100001</v>
      </c>
      <c r="L652" s="78">
        <f t="shared" ref="L652:Q652" si="842">SUM(L653:L654)</f>
        <v>0</v>
      </c>
      <c r="M652" s="78">
        <f t="shared" si="842"/>
        <v>0</v>
      </c>
      <c r="N652" s="78">
        <f t="shared" si="842"/>
        <v>0</v>
      </c>
      <c r="O652" s="78">
        <f t="shared" si="842"/>
        <v>0</v>
      </c>
      <c r="P652" s="78">
        <f t="shared" si="842"/>
        <v>0</v>
      </c>
      <c r="Q652" s="408">
        <f t="shared" si="842"/>
        <v>0</v>
      </c>
      <c r="R652" s="127">
        <f t="shared" si="831"/>
        <v>0</v>
      </c>
      <c r="S652" s="78">
        <f t="shared" ref="S652:Z652" si="843">SUM(S653:S654)</f>
        <v>0</v>
      </c>
      <c r="T652" s="78">
        <f t="shared" si="843"/>
        <v>0</v>
      </c>
      <c r="U652" s="78">
        <f t="shared" si="843"/>
        <v>0</v>
      </c>
      <c r="V652" s="78">
        <f t="shared" si="843"/>
        <v>0</v>
      </c>
      <c r="W652" s="78">
        <f t="shared" si="843"/>
        <v>0</v>
      </c>
      <c r="X652" s="78">
        <f t="shared" si="843"/>
        <v>0</v>
      </c>
      <c r="Y652" s="78">
        <f t="shared" si="843"/>
        <v>0</v>
      </c>
      <c r="Z652" s="78">
        <f t="shared" si="843"/>
        <v>0</v>
      </c>
      <c r="AA652" s="127">
        <f t="shared" ref="AA652:AA654" si="844">SUM(S652:Z652)</f>
        <v>0</v>
      </c>
      <c r="AB652" s="127">
        <f t="shared" si="830"/>
        <v>0</v>
      </c>
      <c r="AC652" s="176">
        <f t="shared" si="837"/>
        <v>0</v>
      </c>
    </row>
    <row r="653" spans="1:29" ht="76.5" x14ac:dyDescent="0.2">
      <c r="B653" s="82" t="s">
        <v>1884</v>
      </c>
      <c r="C653" s="392" t="s">
        <v>1885</v>
      </c>
      <c r="D653" s="126"/>
      <c r="E653" s="188">
        <f>SUM('ADICIONES  2021'!C653:I653)</f>
        <v>1399970000</v>
      </c>
      <c r="F653" s="126"/>
      <c r="G653" s="126"/>
      <c r="H653" s="126"/>
      <c r="I653" s="126"/>
      <c r="J653" s="126"/>
      <c r="K653" s="128">
        <f t="shared" si="829"/>
        <v>1399970000</v>
      </c>
      <c r="L653" s="126"/>
      <c r="M653" s="126"/>
      <c r="N653" s="126"/>
      <c r="O653" s="126"/>
      <c r="P653" s="126"/>
      <c r="Q653" s="413"/>
      <c r="R653" s="128">
        <f t="shared" si="831"/>
        <v>0</v>
      </c>
      <c r="S653" s="126"/>
      <c r="T653" s="126"/>
      <c r="U653" s="126"/>
      <c r="V653" s="126"/>
      <c r="W653" s="126"/>
      <c r="X653" s="126"/>
      <c r="Y653" s="126"/>
      <c r="Z653" s="126"/>
      <c r="AA653" s="128">
        <f t="shared" si="844"/>
        <v>0</v>
      </c>
      <c r="AB653" s="128">
        <f t="shared" si="830"/>
        <v>0</v>
      </c>
      <c r="AC653" s="175">
        <f t="shared" si="837"/>
        <v>0</v>
      </c>
    </row>
    <row r="654" spans="1:29" ht="45" x14ac:dyDescent="0.2">
      <c r="B654" s="82" t="s">
        <v>1886</v>
      </c>
      <c r="C654" s="83" t="s">
        <v>1887</v>
      </c>
      <c r="D654" s="126"/>
      <c r="E654" s="188">
        <f>SUM('ADICIONES  2021'!C654:I654)</f>
        <v>353771970.91000003</v>
      </c>
      <c r="F654" s="126"/>
      <c r="G654" s="126"/>
      <c r="H654" s="126"/>
      <c r="I654" s="126"/>
      <c r="J654" s="126"/>
      <c r="K654" s="128">
        <f t="shared" si="829"/>
        <v>353771970.91000003</v>
      </c>
      <c r="L654" s="126"/>
      <c r="M654" s="126"/>
      <c r="N654" s="126"/>
      <c r="O654" s="126"/>
      <c r="P654" s="126"/>
      <c r="Q654" s="413"/>
      <c r="R654" s="128">
        <f t="shared" si="831"/>
        <v>0</v>
      </c>
      <c r="S654" s="126"/>
      <c r="T654" s="126"/>
      <c r="U654" s="126"/>
      <c r="V654" s="126"/>
      <c r="W654" s="126"/>
      <c r="X654" s="126"/>
      <c r="Y654" s="126"/>
      <c r="Z654" s="126"/>
      <c r="AA654" s="128">
        <f t="shared" si="844"/>
        <v>0</v>
      </c>
      <c r="AB654" s="128">
        <f t="shared" si="830"/>
        <v>0</v>
      </c>
      <c r="AC654" s="175">
        <f t="shared" si="837"/>
        <v>0</v>
      </c>
    </row>
    <row r="655" spans="1:29" s="5" customFormat="1" ht="15.75" x14ac:dyDescent="0.2">
      <c r="A655" s="100"/>
      <c r="B655" s="81" t="s">
        <v>1630</v>
      </c>
      <c r="C655" s="79" t="s">
        <v>1631</v>
      </c>
      <c r="D655" s="78">
        <f>+D656+D661</f>
        <v>0</v>
      </c>
      <c r="E655" s="187">
        <f>SUM('ADICIONES  2021'!C655:I655)</f>
        <v>4900126032</v>
      </c>
      <c r="F655" s="78">
        <f>+F656+F661</f>
        <v>0</v>
      </c>
      <c r="G655" s="78">
        <f>+G656+G661</f>
        <v>0</v>
      </c>
      <c r="H655" s="78">
        <f>+H656+H661</f>
        <v>0</v>
      </c>
      <c r="I655" s="78">
        <f>+I656+I661</f>
        <v>0</v>
      </c>
      <c r="J655" s="78">
        <f>+J656+J661</f>
        <v>0</v>
      </c>
      <c r="K655" s="127">
        <f t="shared" si="829"/>
        <v>4900126032</v>
      </c>
      <c r="L655" s="78">
        <f t="shared" ref="L655:Q655" si="845">+L656+L661</f>
        <v>0</v>
      </c>
      <c r="M655" s="78">
        <f t="shared" si="845"/>
        <v>0</v>
      </c>
      <c r="N655" s="78">
        <f t="shared" si="845"/>
        <v>0</v>
      </c>
      <c r="O655" s="78">
        <f t="shared" si="845"/>
        <v>0</v>
      </c>
      <c r="P655" s="78">
        <f t="shared" si="845"/>
        <v>0</v>
      </c>
      <c r="Q655" s="408">
        <f t="shared" si="845"/>
        <v>0</v>
      </c>
      <c r="R655" s="127">
        <f t="shared" si="831"/>
        <v>0</v>
      </c>
      <c r="S655" s="78">
        <f t="shared" ref="S655:Z655" si="846">+S656+S661</f>
        <v>0</v>
      </c>
      <c r="T655" s="78">
        <f t="shared" si="846"/>
        <v>0</v>
      </c>
      <c r="U655" s="78">
        <f t="shared" si="846"/>
        <v>0</v>
      </c>
      <c r="V655" s="78">
        <f t="shared" si="846"/>
        <v>0</v>
      </c>
      <c r="W655" s="78">
        <f t="shared" si="846"/>
        <v>0</v>
      </c>
      <c r="X655" s="78">
        <f t="shared" si="846"/>
        <v>0</v>
      </c>
      <c r="Y655" s="78">
        <f t="shared" si="846"/>
        <v>0</v>
      </c>
      <c r="Z655" s="78">
        <f t="shared" si="846"/>
        <v>0</v>
      </c>
      <c r="AA655" s="127">
        <f t="shared" si="833"/>
        <v>0</v>
      </c>
      <c r="AB655" s="127">
        <f t="shared" si="830"/>
        <v>0</v>
      </c>
      <c r="AC655" s="176">
        <f t="shared" si="837"/>
        <v>0</v>
      </c>
    </row>
    <row r="656" spans="1:29" s="5" customFormat="1" ht="78.75" x14ac:dyDescent="0.2">
      <c r="A656" s="100"/>
      <c r="B656" s="81" t="s">
        <v>1632</v>
      </c>
      <c r="C656" s="79" t="s">
        <v>1633</v>
      </c>
      <c r="D656" s="78">
        <f>SUM(D657:D660)</f>
        <v>0</v>
      </c>
      <c r="E656" s="187">
        <f>SUM('ADICIONES  2021'!C656:I656)</f>
        <v>2750126032</v>
      </c>
      <c r="F656" s="78">
        <f>SUM(F657:F660)</f>
        <v>0</v>
      </c>
      <c r="G656" s="78">
        <f>SUM(G657:G660)</f>
        <v>0</v>
      </c>
      <c r="H656" s="78">
        <f>SUM(H657:H660)</f>
        <v>0</v>
      </c>
      <c r="I656" s="78">
        <f>SUM(I657:I660)</f>
        <v>0</v>
      </c>
      <c r="J656" s="78">
        <f>SUM(J657:J660)</f>
        <v>0</v>
      </c>
      <c r="K656" s="127">
        <f t="shared" si="829"/>
        <v>2750126032</v>
      </c>
      <c r="L656" s="78">
        <f t="shared" ref="L656:Q656" si="847">SUM(L657:L660)</f>
        <v>0</v>
      </c>
      <c r="M656" s="78">
        <f t="shared" si="847"/>
        <v>0</v>
      </c>
      <c r="N656" s="78">
        <f t="shared" si="847"/>
        <v>0</v>
      </c>
      <c r="O656" s="78">
        <f t="shared" si="847"/>
        <v>0</v>
      </c>
      <c r="P656" s="78">
        <f t="shared" si="847"/>
        <v>0</v>
      </c>
      <c r="Q656" s="408">
        <f t="shared" si="847"/>
        <v>0</v>
      </c>
      <c r="R656" s="127">
        <f t="shared" si="831"/>
        <v>0</v>
      </c>
      <c r="S656" s="78">
        <f t="shared" ref="S656:Z656" si="848">SUM(S657:S660)</f>
        <v>0</v>
      </c>
      <c r="T656" s="78">
        <f t="shared" si="848"/>
        <v>0</v>
      </c>
      <c r="U656" s="78">
        <f t="shared" si="848"/>
        <v>0</v>
      </c>
      <c r="V656" s="78">
        <f t="shared" si="848"/>
        <v>0</v>
      </c>
      <c r="W656" s="78">
        <f t="shared" si="848"/>
        <v>0</v>
      </c>
      <c r="X656" s="78">
        <f t="shared" si="848"/>
        <v>0</v>
      </c>
      <c r="Y656" s="78">
        <f t="shared" si="848"/>
        <v>0</v>
      </c>
      <c r="Z656" s="78">
        <f t="shared" si="848"/>
        <v>0</v>
      </c>
      <c r="AA656" s="127">
        <f t="shared" si="833"/>
        <v>0</v>
      </c>
      <c r="AB656" s="127">
        <f t="shared" si="830"/>
        <v>0</v>
      </c>
      <c r="AC656" s="176">
        <f t="shared" si="837"/>
        <v>0</v>
      </c>
    </row>
    <row r="657" spans="1:29" ht="28.5" x14ac:dyDescent="0.2">
      <c r="B657" s="76" t="s">
        <v>1634</v>
      </c>
      <c r="C657" s="77" t="s">
        <v>1635</v>
      </c>
      <c r="D657" s="128"/>
      <c r="E657" s="188">
        <f>SUM('ADICIONES  2021'!C657:I657)</f>
        <v>2000000000</v>
      </c>
      <c r="F657" s="128"/>
      <c r="G657" s="128"/>
      <c r="H657" s="128"/>
      <c r="I657" s="128"/>
      <c r="J657" s="128"/>
      <c r="K657" s="128">
        <f t="shared" si="829"/>
        <v>2000000000</v>
      </c>
      <c r="L657" s="128"/>
      <c r="M657" s="128"/>
      <c r="N657" s="128"/>
      <c r="O657" s="128"/>
      <c r="P657" s="128"/>
      <c r="Q657" s="413"/>
      <c r="R657" s="128">
        <f t="shared" si="831"/>
        <v>0</v>
      </c>
      <c r="S657" s="128"/>
      <c r="T657" s="128"/>
      <c r="U657" s="128"/>
      <c r="V657" s="128"/>
      <c r="W657" s="128"/>
      <c r="X657" s="128"/>
      <c r="Y657" s="128"/>
      <c r="Z657" s="128"/>
      <c r="AA657" s="128">
        <f t="shared" si="833"/>
        <v>0</v>
      </c>
      <c r="AB657" s="128">
        <f t="shared" si="830"/>
        <v>0</v>
      </c>
      <c r="AC657" s="175">
        <f t="shared" si="837"/>
        <v>0</v>
      </c>
    </row>
    <row r="658" spans="1:29" ht="28.5" x14ac:dyDescent="0.2">
      <c r="B658" s="76" t="s">
        <v>1636</v>
      </c>
      <c r="C658" s="77" t="s">
        <v>1637</v>
      </c>
      <c r="D658" s="128"/>
      <c r="E658" s="188">
        <f>SUM('ADICIONES  2021'!C658:I658)</f>
        <v>250000000</v>
      </c>
      <c r="F658" s="128"/>
      <c r="G658" s="128"/>
      <c r="H658" s="128"/>
      <c r="I658" s="128"/>
      <c r="J658" s="128"/>
      <c r="K658" s="128">
        <f t="shared" si="829"/>
        <v>250000000</v>
      </c>
      <c r="L658" s="128"/>
      <c r="M658" s="128"/>
      <c r="N658" s="128"/>
      <c r="O658" s="128"/>
      <c r="P658" s="128"/>
      <c r="Q658" s="413"/>
      <c r="R658" s="128">
        <f t="shared" si="831"/>
        <v>0</v>
      </c>
      <c r="S658" s="128"/>
      <c r="T658" s="128"/>
      <c r="U658" s="128"/>
      <c r="V658" s="128"/>
      <c r="W658" s="128"/>
      <c r="X658" s="128"/>
      <c r="Y658" s="128"/>
      <c r="Z658" s="128"/>
      <c r="AA658" s="128">
        <f t="shared" si="833"/>
        <v>0</v>
      </c>
      <c r="AB658" s="128">
        <f t="shared" si="830"/>
        <v>0</v>
      </c>
      <c r="AC658" s="175">
        <f t="shared" si="837"/>
        <v>0</v>
      </c>
    </row>
    <row r="659" spans="1:29" ht="28.5" x14ac:dyDescent="0.2">
      <c r="B659" s="76" t="s">
        <v>1638</v>
      </c>
      <c r="C659" s="77" t="s">
        <v>1639</v>
      </c>
      <c r="D659" s="128"/>
      <c r="E659" s="188">
        <f>SUM('ADICIONES  2021'!C659:I659)</f>
        <v>400000000</v>
      </c>
      <c r="F659" s="128"/>
      <c r="G659" s="128"/>
      <c r="H659" s="128"/>
      <c r="I659" s="128"/>
      <c r="J659" s="128"/>
      <c r="K659" s="128">
        <f t="shared" si="829"/>
        <v>400000000</v>
      </c>
      <c r="L659" s="128"/>
      <c r="M659" s="128"/>
      <c r="N659" s="128"/>
      <c r="O659" s="128"/>
      <c r="P659" s="128"/>
      <c r="Q659" s="413"/>
      <c r="R659" s="128">
        <f t="shared" si="831"/>
        <v>0</v>
      </c>
      <c r="S659" s="128"/>
      <c r="T659" s="128"/>
      <c r="U659" s="128"/>
      <c r="V659" s="128"/>
      <c r="W659" s="128"/>
      <c r="X659" s="128"/>
      <c r="Y659" s="128"/>
      <c r="Z659" s="128"/>
      <c r="AA659" s="128">
        <f t="shared" si="833"/>
        <v>0</v>
      </c>
      <c r="AB659" s="128">
        <f t="shared" si="830"/>
        <v>0</v>
      </c>
      <c r="AC659" s="175">
        <f t="shared" si="837"/>
        <v>0</v>
      </c>
    </row>
    <row r="660" spans="1:29" ht="28.5" x14ac:dyDescent="0.2">
      <c r="B660" s="76" t="s">
        <v>1640</v>
      </c>
      <c r="C660" s="77" t="s">
        <v>1639</v>
      </c>
      <c r="D660" s="128"/>
      <c r="E660" s="188">
        <f>SUM('ADICIONES  2021'!C660:I660)</f>
        <v>100126032</v>
      </c>
      <c r="F660" s="128"/>
      <c r="G660" s="128"/>
      <c r="H660" s="128"/>
      <c r="I660" s="128"/>
      <c r="J660" s="128"/>
      <c r="K660" s="128">
        <f t="shared" si="829"/>
        <v>100126032</v>
      </c>
      <c r="L660" s="128"/>
      <c r="M660" s="128"/>
      <c r="N660" s="128"/>
      <c r="O660" s="128"/>
      <c r="P660" s="128"/>
      <c r="Q660" s="413"/>
      <c r="R660" s="128">
        <f t="shared" si="831"/>
        <v>0</v>
      </c>
      <c r="S660" s="128"/>
      <c r="T660" s="128"/>
      <c r="U660" s="128"/>
      <c r="V660" s="128"/>
      <c r="W660" s="128"/>
      <c r="X660" s="128"/>
      <c r="Y660" s="128"/>
      <c r="Z660" s="128"/>
      <c r="AA660" s="128">
        <f t="shared" si="833"/>
        <v>0</v>
      </c>
      <c r="AB660" s="128">
        <f t="shared" si="830"/>
        <v>0</v>
      </c>
      <c r="AC660" s="175">
        <f t="shared" si="837"/>
        <v>0</v>
      </c>
    </row>
    <row r="661" spans="1:29" ht="75" x14ac:dyDescent="0.2">
      <c r="B661" s="81" t="s">
        <v>1641</v>
      </c>
      <c r="C661" s="194" t="s">
        <v>1642</v>
      </c>
      <c r="D661" s="78">
        <f>SUM(D662:D666)</f>
        <v>0</v>
      </c>
      <c r="E661" s="187">
        <f>SUM('ADICIONES  2021'!C661:I661)</f>
        <v>2150000000</v>
      </c>
      <c r="F661" s="78">
        <f>SUM(F662:F666)</f>
        <v>0</v>
      </c>
      <c r="G661" s="78">
        <f>SUM(G662:G666)</f>
        <v>0</v>
      </c>
      <c r="H661" s="78">
        <f>SUM(H662:H666)</f>
        <v>0</v>
      </c>
      <c r="I661" s="78">
        <f>SUM(I662:I666)</f>
        <v>0</v>
      </c>
      <c r="J661" s="78">
        <f>SUM(J662:J666)</f>
        <v>0</v>
      </c>
      <c r="K661" s="128">
        <f t="shared" si="829"/>
        <v>2150000000</v>
      </c>
      <c r="L661" s="78">
        <f t="shared" ref="L661:Q661" si="849">SUM(L662:L666)</f>
        <v>0</v>
      </c>
      <c r="M661" s="78">
        <f t="shared" si="849"/>
        <v>0</v>
      </c>
      <c r="N661" s="78">
        <f t="shared" si="849"/>
        <v>0</v>
      </c>
      <c r="O661" s="78">
        <f t="shared" si="849"/>
        <v>0</v>
      </c>
      <c r="P661" s="78">
        <f t="shared" si="849"/>
        <v>0</v>
      </c>
      <c r="Q661" s="408">
        <f t="shared" si="849"/>
        <v>0</v>
      </c>
      <c r="R661" s="128">
        <f t="shared" si="831"/>
        <v>0</v>
      </c>
      <c r="S661" s="78">
        <f t="shared" ref="S661:Z661" si="850">SUM(S662:S666)</f>
        <v>0</v>
      </c>
      <c r="T661" s="78">
        <f t="shared" si="850"/>
        <v>0</v>
      </c>
      <c r="U661" s="78">
        <f t="shared" si="850"/>
        <v>0</v>
      </c>
      <c r="V661" s="78">
        <f t="shared" si="850"/>
        <v>0</v>
      </c>
      <c r="W661" s="78">
        <f t="shared" si="850"/>
        <v>0</v>
      </c>
      <c r="X661" s="78">
        <f t="shared" si="850"/>
        <v>0</v>
      </c>
      <c r="Y661" s="78">
        <f t="shared" si="850"/>
        <v>0</v>
      </c>
      <c r="Z661" s="78">
        <f t="shared" si="850"/>
        <v>0</v>
      </c>
      <c r="AA661" s="128">
        <f t="shared" si="833"/>
        <v>0</v>
      </c>
      <c r="AB661" s="128">
        <f t="shared" si="830"/>
        <v>0</v>
      </c>
      <c r="AC661" s="175">
        <f t="shared" si="837"/>
        <v>0</v>
      </c>
    </row>
    <row r="662" spans="1:29" ht="28.5" x14ac:dyDescent="0.2">
      <c r="B662" s="76" t="s">
        <v>1643</v>
      </c>
      <c r="C662" s="77" t="s">
        <v>1644</v>
      </c>
      <c r="D662" s="128"/>
      <c r="E662" s="188">
        <f>SUM('ADICIONES  2021'!C662:I662)</f>
        <v>900000000</v>
      </c>
      <c r="F662" s="128"/>
      <c r="G662" s="128"/>
      <c r="H662" s="128"/>
      <c r="I662" s="128"/>
      <c r="J662" s="128"/>
      <c r="K662" s="128">
        <f t="shared" si="829"/>
        <v>900000000</v>
      </c>
      <c r="L662" s="128"/>
      <c r="M662" s="128"/>
      <c r="N662" s="128"/>
      <c r="O662" s="128"/>
      <c r="P662" s="128"/>
      <c r="Q662" s="413"/>
      <c r="R662" s="128">
        <f t="shared" si="831"/>
        <v>0</v>
      </c>
      <c r="S662" s="128"/>
      <c r="T662" s="128"/>
      <c r="U662" s="128"/>
      <c r="V662" s="128"/>
      <c r="W662" s="128"/>
      <c r="X662" s="128"/>
      <c r="Y662" s="128"/>
      <c r="Z662" s="128"/>
      <c r="AA662" s="128">
        <f t="shared" si="833"/>
        <v>0</v>
      </c>
      <c r="AB662" s="128">
        <f t="shared" si="830"/>
        <v>0</v>
      </c>
      <c r="AC662" s="175">
        <f t="shared" si="837"/>
        <v>0</v>
      </c>
    </row>
    <row r="663" spans="1:29" ht="28.5" x14ac:dyDescent="0.2">
      <c r="B663" s="76" t="s">
        <v>1645</v>
      </c>
      <c r="C663" s="77" t="s">
        <v>1646</v>
      </c>
      <c r="D663" s="128"/>
      <c r="E663" s="188">
        <f>SUM('ADICIONES  2021'!C663:I663)</f>
        <v>250000000</v>
      </c>
      <c r="F663" s="128"/>
      <c r="G663" s="128"/>
      <c r="H663" s="128"/>
      <c r="I663" s="128"/>
      <c r="J663" s="128"/>
      <c r="K663" s="128">
        <f t="shared" si="829"/>
        <v>250000000</v>
      </c>
      <c r="L663" s="128"/>
      <c r="M663" s="128"/>
      <c r="N663" s="128"/>
      <c r="O663" s="128"/>
      <c r="P663" s="128"/>
      <c r="Q663" s="413"/>
      <c r="R663" s="128">
        <f t="shared" si="831"/>
        <v>0</v>
      </c>
      <c r="S663" s="128"/>
      <c r="T663" s="128"/>
      <c r="U663" s="128"/>
      <c r="V663" s="128"/>
      <c r="W663" s="128"/>
      <c r="X663" s="128"/>
      <c r="Y663" s="128"/>
      <c r="Z663" s="128"/>
      <c r="AA663" s="128">
        <f t="shared" si="833"/>
        <v>0</v>
      </c>
      <c r="AB663" s="128">
        <f t="shared" si="830"/>
        <v>0</v>
      </c>
      <c r="AC663" s="175">
        <f t="shared" si="837"/>
        <v>0</v>
      </c>
    </row>
    <row r="664" spans="1:29" ht="28.5" x14ac:dyDescent="0.2">
      <c r="B664" s="76" t="s">
        <v>1647</v>
      </c>
      <c r="C664" s="77" t="s">
        <v>1648</v>
      </c>
      <c r="D664" s="128"/>
      <c r="E664" s="188">
        <f>SUM('ADICIONES  2021'!C664:I664)</f>
        <v>280000000</v>
      </c>
      <c r="F664" s="128"/>
      <c r="G664" s="128"/>
      <c r="H664" s="128"/>
      <c r="I664" s="128"/>
      <c r="J664" s="128"/>
      <c r="K664" s="128">
        <f t="shared" si="829"/>
        <v>280000000</v>
      </c>
      <c r="L664" s="128"/>
      <c r="M664" s="128"/>
      <c r="N664" s="128"/>
      <c r="O664" s="128"/>
      <c r="P664" s="128"/>
      <c r="Q664" s="413"/>
      <c r="R664" s="128">
        <f t="shared" si="831"/>
        <v>0</v>
      </c>
      <c r="S664" s="128"/>
      <c r="T664" s="128"/>
      <c r="U664" s="128"/>
      <c r="V664" s="128"/>
      <c r="W664" s="128"/>
      <c r="X664" s="128"/>
      <c r="Y664" s="128"/>
      <c r="Z664" s="128"/>
      <c r="AA664" s="128">
        <f t="shared" si="833"/>
        <v>0</v>
      </c>
      <c r="AB664" s="128">
        <f t="shared" si="830"/>
        <v>0</v>
      </c>
      <c r="AC664" s="175">
        <f t="shared" si="837"/>
        <v>0</v>
      </c>
    </row>
    <row r="665" spans="1:29" ht="28.5" x14ac:dyDescent="0.2">
      <c r="B665" s="76" t="s">
        <v>1649</v>
      </c>
      <c r="C665" s="77" t="s">
        <v>1650</v>
      </c>
      <c r="D665" s="128"/>
      <c r="E665" s="188">
        <f>SUM('ADICIONES  2021'!C665:I665)</f>
        <v>220000000</v>
      </c>
      <c r="F665" s="128"/>
      <c r="G665" s="128"/>
      <c r="H665" s="128"/>
      <c r="I665" s="128"/>
      <c r="J665" s="128"/>
      <c r="K665" s="128">
        <f t="shared" si="829"/>
        <v>220000000</v>
      </c>
      <c r="L665" s="128"/>
      <c r="M665" s="128"/>
      <c r="N665" s="128"/>
      <c r="O665" s="128"/>
      <c r="P665" s="128"/>
      <c r="Q665" s="413"/>
      <c r="R665" s="128">
        <f t="shared" si="831"/>
        <v>0</v>
      </c>
      <c r="S665" s="128"/>
      <c r="T665" s="128"/>
      <c r="U665" s="128"/>
      <c r="V665" s="128"/>
      <c r="W665" s="128"/>
      <c r="X665" s="128"/>
      <c r="Y665" s="128"/>
      <c r="Z665" s="128"/>
      <c r="AA665" s="128">
        <f t="shared" si="833"/>
        <v>0</v>
      </c>
      <c r="AB665" s="128">
        <f t="shared" si="830"/>
        <v>0</v>
      </c>
      <c r="AC665" s="175">
        <f t="shared" si="837"/>
        <v>0</v>
      </c>
    </row>
    <row r="666" spans="1:29" ht="28.5" x14ac:dyDescent="0.2">
      <c r="B666" s="76" t="s">
        <v>1651</v>
      </c>
      <c r="C666" s="77" t="s">
        <v>1652</v>
      </c>
      <c r="D666" s="128"/>
      <c r="E666" s="188">
        <f>SUM('ADICIONES  2021'!C666:I666)</f>
        <v>500000000</v>
      </c>
      <c r="F666" s="128"/>
      <c r="G666" s="128"/>
      <c r="H666" s="128"/>
      <c r="I666" s="128"/>
      <c r="J666" s="128"/>
      <c r="K666" s="128">
        <f t="shared" si="829"/>
        <v>500000000</v>
      </c>
      <c r="L666" s="128"/>
      <c r="M666" s="128"/>
      <c r="N666" s="128"/>
      <c r="O666" s="128"/>
      <c r="P666" s="128"/>
      <c r="Q666" s="413"/>
      <c r="R666" s="128">
        <f t="shared" si="831"/>
        <v>0</v>
      </c>
      <c r="S666" s="128"/>
      <c r="T666" s="128"/>
      <c r="U666" s="128"/>
      <c r="V666" s="128"/>
      <c r="W666" s="128"/>
      <c r="X666" s="128"/>
      <c r="Y666" s="128"/>
      <c r="Z666" s="128"/>
      <c r="AA666" s="128">
        <f t="shared" si="833"/>
        <v>0</v>
      </c>
      <c r="AB666" s="128">
        <f t="shared" si="830"/>
        <v>0</v>
      </c>
      <c r="AC666" s="175">
        <f t="shared" si="837"/>
        <v>0</v>
      </c>
    </row>
    <row r="667" spans="1:29" s="214" customFormat="1" ht="19.5" x14ac:dyDescent="0.2">
      <c r="A667" s="211"/>
      <c r="B667" s="161" t="s">
        <v>1653</v>
      </c>
      <c r="C667" s="160" t="s">
        <v>1654</v>
      </c>
      <c r="D667" s="162">
        <f>+D668</f>
        <v>0</v>
      </c>
      <c r="E667" s="306">
        <f>SUM('ADICIONES  2021'!C667:I667)</f>
        <v>137470491076.75</v>
      </c>
      <c r="F667" s="162">
        <f t="shared" ref="F667:J670" si="851">+F668</f>
        <v>0</v>
      </c>
      <c r="G667" s="162">
        <f t="shared" si="851"/>
        <v>0</v>
      </c>
      <c r="H667" s="162">
        <f t="shared" si="851"/>
        <v>0</v>
      </c>
      <c r="I667" s="162">
        <f t="shared" si="851"/>
        <v>0</v>
      </c>
      <c r="J667" s="162">
        <f t="shared" si="851"/>
        <v>0</v>
      </c>
      <c r="K667" s="206">
        <f t="shared" si="829"/>
        <v>137470491076.75</v>
      </c>
      <c r="L667" s="162">
        <f t="shared" ref="L667:Q670" si="852">+L668</f>
        <v>0</v>
      </c>
      <c r="M667" s="162">
        <f t="shared" si="852"/>
        <v>0</v>
      </c>
      <c r="N667" s="162">
        <f t="shared" si="852"/>
        <v>0</v>
      </c>
      <c r="O667" s="162">
        <f t="shared" si="852"/>
        <v>0</v>
      </c>
      <c r="P667" s="162">
        <f t="shared" si="852"/>
        <v>0</v>
      </c>
      <c r="Q667" s="418">
        <f t="shared" si="852"/>
        <v>0</v>
      </c>
      <c r="R667" s="206">
        <f t="shared" si="831"/>
        <v>0</v>
      </c>
      <c r="S667" s="162">
        <f t="shared" ref="S667:Z670" si="853">+S668</f>
        <v>81854176518.970001</v>
      </c>
      <c r="T667" s="162">
        <f t="shared" si="853"/>
        <v>0</v>
      </c>
      <c r="U667" s="162">
        <f t="shared" si="853"/>
        <v>0</v>
      </c>
      <c r="V667" s="162">
        <f t="shared" si="853"/>
        <v>0</v>
      </c>
      <c r="W667" s="162">
        <f t="shared" si="853"/>
        <v>0</v>
      </c>
      <c r="X667" s="162">
        <f t="shared" si="853"/>
        <v>0</v>
      </c>
      <c r="Y667" s="162">
        <f t="shared" si="853"/>
        <v>0</v>
      </c>
      <c r="Z667" s="162">
        <f t="shared" si="853"/>
        <v>0</v>
      </c>
      <c r="AA667" s="206">
        <f t="shared" si="833"/>
        <v>81854176518.970001</v>
      </c>
      <c r="AB667" s="206">
        <f t="shared" si="830"/>
        <v>81854176518.970001</v>
      </c>
      <c r="AC667" s="207">
        <f t="shared" si="837"/>
        <v>0.59543088758787277</v>
      </c>
    </row>
    <row r="668" spans="1:29" ht="15.75" x14ac:dyDescent="0.2">
      <c r="B668" s="81" t="s">
        <v>1655</v>
      </c>
      <c r="C668" s="79" t="s">
        <v>1164</v>
      </c>
      <c r="D668" s="78">
        <f>+D669</f>
        <v>0</v>
      </c>
      <c r="E668" s="187">
        <f>SUM('ADICIONES  2021'!C668:I668)</f>
        <v>137470491076.75</v>
      </c>
      <c r="F668" s="78">
        <f t="shared" si="851"/>
        <v>0</v>
      </c>
      <c r="G668" s="78">
        <f t="shared" si="851"/>
        <v>0</v>
      </c>
      <c r="H668" s="78">
        <f t="shared" si="851"/>
        <v>0</v>
      </c>
      <c r="I668" s="78">
        <f t="shared" si="851"/>
        <v>0</v>
      </c>
      <c r="J668" s="78">
        <f t="shared" si="851"/>
        <v>0</v>
      </c>
      <c r="K668" s="128">
        <f t="shared" si="829"/>
        <v>137470491076.75</v>
      </c>
      <c r="L668" s="78">
        <f t="shared" si="852"/>
        <v>0</v>
      </c>
      <c r="M668" s="78">
        <f t="shared" si="852"/>
        <v>0</v>
      </c>
      <c r="N668" s="78">
        <f t="shared" si="852"/>
        <v>0</v>
      </c>
      <c r="O668" s="78">
        <f t="shared" si="852"/>
        <v>0</v>
      </c>
      <c r="P668" s="78">
        <f t="shared" si="852"/>
        <v>0</v>
      </c>
      <c r="Q668" s="408">
        <f t="shared" si="852"/>
        <v>0</v>
      </c>
      <c r="R668" s="128">
        <f t="shared" si="831"/>
        <v>0</v>
      </c>
      <c r="S668" s="78">
        <f t="shared" si="853"/>
        <v>81854176518.970001</v>
      </c>
      <c r="T668" s="78">
        <f t="shared" si="853"/>
        <v>0</v>
      </c>
      <c r="U668" s="78">
        <f t="shared" si="853"/>
        <v>0</v>
      </c>
      <c r="V668" s="78">
        <f t="shared" si="853"/>
        <v>0</v>
      </c>
      <c r="W668" s="78">
        <f t="shared" si="853"/>
        <v>0</v>
      </c>
      <c r="X668" s="78">
        <f t="shared" si="853"/>
        <v>0</v>
      </c>
      <c r="Y668" s="78">
        <f t="shared" si="853"/>
        <v>0</v>
      </c>
      <c r="Z668" s="78">
        <f t="shared" si="853"/>
        <v>0</v>
      </c>
      <c r="AA668" s="128">
        <f t="shared" si="833"/>
        <v>81854176518.970001</v>
      </c>
      <c r="AB668" s="128">
        <f t="shared" si="830"/>
        <v>81854176518.970001</v>
      </c>
      <c r="AC668" s="175">
        <f t="shared" si="837"/>
        <v>0.59543088758787277</v>
      </c>
    </row>
    <row r="669" spans="1:29" ht="15.75" x14ac:dyDescent="0.2">
      <c r="A669" s="396">
        <v>1</v>
      </c>
      <c r="B669" s="81" t="s">
        <v>1656</v>
      </c>
      <c r="C669" s="79" t="s">
        <v>1657</v>
      </c>
      <c r="D669" s="78">
        <f>+D670</f>
        <v>0</v>
      </c>
      <c r="E669" s="187">
        <f>SUM('ADICIONES  2021'!C669:I669)</f>
        <v>137470491076.75</v>
      </c>
      <c r="F669" s="78">
        <f t="shared" si="851"/>
        <v>0</v>
      </c>
      <c r="G669" s="78">
        <f t="shared" si="851"/>
        <v>0</v>
      </c>
      <c r="H669" s="78">
        <f t="shared" si="851"/>
        <v>0</v>
      </c>
      <c r="I669" s="78">
        <f t="shared" si="851"/>
        <v>0</v>
      </c>
      <c r="J669" s="78">
        <f t="shared" si="851"/>
        <v>0</v>
      </c>
      <c r="K669" s="128">
        <f t="shared" si="829"/>
        <v>137470491076.75</v>
      </c>
      <c r="L669" s="78">
        <f t="shared" si="852"/>
        <v>0</v>
      </c>
      <c r="M669" s="78">
        <f t="shared" si="852"/>
        <v>0</v>
      </c>
      <c r="N669" s="78">
        <f t="shared" si="852"/>
        <v>0</v>
      </c>
      <c r="O669" s="78">
        <f t="shared" si="852"/>
        <v>0</v>
      </c>
      <c r="P669" s="78">
        <f t="shared" si="852"/>
        <v>0</v>
      </c>
      <c r="Q669" s="408">
        <f t="shared" si="852"/>
        <v>0</v>
      </c>
      <c r="R669" s="128">
        <f t="shared" si="831"/>
        <v>0</v>
      </c>
      <c r="S669" s="78">
        <f t="shared" si="853"/>
        <v>81854176518.970001</v>
      </c>
      <c r="T669" s="78">
        <f t="shared" si="853"/>
        <v>0</v>
      </c>
      <c r="U669" s="78">
        <f t="shared" si="853"/>
        <v>0</v>
      </c>
      <c r="V669" s="78">
        <f t="shared" si="853"/>
        <v>0</v>
      </c>
      <c r="W669" s="78">
        <f t="shared" si="853"/>
        <v>0</v>
      </c>
      <c r="X669" s="78">
        <f t="shared" si="853"/>
        <v>0</v>
      </c>
      <c r="Y669" s="78">
        <f t="shared" si="853"/>
        <v>0</v>
      </c>
      <c r="Z669" s="78">
        <f t="shared" si="853"/>
        <v>0</v>
      </c>
      <c r="AA669" s="128">
        <f t="shared" si="833"/>
        <v>81854176518.970001</v>
      </c>
      <c r="AB669" s="128">
        <f t="shared" si="830"/>
        <v>81854176518.970001</v>
      </c>
      <c r="AC669" s="175">
        <f t="shared" si="837"/>
        <v>0.59543088758787277</v>
      </c>
    </row>
    <row r="670" spans="1:29" ht="15.75" x14ac:dyDescent="0.2">
      <c r="B670" s="81" t="s">
        <v>1658</v>
      </c>
      <c r="C670" s="79" t="s">
        <v>1659</v>
      </c>
      <c r="D670" s="78">
        <f>+D671</f>
        <v>0</v>
      </c>
      <c r="E670" s="187">
        <f>SUM('ADICIONES  2021'!C670:I670)</f>
        <v>137470491076.75</v>
      </c>
      <c r="F670" s="78">
        <f t="shared" si="851"/>
        <v>0</v>
      </c>
      <c r="G670" s="78">
        <f t="shared" si="851"/>
        <v>0</v>
      </c>
      <c r="H670" s="78">
        <f t="shared" si="851"/>
        <v>0</v>
      </c>
      <c r="I670" s="78">
        <f t="shared" si="851"/>
        <v>0</v>
      </c>
      <c r="J670" s="78">
        <f t="shared" si="851"/>
        <v>0</v>
      </c>
      <c r="K670" s="128">
        <f t="shared" si="829"/>
        <v>137470491076.75</v>
      </c>
      <c r="L670" s="78">
        <f t="shared" si="852"/>
        <v>0</v>
      </c>
      <c r="M670" s="78">
        <f t="shared" si="852"/>
        <v>0</v>
      </c>
      <c r="N670" s="78">
        <f t="shared" si="852"/>
        <v>0</v>
      </c>
      <c r="O670" s="78">
        <f t="shared" si="852"/>
        <v>0</v>
      </c>
      <c r="P670" s="78">
        <f t="shared" si="852"/>
        <v>0</v>
      </c>
      <c r="Q670" s="408">
        <f t="shared" si="852"/>
        <v>0</v>
      </c>
      <c r="R670" s="128">
        <f t="shared" si="831"/>
        <v>0</v>
      </c>
      <c r="S670" s="78">
        <f t="shared" si="853"/>
        <v>81854176518.970001</v>
      </c>
      <c r="T670" s="78">
        <f t="shared" si="853"/>
        <v>0</v>
      </c>
      <c r="U670" s="78">
        <f t="shared" si="853"/>
        <v>0</v>
      </c>
      <c r="V670" s="78">
        <f t="shared" si="853"/>
        <v>0</v>
      </c>
      <c r="W670" s="78">
        <f t="shared" si="853"/>
        <v>0</v>
      </c>
      <c r="X670" s="78">
        <f t="shared" si="853"/>
        <v>0</v>
      </c>
      <c r="Y670" s="78">
        <f t="shared" si="853"/>
        <v>0</v>
      </c>
      <c r="Z670" s="78">
        <f t="shared" si="853"/>
        <v>0</v>
      </c>
      <c r="AA670" s="128">
        <f t="shared" si="833"/>
        <v>81854176518.970001</v>
      </c>
      <c r="AB670" s="128">
        <f t="shared" si="830"/>
        <v>81854176518.970001</v>
      </c>
      <c r="AC670" s="175">
        <f t="shared" si="837"/>
        <v>0.59543088758787277</v>
      </c>
    </row>
    <row r="671" spans="1:29" ht="31.5" x14ac:dyDescent="0.2">
      <c r="B671" s="81" t="s">
        <v>1660</v>
      </c>
      <c r="C671" s="79" t="s">
        <v>1661</v>
      </c>
      <c r="D671" s="78">
        <f>+D672+D677+D679+D681+D683+D685+D687+D689+D691+D693+D701+D706+D717+D719</f>
        <v>0</v>
      </c>
      <c r="E671" s="187">
        <f>SUM('ADICIONES  2021'!C671:I671)</f>
        <v>137470491076.75</v>
      </c>
      <c r="F671" s="78">
        <f>+F672+F677+F679+F681+F683+F685+F687+F689+F691+F693+F701+F706+F717+F719</f>
        <v>0</v>
      </c>
      <c r="G671" s="78">
        <f>+G672+G677+G679+G681+G683+G685+G687+G689+G691+G693+G701+G706+G717+G719</f>
        <v>0</v>
      </c>
      <c r="H671" s="78">
        <f>+H672+H677+H679+H681+H683+H685+H687+H689+H691+H693+H701+H706+H717+H719</f>
        <v>0</v>
      </c>
      <c r="I671" s="78">
        <f>+I672+I677+I679+I681+I683+I685+I687+I689+I691+I693+I701+I706+I717+I719</f>
        <v>0</v>
      </c>
      <c r="J671" s="78">
        <f>+J672+J677+J679+J681+J683+J685+J687+J689+J691+J693+J701+J706+J717+J719</f>
        <v>0</v>
      </c>
      <c r="K671" s="128">
        <f t="shared" si="829"/>
        <v>137470491076.75</v>
      </c>
      <c r="L671" s="78">
        <f t="shared" ref="L671:Q671" si="854">+L672+L677+L679+L681+L683+L685+L687+L689+L691+L693+L701+L706+L717+L719</f>
        <v>0</v>
      </c>
      <c r="M671" s="78">
        <f t="shared" si="854"/>
        <v>0</v>
      </c>
      <c r="N671" s="78">
        <f t="shared" si="854"/>
        <v>0</v>
      </c>
      <c r="O671" s="78">
        <f t="shared" si="854"/>
        <v>0</v>
      </c>
      <c r="P671" s="78">
        <f t="shared" si="854"/>
        <v>0</v>
      </c>
      <c r="Q671" s="408">
        <f t="shared" si="854"/>
        <v>0</v>
      </c>
      <c r="R671" s="128">
        <f t="shared" si="831"/>
        <v>0</v>
      </c>
      <c r="S671" s="78">
        <f>+S672+S677+S679+S681+S683+S685+S687+S689+S691+S693+S701+S706+S717+S719</f>
        <v>81854176518.970001</v>
      </c>
      <c r="T671" s="78">
        <f t="shared" ref="T671:Z671" si="855">+T672+T677+T679+T681+T683+T685+T687+T689+T691+T693+T701+T706+T717+T719</f>
        <v>0</v>
      </c>
      <c r="U671" s="78">
        <f t="shared" si="855"/>
        <v>0</v>
      </c>
      <c r="V671" s="78">
        <f t="shared" si="855"/>
        <v>0</v>
      </c>
      <c r="W671" s="78">
        <f t="shared" si="855"/>
        <v>0</v>
      </c>
      <c r="X671" s="78">
        <f t="shared" si="855"/>
        <v>0</v>
      </c>
      <c r="Y671" s="78">
        <f t="shared" si="855"/>
        <v>0</v>
      </c>
      <c r="Z671" s="78">
        <f t="shared" si="855"/>
        <v>0</v>
      </c>
      <c r="AA671" s="128">
        <f t="shared" si="833"/>
        <v>81854176518.970001</v>
      </c>
      <c r="AB671" s="128">
        <f t="shared" si="830"/>
        <v>81854176518.970001</v>
      </c>
      <c r="AC671" s="175">
        <f t="shared" si="837"/>
        <v>0.59543088758787277</v>
      </c>
    </row>
    <row r="672" spans="1:29" ht="15.75" x14ac:dyDescent="0.2">
      <c r="B672" s="81" t="s">
        <v>1662</v>
      </c>
      <c r="C672" s="79" t="s">
        <v>1663</v>
      </c>
      <c r="D672" s="78">
        <f>+D673</f>
        <v>0</v>
      </c>
      <c r="E672" s="187">
        <f>SUM('ADICIONES  2021'!C672:I672)</f>
        <v>9474523795.8700008</v>
      </c>
      <c r="F672" s="78">
        <f>+F673</f>
        <v>0</v>
      </c>
      <c r="G672" s="78">
        <f>+G673</f>
        <v>0</v>
      </c>
      <c r="H672" s="78">
        <f>+H673</f>
        <v>0</v>
      </c>
      <c r="I672" s="78">
        <f>+I673</f>
        <v>0</v>
      </c>
      <c r="J672" s="78">
        <f>+J673</f>
        <v>0</v>
      </c>
      <c r="K672" s="128">
        <f t="shared" si="829"/>
        <v>9474523795.8700008</v>
      </c>
      <c r="L672" s="78">
        <f t="shared" ref="L672:Q672" si="856">+L673</f>
        <v>0</v>
      </c>
      <c r="M672" s="78">
        <f t="shared" si="856"/>
        <v>0</v>
      </c>
      <c r="N672" s="78">
        <f t="shared" si="856"/>
        <v>0</v>
      </c>
      <c r="O672" s="78">
        <f t="shared" si="856"/>
        <v>0</v>
      </c>
      <c r="P672" s="78">
        <f t="shared" si="856"/>
        <v>0</v>
      </c>
      <c r="Q672" s="408">
        <f t="shared" si="856"/>
        <v>0</v>
      </c>
      <c r="R672" s="128">
        <f t="shared" si="831"/>
        <v>0</v>
      </c>
      <c r="S672" s="78">
        <f>+S673</f>
        <v>9474523795.8700008</v>
      </c>
      <c r="T672" s="78">
        <f t="shared" ref="T672:Z672" si="857">+T673</f>
        <v>0</v>
      </c>
      <c r="U672" s="78">
        <f t="shared" si="857"/>
        <v>0</v>
      </c>
      <c r="V672" s="78">
        <f t="shared" si="857"/>
        <v>0</v>
      </c>
      <c r="W672" s="78">
        <f t="shared" si="857"/>
        <v>0</v>
      </c>
      <c r="X672" s="78">
        <f t="shared" si="857"/>
        <v>0</v>
      </c>
      <c r="Y672" s="78">
        <f t="shared" si="857"/>
        <v>0</v>
      </c>
      <c r="Z672" s="78">
        <f t="shared" si="857"/>
        <v>0</v>
      </c>
      <c r="AA672" s="128">
        <f t="shared" si="833"/>
        <v>9474523795.8700008</v>
      </c>
      <c r="AB672" s="128">
        <f t="shared" si="830"/>
        <v>9474523795.8700008</v>
      </c>
      <c r="AC672" s="175">
        <f t="shared" si="837"/>
        <v>1</v>
      </c>
    </row>
    <row r="673" spans="2:29" ht="47.25" x14ac:dyDescent="0.2">
      <c r="B673" s="81" t="s">
        <v>1664</v>
      </c>
      <c r="C673" s="79" t="s">
        <v>1665</v>
      </c>
      <c r="D673" s="78">
        <f>SUM(D674:D676)</f>
        <v>0</v>
      </c>
      <c r="E673" s="187">
        <f>SUM('ADICIONES  2021'!C673:I673)</f>
        <v>9474523795.8700008</v>
      </c>
      <c r="F673" s="78">
        <f>SUM(F674:F676)</f>
        <v>0</v>
      </c>
      <c r="G673" s="78">
        <f>SUM(G674:G676)</f>
        <v>0</v>
      </c>
      <c r="H673" s="78">
        <f>SUM(H674:H676)</f>
        <v>0</v>
      </c>
      <c r="I673" s="78">
        <f>SUM(I674:I676)</f>
        <v>0</v>
      </c>
      <c r="J673" s="78">
        <f>SUM(J674:J676)</f>
        <v>0</v>
      </c>
      <c r="K673" s="128">
        <f t="shared" si="829"/>
        <v>9474523795.8700008</v>
      </c>
      <c r="L673" s="78">
        <f t="shared" ref="L673:Q673" si="858">SUM(L674:L676)</f>
        <v>0</v>
      </c>
      <c r="M673" s="78">
        <f t="shared" si="858"/>
        <v>0</v>
      </c>
      <c r="N673" s="78">
        <f t="shared" si="858"/>
        <v>0</v>
      </c>
      <c r="O673" s="78">
        <f t="shared" si="858"/>
        <v>0</v>
      </c>
      <c r="P673" s="78">
        <f t="shared" si="858"/>
        <v>0</v>
      </c>
      <c r="Q673" s="408">
        <f t="shared" si="858"/>
        <v>0</v>
      </c>
      <c r="R673" s="128">
        <f t="shared" si="831"/>
        <v>0</v>
      </c>
      <c r="S673" s="78">
        <f>SUM(S674:S676)</f>
        <v>9474523795.8700008</v>
      </c>
      <c r="T673" s="78">
        <f t="shared" ref="T673:Z673" si="859">SUM(T674:T676)</f>
        <v>0</v>
      </c>
      <c r="U673" s="78">
        <f t="shared" si="859"/>
        <v>0</v>
      </c>
      <c r="V673" s="78">
        <f t="shared" si="859"/>
        <v>0</v>
      </c>
      <c r="W673" s="78">
        <f t="shared" si="859"/>
        <v>0</v>
      </c>
      <c r="X673" s="78">
        <f t="shared" si="859"/>
        <v>0</v>
      </c>
      <c r="Y673" s="78">
        <f t="shared" si="859"/>
        <v>0</v>
      </c>
      <c r="Z673" s="78">
        <f t="shared" si="859"/>
        <v>0</v>
      </c>
      <c r="AA673" s="128">
        <f t="shared" si="833"/>
        <v>9474523795.8700008</v>
      </c>
      <c r="AB673" s="128">
        <f t="shared" si="830"/>
        <v>9474523795.8700008</v>
      </c>
      <c r="AC673" s="175">
        <f t="shared" si="837"/>
        <v>1</v>
      </c>
    </row>
    <row r="674" spans="2:29" ht="14.25" x14ac:dyDescent="0.2">
      <c r="B674" s="76" t="s">
        <v>1666</v>
      </c>
      <c r="C674" s="77" t="s">
        <v>1667</v>
      </c>
      <c r="D674" s="128"/>
      <c r="E674" s="188">
        <f>SUM('ADICIONES  2021'!C674:I674)</f>
        <v>9462323795.8700008</v>
      </c>
      <c r="F674" s="128"/>
      <c r="G674" s="128"/>
      <c r="H674" s="128"/>
      <c r="I674" s="128"/>
      <c r="J674" s="128"/>
      <c r="K674" s="128">
        <f t="shared" si="829"/>
        <v>9462323795.8700008</v>
      </c>
      <c r="L674" s="128"/>
      <c r="M674" s="128"/>
      <c r="N674" s="128"/>
      <c r="O674" s="128"/>
      <c r="P674" s="128"/>
      <c r="Q674" s="413"/>
      <c r="R674" s="128">
        <f t="shared" si="831"/>
        <v>0</v>
      </c>
      <c r="S674" s="128">
        <v>9462323795.8700008</v>
      </c>
      <c r="T674" s="128"/>
      <c r="U674" s="128"/>
      <c r="V674" s="128"/>
      <c r="W674" s="128"/>
      <c r="X674" s="128"/>
      <c r="Y674" s="128"/>
      <c r="Z674" s="128"/>
      <c r="AA674" s="128">
        <f t="shared" si="833"/>
        <v>9462323795.8700008</v>
      </c>
      <c r="AB674" s="128">
        <f t="shared" si="830"/>
        <v>9462323795.8700008</v>
      </c>
      <c r="AC674" s="175">
        <f t="shared" si="837"/>
        <v>1</v>
      </c>
    </row>
    <row r="675" spans="2:29" ht="14.25" x14ac:dyDescent="0.2">
      <c r="B675" s="76" t="s">
        <v>1668</v>
      </c>
      <c r="C675" s="77" t="s">
        <v>1669</v>
      </c>
      <c r="D675" s="128"/>
      <c r="E675" s="188">
        <f>SUM('ADICIONES  2021'!C675:I675)</f>
        <v>9500000</v>
      </c>
      <c r="F675" s="128"/>
      <c r="G675" s="128"/>
      <c r="H675" s="128"/>
      <c r="I675" s="128"/>
      <c r="J675" s="128"/>
      <c r="K675" s="128">
        <f t="shared" si="829"/>
        <v>9500000</v>
      </c>
      <c r="L675" s="128"/>
      <c r="M675" s="128"/>
      <c r="N675" s="128"/>
      <c r="O675" s="128"/>
      <c r="P675" s="128"/>
      <c r="Q675" s="413"/>
      <c r="R675" s="128">
        <f t="shared" si="831"/>
        <v>0</v>
      </c>
      <c r="S675" s="128">
        <v>9500000</v>
      </c>
      <c r="T675" s="128"/>
      <c r="U675" s="128"/>
      <c r="V675" s="128"/>
      <c r="W675" s="128"/>
      <c r="X675" s="128"/>
      <c r="Y675" s="128"/>
      <c r="Z675" s="128"/>
      <c r="AA675" s="128">
        <f t="shared" si="833"/>
        <v>9500000</v>
      </c>
      <c r="AB675" s="128">
        <f t="shared" si="830"/>
        <v>9500000</v>
      </c>
      <c r="AC675" s="175">
        <f t="shared" si="837"/>
        <v>1</v>
      </c>
    </row>
    <row r="676" spans="2:29" ht="14.25" x14ac:dyDescent="0.2">
      <c r="B676" s="76" t="s">
        <v>1670</v>
      </c>
      <c r="C676" s="77" t="s">
        <v>1671</v>
      </c>
      <c r="D676" s="128"/>
      <c r="E676" s="188">
        <f>SUM('ADICIONES  2021'!C676:I676)</f>
        <v>2700000</v>
      </c>
      <c r="F676" s="128"/>
      <c r="G676" s="128"/>
      <c r="H676" s="128"/>
      <c r="I676" s="128"/>
      <c r="J676" s="128"/>
      <c r="K676" s="128">
        <f t="shared" si="829"/>
        <v>2700000</v>
      </c>
      <c r="L676" s="128"/>
      <c r="M676" s="128"/>
      <c r="N676" s="128"/>
      <c r="O676" s="128"/>
      <c r="P676" s="128"/>
      <c r="Q676" s="413"/>
      <c r="R676" s="128">
        <f t="shared" si="831"/>
        <v>0</v>
      </c>
      <c r="S676" s="128">
        <v>2700000</v>
      </c>
      <c r="T676" s="128"/>
      <c r="U676" s="128"/>
      <c r="V676" s="128"/>
      <c r="W676" s="128"/>
      <c r="X676" s="128"/>
      <c r="Y676" s="128"/>
      <c r="Z676" s="128"/>
      <c r="AA676" s="128">
        <f t="shared" si="833"/>
        <v>2700000</v>
      </c>
      <c r="AB676" s="128">
        <f t="shared" si="830"/>
        <v>2700000</v>
      </c>
      <c r="AC676" s="175">
        <f t="shared" si="837"/>
        <v>1</v>
      </c>
    </row>
    <row r="677" spans="2:29" ht="31.5" x14ac:dyDescent="0.2">
      <c r="B677" s="81" t="s">
        <v>1672</v>
      </c>
      <c r="C677" s="79" t="s">
        <v>1673</v>
      </c>
      <c r="D677" s="78">
        <f>+D678</f>
        <v>0</v>
      </c>
      <c r="E677" s="187">
        <f>SUM('ADICIONES  2021'!C677:I677)</f>
        <v>36050864285.730003</v>
      </c>
      <c r="F677" s="78">
        <f>+F678</f>
        <v>0</v>
      </c>
      <c r="G677" s="78">
        <f>+G678</f>
        <v>0</v>
      </c>
      <c r="H677" s="78">
        <f>+H678</f>
        <v>0</v>
      </c>
      <c r="I677" s="78">
        <f>+I678</f>
        <v>0</v>
      </c>
      <c r="J677" s="78">
        <f>+J678</f>
        <v>0</v>
      </c>
      <c r="K677" s="128">
        <f t="shared" si="829"/>
        <v>36050864285.730003</v>
      </c>
      <c r="L677" s="78">
        <f t="shared" ref="L677:Q677" si="860">+L678</f>
        <v>0</v>
      </c>
      <c r="M677" s="78">
        <f t="shared" si="860"/>
        <v>0</v>
      </c>
      <c r="N677" s="78">
        <f t="shared" si="860"/>
        <v>0</v>
      </c>
      <c r="O677" s="78">
        <f t="shared" si="860"/>
        <v>0</v>
      </c>
      <c r="P677" s="78">
        <f t="shared" si="860"/>
        <v>0</v>
      </c>
      <c r="Q677" s="408">
        <f t="shared" si="860"/>
        <v>0</v>
      </c>
      <c r="R677" s="128">
        <f t="shared" si="831"/>
        <v>0</v>
      </c>
      <c r="S677" s="78">
        <f t="shared" ref="S677:Z677" si="861">+S678</f>
        <v>0</v>
      </c>
      <c r="T677" s="78">
        <f t="shared" si="861"/>
        <v>0</v>
      </c>
      <c r="U677" s="78">
        <f t="shared" si="861"/>
        <v>0</v>
      </c>
      <c r="V677" s="78">
        <f t="shared" si="861"/>
        <v>0</v>
      </c>
      <c r="W677" s="78">
        <f t="shared" si="861"/>
        <v>0</v>
      </c>
      <c r="X677" s="78">
        <f t="shared" si="861"/>
        <v>0</v>
      </c>
      <c r="Y677" s="78">
        <f t="shared" si="861"/>
        <v>0</v>
      </c>
      <c r="Z677" s="78">
        <f t="shared" si="861"/>
        <v>0</v>
      </c>
      <c r="AA677" s="128">
        <f t="shared" si="833"/>
        <v>0</v>
      </c>
      <c r="AB677" s="128">
        <f t="shared" si="830"/>
        <v>0</v>
      </c>
      <c r="AC677" s="175">
        <f t="shared" si="837"/>
        <v>0</v>
      </c>
    </row>
    <row r="678" spans="2:29" ht="28.5" x14ac:dyDescent="0.2">
      <c r="B678" s="76" t="s">
        <v>1674</v>
      </c>
      <c r="C678" s="77" t="s">
        <v>1675</v>
      </c>
      <c r="D678" s="128"/>
      <c r="E678" s="188">
        <f>SUM('ADICIONES  2021'!C678:I678)</f>
        <v>36050864285.730003</v>
      </c>
      <c r="F678" s="128"/>
      <c r="G678" s="128"/>
      <c r="H678" s="128"/>
      <c r="I678" s="128"/>
      <c r="J678" s="128"/>
      <c r="K678" s="128">
        <f t="shared" si="829"/>
        <v>36050864285.730003</v>
      </c>
      <c r="L678" s="128"/>
      <c r="M678" s="128"/>
      <c r="N678" s="128"/>
      <c r="O678" s="128"/>
      <c r="P678" s="128"/>
      <c r="Q678" s="413"/>
      <c r="R678" s="128">
        <f t="shared" si="831"/>
        <v>0</v>
      </c>
      <c r="S678" s="128"/>
      <c r="T678" s="128"/>
      <c r="U678" s="128"/>
      <c r="V678" s="128"/>
      <c r="W678" s="128"/>
      <c r="X678" s="128"/>
      <c r="Y678" s="128"/>
      <c r="Z678" s="128"/>
      <c r="AA678" s="128">
        <f t="shared" si="833"/>
        <v>0</v>
      </c>
      <c r="AB678" s="128">
        <f t="shared" si="830"/>
        <v>0</v>
      </c>
      <c r="AC678" s="175">
        <f t="shared" si="837"/>
        <v>0</v>
      </c>
    </row>
    <row r="679" spans="2:29" ht="15.75" x14ac:dyDescent="0.2">
      <c r="B679" s="81" t="s">
        <v>1676</v>
      </c>
      <c r="C679" s="79" t="s">
        <v>1677</v>
      </c>
      <c r="D679" s="78">
        <f>+D680</f>
        <v>0</v>
      </c>
      <c r="E679" s="187">
        <f>SUM('ADICIONES  2021'!C679:I679)</f>
        <v>10500000</v>
      </c>
      <c r="F679" s="78">
        <f>+F680</f>
        <v>0</v>
      </c>
      <c r="G679" s="78">
        <f>+G680</f>
        <v>0</v>
      </c>
      <c r="H679" s="78">
        <f>+H680</f>
        <v>0</v>
      </c>
      <c r="I679" s="78">
        <f>+I680</f>
        <v>0</v>
      </c>
      <c r="J679" s="78">
        <f>+J680</f>
        <v>0</v>
      </c>
      <c r="K679" s="128">
        <f t="shared" si="829"/>
        <v>10500000</v>
      </c>
      <c r="L679" s="78">
        <f t="shared" ref="L679:Q679" si="862">+L680</f>
        <v>0</v>
      </c>
      <c r="M679" s="78">
        <f t="shared" si="862"/>
        <v>0</v>
      </c>
      <c r="N679" s="78">
        <f t="shared" si="862"/>
        <v>0</v>
      </c>
      <c r="O679" s="78">
        <f t="shared" si="862"/>
        <v>0</v>
      </c>
      <c r="P679" s="78">
        <f t="shared" si="862"/>
        <v>0</v>
      </c>
      <c r="Q679" s="408">
        <f t="shared" si="862"/>
        <v>0</v>
      </c>
      <c r="R679" s="128">
        <f t="shared" si="831"/>
        <v>0</v>
      </c>
      <c r="S679" s="78">
        <f t="shared" ref="S679:Z679" si="863">+S680</f>
        <v>10500000</v>
      </c>
      <c r="T679" s="78">
        <f t="shared" si="863"/>
        <v>0</v>
      </c>
      <c r="U679" s="78">
        <f t="shared" si="863"/>
        <v>0</v>
      </c>
      <c r="V679" s="78">
        <f t="shared" si="863"/>
        <v>0</v>
      </c>
      <c r="W679" s="78">
        <f t="shared" si="863"/>
        <v>0</v>
      </c>
      <c r="X679" s="78">
        <f t="shared" si="863"/>
        <v>0</v>
      </c>
      <c r="Y679" s="78">
        <f t="shared" si="863"/>
        <v>0</v>
      </c>
      <c r="Z679" s="78">
        <f t="shared" si="863"/>
        <v>0</v>
      </c>
      <c r="AA679" s="128">
        <f t="shared" si="833"/>
        <v>10500000</v>
      </c>
      <c r="AB679" s="128">
        <f t="shared" si="830"/>
        <v>10500000</v>
      </c>
      <c r="AC679" s="175">
        <f t="shared" si="837"/>
        <v>1</v>
      </c>
    </row>
    <row r="680" spans="2:29" ht="14.25" x14ac:dyDescent="0.2">
      <c r="B680" s="76" t="s">
        <v>1678</v>
      </c>
      <c r="C680" s="77" t="s">
        <v>1679</v>
      </c>
      <c r="D680" s="128"/>
      <c r="E680" s="188">
        <f>SUM('ADICIONES  2021'!C680:I680)</f>
        <v>10500000</v>
      </c>
      <c r="F680" s="128"/>
      <c r="G680" s="128"/>
      <c r="H680" s="128"/>
      <c r="I680" s="128"/>
      <c r="J680" s="128"/>
      <c r="K680" s="128">
        <f t="shared" si="829"/>
        <v>10500000</v>
      </c>
      <c r="L680" s="128"/>
      <c r="M680" s="128"/>
      <c r="N680" s="128"/>
      <c r="O680" s="128"/>
      <c r="P680" s="128"/>
      <c r="Q680" s="413"/>
      <c r="R680" s="128">
        <f t="shared" si="831"/>
        <v>0</v>
      </c>
      <c r="S680" s="128">
        <v>10500000</v>
      </c>
      <c r="T680" s="128"/>
      <c r="U680" s="128"/>
      <c r="V680" s="128"/>
      <c r="W680" s="128"/>
      <c r="X680" s="128"/>
      <c r="Y680" s="128"/>
      <c r="Z680" s="128"/>
      <c r="AA680" s="128">
        <f t="shared" si="833"/>
        <v>10500000</v>
      </c>
      <c r="AB680" s="128">
        <f t="shared" si="830"/>
        <v>10500000</v>
      </c>
      <c r="AC680" s="175">
        <f t="shared" si="837"/>
        <v>1</v>
      </c>
    </row>
    <row r="681" spans="2:29" ht="31.5" x14ac:dyDescent="0.2">
      <c r="B681" s="81" t="s">
        <v>1680</v>
      </c>
      <c r="C681" s="79" t="s">
        <v>1681</v>
      </c>
      <c r="D681" s="78">
        <f>+D682</f>
        <v>0</v>
      </c>
      <c r="E681" s="187">
        <f>SUM('ADICIONES  2021'!C681:I681)</f>
        <v>7462000</v>
      </c>
      <c r="F681" s="78">
        <f>+F682</f>
        <v>0</v>
      </c>
      <c r="G681" s="78">
        <f>+G682</f>
        <v>0</v>
      </c>
      <c r="H681" s="78">
        <f>+H682</f>
        <v>0</v>
      </c>
      <c r="I681" s="78">
        <f>+I682</f>
        <v>0</v>
      </c>
      <c r="J681" s="78">
        <f>+J682</f>
        <v>0</v>
      </c>
      <c r="K681" s="128">
        <f t="shared" si="829"/>
        <v>7462000</v>
      </c>
      <c r="L681" s="78">
        <f t="shared" ref="L681:Q681" si="864">+L682</f>
        <v>0</v>
      </c>
      <c r="M681" s="78">
        <f t="shared" si="864"/>
        <v>0</v>
      </c>
      <c r="N681" s="78">
        <f t="shared" si="864"/>
        <v>0</v>
      </c>
      <c r="O681" s="78">
        <f t="shared" si="864"/>
        <v>0</v>
      </c>
      <c r="P681" s="78">
        <f t="shared" si="864"/>
        <v>0</v>
      </c>
      <c r="Q681" s="408">
        <f t="shared" si="864"/>
        <v>0</v>
      </c>
      <c r="R681" s="128">
        <f t="shared" si="831"/>
        <v>0</v>
      </c>
      <c r="S681" s="78">
        <f t="shared" ref="S681:Z681" si="865">+S682</f>
        <v>7462000</v>
      </c>
      <c r="T681" s="78">
        <f t="shared" si="865"/>
        <v>0</v>
      </c>
      <c r="U681" s="78">
        <f t="shared" si="865"/>
        <v>0</v>
      </c>
      <c r="V681" s="78">
        <f t="shared" si="865"/>
        <v>0</v>
      </c>
      <c r="W681" s="78">
        <f t="shared" si="865"/>
        <v>0</v>
      </c>
      <c r="X681" s="78">
        <f t="shared" si="865"/>
        <v>0</v>
      </c>
      <c r="Y681" s="78">
        <f t="shared" si="865"/>
        <v>0</v>
      </c>
      <c r="Z681" s="78">
        <f t="shared" si="865"/>
        <v>0</v>
      </c>
      <c r="AA681" s="128">
        <f t="shared" si="833"/>
        <v>7462000</v>
      </c>
      <c r="AB681" s="128">
        <f t="shared" si="830"/>
        <v>7462000</v>
      </c>
      <c r="AC681" s="175">
        <f t="shared" si="837"/>
        <v>1</v>
      </c>
    </row>
    <row r="682" spans="2:29" ht="14.25" x14ac:dyDescent="0.2">
      <c r="B682" s="76" t="s">
        <v>1682</v>
      </c>
      <c r="C682" s="77" t="s">
        <v>1683</v>
      </c>
      <c r="D682" s="128"/>
      <c r="E682" s="188">
        <f>SUM('ADICIONES  2021'!C682:I682)</f>
        <v>7462000</v>
      </c>
      <c r="F682" s="128"/>
      <c r="G682" s="128"/>
      <c r="H682" s="128"/>
      <c r="I682" s="128"/>
      <c r="J682" s="128"/>
      <c r="K682" s="128">
        <f t="shared" si="829"/>
        <v>7462000</v>
      </c>
      <c r="L682" s="128"/>
      <c r="M682" s="128"/>
      <c r="N682" s="128"/>
      <c r="O682" s="128"/>
      <c r="P682" s="128"/>
      <c r="Q682" s="413"/>
      <c r="R682" s="128">
        <f t="shared" si="831"/>
        <v>0</v>
      </c>
      <c r="S682" s="128">
        <v>7462000</v>
      </c>
      <c r="T682" s="128"/>
      <c r="U682" s="128"/>
      <c r="V682" s="128"/>
      <c r="W682" s="128"/>
      <c r="X682" s="128"/>
      <c r="Y682" s="128"/>
      <c r="Z682" s="128"/>
      <c r="AA682" s="128">
        <f t="shared" si="833"/>
        <v>7462000</v>
      </c>
      <c r="AB682" s="128">
        <f t="shared" si="830"/>
        <v>7462000</v>
      </c>
      <c r="AC682" s="175">
        <f t="shared" si="837"/>
        <v>1</v>
      </c>
    </row>
    <row r="683" spans="2:29" ht="47.25" x14ac:dyDescent="0.2">
      <c r="B683" s="81" t="s">
        <v>1684</v>
      </c>
      <c r="C683" s="79" t="s">
        <v>1685</v>
      </c>
      <c r="D683" s="78">
        <f>+D684</f>
        <v>0</v>
      </c>
      <c r="E683" s="187">
        <f>SUM('ADICIONES  2021'!C683:I683)</f>
        <v>27103488.100000001</v>
      </c>
      <c r="F683" s="78">
        <f>+F684</f>
        <v>0</v>
      </c>
      <c r="G683" s="78">
        <f>+G684</f>
        <v>0</v>
      </c>
      <c r="H683" s="78">
        <f>+H684</f>
        <v>0</v>
      </c>
      <c r="I683" s="78">
        <f>+I684</f>
        <v>0</v>
      </c>
      <c r="J683" s="78">
        <f>+J684</f>
        <v>0</v>
      </c>
      <c r="K683" s="128">
        <f t="shared" si="829"/>
        <v>27103488.100000001</v>
      </c>
      <c r="L683" s="78">
        <f t="shared" ref="L683:Q683" si="866">+L684</f>
        <v>0</v>
      </c>
      <c r="M683" s="78">
        <f t="shared" si="866"/>
        <v>0</v>
      </c>
      <c r="N683" s="78">
        <f t="shared" si="866"/>
        <v>0</v>
      </c>
      <c r="O683" s="78">
        <f t="shared" si="866"/>
        <v>0</v>
      </c>
      <c r="P683" s="78">
        <f t="shared" si="866"/>
        <v>0</v>
      </c>
      <c r="Q683" s="408">
        <f t="shared" si="866"/>
        <v>0</v>
      </c>
      <c r="R683" s="128">
        <f t="shared" si="831"/>
        <v>0</v>
      </c>
      <c r="S683" s="78">
        <f t="shared" ref="S683:Z683" si="867">+S684</f>
        <v>27103488.100000001</v>
      </c>
      <c r="T683" s="78">
        <f t="shared" si="867"/>
        <v>0</v>
      </c>
      <c r="U683" s="78">
        <f t="shared" si="867"/>
        <v>0</v>
      </c>
      <c r="V683" s="78">
        <f t="shared" si="867"/>
        <v>0</v>
      </c>
      <c r="W683" s="78">
        <f t="shared" si="867"/>
        <v>0</v>
      </c>
      <c r="X683" s="78">
        <f t="shared" si="867"/>
        <v>0</v>
      </c>
      <c r="Y683" s="78">
        <f t="shared" si="867"/>
        <v>0</v>
      </c>
      <c r="Z683" s="78">
        <f t="shared" si="867"/>
        <v>0</v>
      </c>
      <c r="AA683" s="128">
        <f t="shared" si="833"/>
        <v>27103488.100000001</v>
      </c>
      <c r="AB683" s="128">
        <f t="shared" si="830"/>
        <v>27103488.100000001</v>
      </c>
      <c r="AC683" s="175">
        <f t="shared" si="837"/>
        <v>1</v>
      </c>
    </row>
    <row r="684" spans="2:29" ht="42.75" x14ac:dyDescent="0.2">
      <c r="B684" s="76" t="s">
        <v>1686</v>
      </c>
      <c r="C684" s="77" t="s">
        <v>1685</v>
      </c>
      <c r="D684" s="128"/>
      <c r="E684" s="188">
        <f>SUM('ADICIONES  2021'!C684:I684)</f>
        <v>27103488.100000001</v>
      </c>
      <c r="F684" s="128"/>
      <c r="G684" s="128"/>
      <c r="H684" s="128"/>
      <c r="I684" s="128"/>
      <c r="J684" s="128"/>
      <c r="K684" s="128">
        <f t="shared" si="829"/>
        <v>27103488.100000001</v>
      </c>
      <c r="L684" s="128"/>
      <c r="M684" s="128"/>
      <c r="N684" s="128"/>
      <c r="O684" s="128"/>
      <c r="P684" s="128"/>
      <c r="Q684" s="413"/>
      <c r="R684" s="128">
        <f t="shared" si="831"/>
        <v>0</v>
      </c>
      <c r="S684" s="128">
        <v>27103488.100000001</v>
      </c>
      <c r="T684" s="128"/>
      <c r="U684" s="128"/>
      <c r="V684" s="128"/>
      <c r="W684" s="128"/>
      <c r="X684" s="128"/>
      <c r="Y684" s="128"/>
      <c r="Z684" s="128"/>
      <c r="AA684" s="128">
        <f t="shared" si="833"/>
        <v>27103488.100000001</v>
      </c>
      <c r="AB684" s="128">
        <f t="shared" si="830"/>
        <v>27103488.100000001</v>
      </c>
      <c r="AC684" s="175">
        <f t="shared" si="837"/>
        <v>1</v>
      </c>
    </row>
    <row r="685" spans="2:29" ht="15.75" x14ac:dyDescent="0.2">
      <c r="B685" s="81" t="s">
        <v>1687</v>
      </c>
      <c r="C685" s="79" t="s">
        <v>1688</v>
      </c>
      <c r="D685" s="78">
        <f>+D686</f>
        <v>0</v>
      </c>
      <c r="E685" s="187">
        <f>SUM('ADICIONES  2021'!C685:I685)</f>
        <v>259662713</v>
      </c>
      <c r="F685" s="78">
        <f>+F686</f>
        <v>0</v>
      </c>
      <c r="G685" s="78">
        <f>+G686</f>
        <v>0</v>
      </c>
      <c r="H685" s="78">
        <f>+H686</f>
        <v>0</v>
      </c>
      <c r="I685" s="78">
        <f>+I686</f>
        <v>0</v>
      </c>
      <c r="J685" s="78">
        <f>+J686</f>
        <v>0</v>
      </c>
      <c r="K685" s="128">
        <f t="shared" si="829"/>
        <v>259662713</v>
      </c>
      <c r="L685" s="78">
        <f t="shared" ref="L685:Q685" si="868">+L686</f>
        <v>0</v>
      </c>
      <c r="M685" s="78">
        <f t="shared" si="868"/>
        <v>0</v>
      </c>
      <c r="N685" s="78">
        <f t="shared" si="868"/>
        <v>0</v>
      </c>
      <c r="O685" s="78">
        <f t="shared" si="868"/>
        <v>0</v>
      </c>
      <c r="P685" s="78">
        <f t="shared" si="868"/>
        <v>0</v>
      </c>
      <c r="Q685" s="408">
        <f t="shared" si="868"/>
        <v>0</v>
      </c>
      <c r="R685" s="128">
        <f t="shared" si="831"/>
        <v>0</v>
      </c>
      <c r="S685" s="78">
        <f t="shared" ref="S685:Z685" si="869">+S686</f>
        <v>259662713</v>
      </c>
      <c r="T685" s="78">
        <f t="shared" si="869"/>
        <v>0</v>
      </c>
      <c r="U685" s="78">
        <f t="shared" si="869"/>
        <v>0</v>
      </c>
      <c r="V685" s="78">
        <f t="shared" si="869"/>
        <v>0</v>
      </c>
      <c r="W685" s="78">
        <f t="shared" si="869"/>
        <v>0</v>
      </c>
      <c r="X685" s="78">
        <f t="shared" si="869"/>
        <v>0</v>
      </c>
      <c r="Y685" s="78">
        <f t="shared" si="869"/>
        <v>0</v>
      </c>
      <c r="Z685" s="78">
        <f t="shared" si="869"/>
        <v>0</v>
      </c>
      <c r="AA685" s="128">
        <f t="shared" si="833"/>
        <v>259662713</v>
      </c>
      <c r="AB685" s="128">
        <f t="shared" si="830"/>
        <v>259662713</v>
      </c>
      <c r="AC685" s="175">
        <f t="shared" si="837"/>
        <v>1</v>
      </c>
    </row>
    <row r="686" spans="2:29" ht="14.25" x14ac:dyDescent="0.2">
      <c r="B686" s="76" t="s">
        <v>1689</v>
      </c>
      <c r="C686" s="77" t="s">
        <v>1516</v>
      </c>
      <c r="D686" s="128"/>
      <c r="E686" s="188">
        <f>SUM('ADICIONES  2021'!C686:I686)</f>
        <v>259662713</v>
      </c>
      <c r="F686" s="128"/>
      <c r="G686" s="128"/>
      <c r="H686" s="128"/>
      <c r="I686" s="128"/>
      <c r="J686" s="128"/>
      <c r="K686" s="128">
        <f t="shared" si="829"/>
        <v>259662713</v>
      </c>
      <c r="L686" s="128"/>
      <c r="M686" s="128"/>
      <c r="N686" s="128"/>
      <c r="O686" s="128"/>
      <c r="P686" s="128"/>
      <c r="Q686" s="413"/>
      <c r="R686" s="128">
        <f t="shared" si="831"/>
        <v>0</v>
      </c>
      <c r="S686" s="128">
        <v>259662713</v>
      </c>
      <c r="T686" s="128"/>
      <c r="U686" s="128"/>
      <c r="V686" s="128"/>
      <c r="W686" s="128"/>
      <c r="X686" s="128"/>
      <c r="Y686" s="128"/>
      <c r="Z686" s="128"/>
      <c r="AA686" s="128">
        <f t="shared" si="833"/>
        <v>259662713</v>
      </c>
      <c r="AB686" s="128">
        <f t="shared" si="830"/>
        <v>259662713</v>
      </c>
      <c r="AC686" s="175">
        <f t="shared" si="837"/>
        <v>1</v>
      </c>
    </row>
    <row r="687" spans="2:29" ht="47.25" x14ac:dyDescent="0.2">
      <c r="B687" s="81" t="s">
        <v>1690</v>
      </c>
      <c r="C687" s="79" t="s">
        <v>1691</v>
      </c>
      <c r="D687" s="78">
        <f>+D688</f>
        <v>0</v>
      </c>
      <c r="E687" s="187">
        <f>SUM('ADICIONES  2021'!C687:I687)</f>
        <v>98246400</v>
      </c>
      <c r="F687" s="78">
        <f>+F688</f>
        <v>0</v>
      </c>
      <c r="G687" s="78">
        <f>+G688</f>
        <v>0</v>
      </c>
      <c r="H687" s="78">
        <f>+H688</f>
        <v>0</v>
      </c>
      <c r="I687" s="78">
        <f>+I688</f>
        <v>0</v>
      </c>
      <c r="J687" s="78">
        <f>+J688</f>
        <v>0</v>
      </c>
      <c r="K687" s="128">
        <f t="shared" si="829"/>
        <v>98246400</v>
      </c>
      <c r="L687" s="78">
        <f t="shared" ref="L687:Q687" si="870">+L688</f>
        <v>0</v>
      </c>
      <c r="M687" s="78">
        <f t="shared" si="870"/>
        <v>0</v>
      </c>
      <c r="N687" s="78">
        <f t="shared" si="870"/>
        <v>0</v>
      </c>
      <c r="O687" s="78">
        <f t="shared" si="870"/>
        <v>0</v>
      </c>
      <c r="P687" s="78">
        <f t="shared" si="870"/>
        <v>0</v>
      </c>
      <c r="Q687" s="408">
        <f t="shared" si="870"/>
        <v>0</v>
      </c>
      <c r="R687" s="128">
        <f t="shared" si="831"/>
        <v>0</v>
      </c>
      <c r="S687" s="78">
        <f t="shared" ref="S687:Z687" si="871">+S688</f>
        <v>98246400</v>
      </c>
      <c r="T687" s="78">
        <f t="shared" si="871"/>
        <v>0</v>
      </c>
      <c r="U687" s="78">
        <f t="shared" si="871"/>
        <v>0</v>
      </c>
      <c r="V687" s="78">
        <f t="shared" si="871"/>
        <v>0</v>
      </c>
      <c r="W687" s="78">
        <f t="shared" si="871"/>
        <v>0</v>
      </c>
      <c r="X687" s="78">
        <f t="shared" si="871"/>
        <v>0</v>
      </c>
      <c r="Y687" s="78">
        <f t="shared" si="871"/>
        <v>0</v>
      </c>
      <c r="Z687" s="78">
        <f t="shared" si="871"/>
        <v>0</v>
      </c>
      <c r="AA687" s="128">
        <f t="shared" si="833"/>
        <v>98246400</v>
      </c>
      <c r="AB687" s="128">
        <f t="shared" si="830"/>
        <v>98246400</v>
      </c>
      <c r="AC687" s="175">
        <f t="shared" si="837"/>
        <v>1</v>
      </c>
    </row>
    <row r="688" spans="2:29" ht="28.5" x14ac:dyDescent="0.2">
      <c r="B688" s="76" t="s">
        <v>1692</v>
      </c>
      <c r="C688" s="77" t="s">
        <v>1693</v>
      </c>
      <c r="D688" s="128"/>
      <c r="E688" s="188">
        <f>SUM('ADICIONES  2021'!C688:I688)</f>
        <v>98246400</v>
      </c>
      <c r="F688" s="128"/>
      <c r="G688" s="128"/>
      <c r="H688" s="128"/>
      <c r="I688" s="128"/>
      <c r="J688" s="128"/>
      <c r="K688" s="128">
        <f t="shared" si="829"/>
        <v>98246400</v>
      </c>
      <c r="L688" s="128"/>
      <c r="M688" s="128"/>
      <c r="N688" s="128"/>
      <c r="O688" s="128"/>
      <c r="P688" s="128"/>
      <c r="Q688" s="413"/>
      <c r="R688" s="128">
        <f t="shared" si="831"/>
        <v>0</v>
      </c>
      <c r="S688" s="128">
        <v>98246400</v>
      </c>
      <c r="T688" s="128"/>
      <c r="U688" s="128"/>
      <c r="V688" s="128"/>
      <c r="W688" s="128"/>
      <c r="X688" s="128"/>
      <c r="Y688" s="128"/>
      <c r="Z688" s="128"/>
      <c r="AA688" s="128">
        <f t="shared" si="833"/>
        <v>98246400</v>
      </c>
      <c r="AB688" s="128">
        <f t="shared" si="830"/>
        <v>98246400</v>
      </c>
      <c r="AC688" s="175">
        <f t="shared" si="837"/>
        <v>1</v>
      </c>
    </row>
    <row r="689" spans="2:29" ht="31.5" x14ac:dyDescent="0.2">
      <c r="B689" s="81" t="s">
        <v>1694</v>
      </c>
      <c r="C689" s="79" t="s">
        <v>1695</v>
      </c>
      <c r="D689" s="78">
        <f>+D690</f>
        <v>0</v>
      </c>
      <c r="E689" s="187">
        <f>SUM('ADICIONES  2021'!C689:I689)</f>
        <v>506016671</v>
      </c>
      <c r="F689" s="78">
        <f>+F690</f>
        <v>0</v>
      </c>
      <c r="G689" s="78">
        <f>+G690</f>
        <v>0</v>
      </c>
      <c r="H689" s="78">
        <f>+H690</f>
        <v>0</v>
      </c>
      <c r="I689" s="78">
        <f>+I690</f>
        <v>0</v>
      </c>
      <c r="J689" s="78">
        <f>+J690</f>
        <v>0</v>
      </c>
      <c r="K689" s="128">
        <f t="shared" si="829"/>
        <v>506016671</v>
      </c>
      <c r="L689" s="78">
        <f t="shared" ref="L689:Q689" si="872">+L690</f>
        <v>0</v>
      </c>
      <c r="M689" s="78">
        <f t="shared" si="872"/>
        <v>0</v>
      </c>
      <c r="N689" s="78">
        <f t="shared" si="872"/>
        <v>0</v>
      </c>
      <c r="O689" s="78">
        <f t="shared" si="872"/>
        <v>0</v>
      </c>
      <c r="P689" s="78">
        <f t="shared" si="872"/>
        <v>0</v>
      </c>
      <c r="Q689" s="408">
        <f t="shared" si="872"/>
        <v>0</v>
      </c>
      <c r="R689" s="128">
        <f t="shared" si="831"/>
        <v>0</v>
      </c>
      <c r="S689" s="78">
        <f t="shared" ref="S689:Z689" si="873">+S690</f>
        <v>506016671</v>
      </c>
      <c r="T689" s="78">
        <f t="shared" si="873"/>
        <v>0</v>
      </c>
      <c r="U689" s="78">
        <f t="shared" si="873"/>
        <v>0</v>
      </c>
      <c r="V689" s="78">
        <f t="shared" si="873"/>
        <v>0</v>
      </c>
      <c r="W689" s="78">
        <f t="shared" si="873"/>
        <v>0</v>
      </c>
      <c r="X689" s="78">
        <f t="shared" si="873"/>
        <v>0</v>
      </c>
      <c r="Y689" s="78">
        <f t="shared" si="873"/>
        <v>0</v>
      </c>
      <c r="Z689" s="78">
        <f t="shared" si="873"/>
        <v>0</v>
      </c>
      <c r="AA689" s="128">
        <f t="shared" si="833"/>
        <v>506016671</v>
      </c>
      <c r="AB689" s="128">
        <f t="shared" si="830"/>
        <v>506016671</v>
      </c>
      <c r="AC689" s="175">
        <f t="shared" si="837"/>
        <v>1</v>
      </c>
    </row>
    <row r="690" spans="2:29" ht="28.5" x14ac:dyDescent="0.2">
      <c r="B690" s="76" t="s">
        <v>1696</v>
      </c>
      <c r="C690" s="77" t="s">
        <v>1697</v>
      </c>
      <c r="D690" s="128"/>
      <c r="E690" s="188">
        <f>SUM('ADICIONES  2021'!C690:I690)</f>
        <v>506016671</v>
      </c>
      <c r="F690" s="128"/>
      <c r="G690" s="128"/>
      <c r="H690" s="128"/>
      <c r="I690" s="128"/>
      <c r="J690" s="128"/>
      <c r="K690" s="128">
        <f t="shared" si="829"/>
        <v>506016671</v>
      </c>
      <c r="L690" s="128"/>
      <c r="M690" s="128"/>
      <c r="N690" s="128"/>
      <c r="O690" s="128"/>
      <c r="P690" s="128"/>
      <c r="Q690" s="413"/>
      <c r="R690" s="128">
        <f t="shared" si="831"/>
        <v>0</v>
      </c>
      <c r="S690" s="128">
        <v>506016671</v>
      </c>
      <c r="T690" s="128"/>
      <c r="U690" s="128"/>
      <c r="V690" s="128"/>
      <c r="W690" s="128"/>
      <c r="X690" s="128"/>
      <c r="Y690" s="128"/>
      <c r="Z690" s="128"/>
      <c r="AA690" s="128">
        <f t="shared" si="833"/>
        <v>506016671</v>
      </c>
      <c r="AB690" s="128">
        <f t="shared" si="830"/>
        <v>506016671</v>
      </c>
      <c r="AC690" s="175">
        <f t="shared" si="837"/>
        <v>1</v>
      </c>
    </row>
    <row r="691" spans="2:29" ht="31.5" x14ac:dyDescent="0.2">
      <c r="B691" s="81" t="s">
        <v>1698</v>
      </c>
      <c r="C691" s="79" t="s">
        <v>1699</v>
      </c>
      <c r="D691" s="78">
        <f>+D692</f>
        <v>0</v>
      </c>
      <c r="E691" s="187">
        <f>SUM('ADICIONES  2021'!C691:I691)</f>
        <v>1984436974.3900001</v>
      </c>
      <c r="F691" s="78">
        <f>+F692</f>
        <v>0</v>
      </c>
      <c r="G691" s="78">
        <f>+G692</f>
        <v>0</v>
      </c>
      <c r="H691" s="78">
        <f>+H692</f>
        <v>0</v>
      </c>
      <c r="I691" s="78">
        <f>+I692</f>
        <v>0</v>
      </c>
      <c r="J691" s="78">
        <f>+J692</f>
        <v>0</v>
      </c>
      <c r="K691" s="128">
        <f t="shared" si="829"/>
        <v>1984436974.3900001</v>
      </c>
      <c r="L691" s="78">
        <f t="shared" ref="L691:Q691" si="874">+L692</f>
        <v>0</v>
      </c>
      <c r="M691" s="78">
        <f t="shared" si="874"/>
        <v>0</v>
      </c>
      <c r="N691" s="78">
        <f t="shared" si="874"/>
        <v>0</v>
      </c>
      <c r="O691" s="78">
        <f t="shared" si="874"/>
        <v>0</v>
      </c>
      <c r="P691" s="78">
        <f t="shared" si="874"/>
        <v>0</v>
      </c>
      <c r="Q691" s="408">
        <f t="shared" si="874"/>
        <v>0</v>
      </c>
      <c r="R691" s="128">
        <f t="shared" si="831"/>
        <v>0</v>
      </c>
      <c r="S691" s="78">
        <f t="shared" ref="S691:Z691" si="875">+S692</f>
        <v>1984436974.3900001</v>
      </c>
      <c r="T691" s="78">
        <f t="shared" si="875"/>
        <v>0</v>
      </c>
      <c r="U691" s="78">
        <f t="shared" si="875"/>
        <v>0</v>
      </c>
      <c r="V691" s="78">
        <f t="shared" si="875"/>
        <v>0</v>
      </c>
      <c r="W691" s="78">
        <f t="shared" si="875"/>
        <v>0</v>
      </c>
      <c r="X691" s="78">
        <f t="shared" si="875"/>
        <v>0</v>
      </c>
      <c r="Y691" s="78">
        <f t="shared" si="875"/>
        <v>0</v>
      </c>
      <c r="Z691" s="78">
        <f t="shared" si="875"/>
        <v>0</v>
      </c>
      <c r="AA691" s="128">
        <f t="shared" si="833"/>
        <v>1984436974.3900001</v>
      </c>
      <c r="AB691" s="128">
        <f t="shared" si="830"/>
        <v>1984436974.3900001</v>
      </c>
      <c r="AC691" s="175">
        <f t="shared" si="837"/>
        <v>1</v>
      </c>
    </row>
    <row r="692" spans="2:29" ht="28.5" x14ac:dyDescent="0.2">
      <c r="B692" s="76" t="s">
        <v>1700</v>
      </c>
      <c r="C692" s="77" t="s">
        <v>1701</v>
      </c>
      <c r="D692" s="128"/>
      <c r="E692" s="188">
        <f>SUM('ADICIONES  2021'!C692:I692)</f>
        <v>1984436974.3900001</v>
      </c>
      <c r="F692" s="128"/>
      <c r="G692" s="128"/>
      <c r="H692" s="128"/>
      <c r="I692" s="128"/>
      <c r="J692" s="128"/>
      <c r="K692" s="128">
        <f t="shared" si="829"/>
        <v>1984436974.3900001</v>
      </c>
      <c r="L692" s="128"/>
      <c r="M692" s="128"/>
      <c r="N692" s="128"/>
      <c r="O692" s="128"/>
      <c r="P692" s="128"/>
      <c r="Q692" s="413"/>
      <c r="R692" s="128">
        <f t="shared" si="831"/>
        <v>0</v>
      </c>
      <c r="S692" s="128">
        <v>1984436974.3900001</v>
      </c>
      <c r="T692" s="128"/>
      <c r="U692" s="128"/>
      <c r="V692" s="128"/>
      <c r="W692" s="128"/>
      <c r="X692" s="128"/>
      <c r="Y692" s="128"/>
      <c r="Z692" s="128"/>
      <c r="AA692" s="128">
        <f t="shared" si="833"/>
        <v>1984436974.3900001</v>
      </c>
      <c r="AB692" s="128">
        <f t="shared" si="830"/>
        <v>1984436974.3900001</v>
      </c>
      <c r="AC692" s="175">
        <f t="shared" si="837"/>
        <v>1</v>
      </c>
    </row>
    <row r="693" spans="2:29" ht="15.75" x14ac:dyDescent="0.2">
      <c r="B693" s="81" t="s">
        <v>1702</v>
      </c>
      <c r="C693" s="79" t="s">
        <v>1703</v>
      </c>
      <c r="D693" s="78">
        <f>+D694+D697+D699</f>
        <v>0</v>
      </c>
      <c r="E693" s="187">
        <f>SUM('ADICIONES  2021'!C693:I693)</f>
        <v>9114153339.3700008</v>
      </c>
      <c r="F693" s="78">
        <f>+F694+F697+F699</f>
        <v>0</v>
      </c>
      <c r="G693" s="78">
        <f>+G694+G697+G699</f>
        <v>0</v>
      </c>
      <c r="H693" s="78">
        <f>+H694+H697+H699</f>
        <v>0</v>
      </c>
      <c r="I693" s="78">
        <f>+I694+I697+I699</f>
        <v>0</v>
      </c>
      <c r="J693" s="78">
        <f>+J694+J697+J699</f>
        <v>0</v>
      </c>
      <c r="K693" s="128">
        <f t="shared" si="829"/>
        <v>9114153339.3700008</v>
      </c>
      <c r="L693" s="78">
        <f t="shared" ref="L693:Q693" si="876">+L694+L697+L699</f>
        <v>0</v>
      </c>
      <c r="M693" s="78">
        <f t="shared" si="876"/>
        <v>0</v>
      </c>
      <c r="N693" s="78">
        <f t="shared" si="876"/>
        <v>0</v>
      </c>
      <c r="O693" s="78">
        <f t="shared" si="876"/>
        <v>0</v>
      </c>
      <c r="P693" s="78">
        <f t="shared" si="876"/>
        <v>0</v>
      </c>
      <c r="Q693" s="408">
        <f t="shared" si="876"/>
        <v>0</v>
      </c>
      <c r="R693" s="128">
        <f t="shared" si="831"/>
        <v>0</v>
      </c>
      <c r="S693" s="78">
        <f t="shared" ref="S693:Z693" si="877">+S694+S697+S699</f>
        <v>9114153339.3700008</v>
      </c>
      <c r="T693" s="78">
        <f t="shared" si="877"/>
        <v>0</v>
      </c>
      <c r="U693" s="78">
        <f t="shared" si="877"/>
        <v>0</v>
      </c>
      <c r="V693" s="78">
        <f t="shared" si="877"/>
        <v>0</v>
      </c>
      <c r="W693" s="78">
        <f t="shared" si="877"/>
        <v>0</v>
      </c>
      <c r="X693" s="78">
        <f t="shared" si="877"/>
        <v>0</v>
      </c>
      <c r="Y693" s="78">
        <f t="shared" si="877"/>
        <v>0</v>
      </c>
      <c r="Z693" s="78">
        <f t="shared" si="877"/>
        <v>0</v>
      </c>
      <c r="AA693" s="128">
        <f t="shared" si="833"/>
        <v>9114153339.3700008</v>
      </c>
      <c r="AB693" s="128">
        <f t="shared" si="830"/>
        <v>9114153339.3700008</v>
      </c>
      <c r="AC693" s="175">
        <f t="shared" si="837"/>
        <v>1</v>
      </c>
    </row>
    <row r="694" spans="2:29" ht="15.75" x14ac:dyDescent="0.2">
      <c r="B694" s="81" t="s">
        <v>1704</v>
      </c>
      <c r="C694" s="79" t="s">
        <v>1705</v>
      </c>
      <c r="D694" s="78">
        <f>SUM(D695:D696)</f>
        <v>0</v>
      </c>
      <c r="E694" s="187">
        <f>SUM('ADICIONES  2021'!C694:I694)</f>
        <v>3130592786.1300001</v>
      </c>
      <c r="F694" s="78">
        <f>SUM(F695:F696)</f>
        <v>0</v>
      </c>
      <c r="G694" s="78">
        <f>SUM(G695:G696)</f>
        <v>0</v>
      </c>
      <c r="H694" s="78">
        <f>SUM(H695:H696)</f>
        <v>0</v>
      </c>
      <c r="I694" s="78">
        <f>SUM(I695:I696)</f>
        <v>0</v>
      </c>
      <c r="J694" s="78">
        <f>SUM(J695:J696)</f>
        <v>0</v>
      </c>
      <c r="K694" s="128">
        <f t="shared" si="829"/>
        <v>3130592786.1300001</v>
      </c>
      <c r="L694" s="78">
        <f t="shared" ref="L694:Q694" si="878">SUM(L695:L696)</f>
        <v>0</v>
      </c>
      <c r="M694" s="78">
        <f t="shared" si="878"/>
        <v>0</v>
      </c>
      <c r="N694" s="78">
        <f t="shared" si="878"/>
        <v>0</v>
      </c>
      <c r="O694" s="78">
        <f t="shared" si="878"/>
        <v>0</v>
      </c>
      <c r="P694" s="78">
        <f t="shared" si="878"/>
        <v>0</v>
      </c>
      <c r="Q694" s="408">
        <f t="shared" si="878"/>
        <v>0</v>
      </c>
      <c r="R694" s="128">
        <f t="shared" si="831"/>
        <v>0</v>
      </c>
      <c r="S694" s="78">
        <f t="shared" ref="S694:Z694" si="879">SUM(S695:S696)</f>
        <v>3130592786.1300001</v>
      </c>
      <c r="T694" s="78">
        <f t="shared" si="879"/>
        <v>0</v>
      </c>
      <c r="U694" s="78">
        <f t="shared" si="879"/>
        <v>0</v>
      </c>
      <c r="V694" s="78">
        <f t="shared" si="879"/>
        <v>0</v>
      </c>
      <c r="W694" s="78">
        <f t="shared" si="879"/>
        <v>0</v>
      </c>
      <c r="X694" s="78">
        <f t="shared" si="879"/>
        <v>0</v>
      </c>
      <c r="Y694" s="78">
        <f t="shared" si="879"/>
        <v>0</v>
      </c>
      <c r="Z694" s="78">
        <f t="shared" si="879"/>
        <v>0</v>
      </c>
      <c r="AA694" s="128">
        <f t="shared" si="833"/>
        <v>3130592786.1300001</v>
      </c>
      <c r="AB694" s="128">
        <f t="shared" si="830"/>
        <v>3130592786.1300001</v>
      </c>
      <c r="AC694" s="175">
        <f t="shared" si="837"/>
        <v>1</v>
      </c>
    </row>
    <row r="695" spans="2:29" ht="28.5" x14ac:dyDescent="0.2">
      <c r="B695" s="76" t="s">
        <v>1706</v>
      </c>
      <c r="C695" s="77" t="s">
        <v>1707</v>
      </c>
      <c r="D695" s="128"/>
      <c r="E695" s="188">
        <f>SUM('ADICIONES  2021'!C695:I695)</f>
        <v>2075464682.5699999</v>
      </c>
      <c r="F695" s="128"/>
      <c r="G695" s="128"/>
      <c r="H695" s="128"/>
      <c r="I695" s="128"/>
      <c r="J695" s="128"/>
      <c r="K695" s="128">
        <f t="shared" si="829"/>
        <v>2075464682.5699999</v>
      </c>
      <c r="L695" s="128"/>
      <c r="M695" s="128"/>
      <c r="N695" s="128"/>
      <c r="O695" s="128"/>
      <c r="P695" s="128"/>
      <c r="Q695" s="413"/>
      <c r="R695" s="128">
        <f t="shared" si="831"/>
        <v>0</v>
      </c>
      <c r="S695" s="128">
        <v>2075464682.5699999</v>
      </c>
      <c r="T695" s="128"/>
      <c r="U695" s="128"/>
      <c r="V695" s="128"/>
      <c r="W695" s="128"/>
      <c r="X695" s="128"/>
      <c r="Y695" s="128"/>
      <c r="Z695" s="128"/>
      <c r="AA695" s="128">
        <f t="shared" si="833"/>
        <v>2075464682.5699999</v>
      </c>
      <c r="AB695" s="128">
        <f t="shared" si="830"/>
        <v>2075464682.5699999</v>
      </c>
      <c r="AC695" s="175">
        <f t="shared" si="837"/>
        <v>1</v>
      </c>
    </row>
    <row r="696" spans="2:29" ht="28.5" x14ac:dyDescent="0.2">
      <c r="B696" s="76" t="s">
        <v>1708</v>
      </c>
      <c r="C696" s="77" t="s">
        <v>1709</v>
      </c>
      <c r="D696" s="128"/>
      <c r="E696" s="188">
        <f>SUM('ADICIONES  2021'!C696:I696)</f>
        <v>1055128103.5599999</v>
      </c>
      <c r="F696" s="128"/>
      <c r="G696" s="128"/>
      <c r="H696" s="128"/>
      <c r="I696" s="128"/>
      <c r="J696" s="128"/>
      <c r="K696" s="128">
        <f t="shared" si="829"/>
        <v>1055128103.5599999</v>
      </c>
      <c r="L696" s="128"/>
      <c r="M696" s="128"/>
      <c r="N696" s="128"/>
      <c r="O696" s="128"/>
      <c r="P696" s="128"/>
      <c r="Q696" s="413"/>
      <c r="R696" s="128">
        <f t="shared" si="831"/>
        <v>0</v>
      </c>
      <c r="S696" s="128">
        <v>1055128103.5599999</v>
      </c>
      <c r="T696" s="128"/>
      <c r="U696" s="128"/>
      <c r="V696" s="128"/>
      <c r="W696" s="128"/>
      <c r="X696" s="128"/>
      <c r="Y696" s="128"/>
      <c r="Z696" s="128"/>
      <c r="AA696" s="128">
        <f t="shared" si="833"/>
        <v>1055128103.5599999</v>
      </c>
      <c r="AB696" s="128">
        <f t="shared" si="830"/>
        <v>1055128103.5599999</v>
      </c>
      <c r="AC696" s="175">
        <f t="shared" si="837"/>
        <v>1</v>
      </c>
    </row>
    <row r="697" spans="2:29" ht="31.5" x14ac:dyDescent="0.2">
      <c r="B697" s="81" t="s">
        <v>1710</v>
      </c>
      <c r="C697" s="79" t="s">
        <v>1711</v>
      </c>
      <c r="D697" s="78">
        <f>+D698</f>
        <v>0</v>
      </c>
      <c r="E697" s="187">
        <f>SUM('ADICIONES  2021'!C697:I697)</f>
        <v>5521777550.8400002</v>
      </c>
      <c r="F697" s="78">
        <f>+F698</f>
        <v>0</v>
      </c>
      <c r="G697" s="78">
        <f>+G698</f>
        <v>0</v>
      </c>
      <c r="H697" s="78">
        <f>+H698</f>
        <v>0</v>
      </c>
      <c r="I697" s="78">
        <f>+I698</f>
        <v>0</v>
      </c>
      <c r="J697" s="78">
        <f>+J698</f>
        <v>0</v>
      </c>
      <c r="K697" s="128">
        <f t="shared" si="829"/>
        <v>5521777550.8400002</v>
      </c>
      <c r="L697" s="78">
        <f t="shared" ref="L697:Q697" si="880">+L698</f>
        <v>0</v>
      </c>
      <c r="M697" s="78">
        <f t="shared" si="880"/>
        <v>0</v>
      </c>
      <c r="N697" s="78">
        <f t="shared" si="880"/>
        <v>0</v>
      </c>
      <c r="O697" s="78">
        <f t="shared" si="880"/>
        <v>0</v>
      </c>
      <c r="P697" s="78">
        <f t="shared" si="880"/>
        <v>0</v>
      </c>
      <c r="Q697" s="408">
        <f t="shared" si="880"/>
        <v>0</v>
      </c>
      <c r="R697" s="128">
        <f t="shared" si="831"/>
        <v>0</v>
      </c>
      <c r="S697" s="78">
        <f t="shared" ref="S697:Z697" si="881">+S698</f>
        <v>5521777550.8400002</v>
      </c>
      <c r="T697" s="78">
        <f t="shared" si="881"/>
        <v>0</v>
      </c>
      <c r="U697" s="78">
        <f t="shared" si="881"/>
        <v>0</v>
      </c>
      <c r="V697" s="78">
        <f t="shared" si="881"/>
        <v>0</v>
      </c>
      <c r="W697" s="78">
        <f t="shared" si="881"/>
        <v>0</v>
      </c>
      <c r="X697" s="78">
        <f t="shared" si="881"/>
        <v>0</v>
      </c>
      <c r="Y697" s="78">
        <f t="shared" si="881"/>
        <v>0</v>
      </c>
      <c r="Z697" s="78">
        <f t="shared" si="881"/>
        <v>0</v>
      </c>
      <c r="AA697" s="128">
        <f t="shared" si="833"/>
        <v>5521777550.8400002</v>
      </c>
      <c r="AB697" s="128">
        <f t="shared" si="830"/>
        <v>5521777550.8400002</v>
      </c>
      <c r="AC697" s="175">
        <f t="shared" si="837"/>
        <v>1</v>
      </c>
    </row>
    <row r="698" spans="2:29" ht="14.25" x14ac:dyDescent="0.2">
      <c r="B698" s="76" t="s">
        <v>1712</v>
      </c>
      <c r="C698" s="77" t="s">
        <v>1713</v>
      </c>
      <c r="D698" s="128"/>
      <c r="E698" s="188">
        <f>SUM('ADICIONES  2021'!C698:I698)</f>
        <v>5521777550.8400002</v>
      </c>
      <c r="F698" s="128"/>
      <c r="G698" s="128"/>
      <c r="H698" s="128"/>
      <c r="I698" s="128"/>
      <c r="J698" s="128"/>
      <c r="K698" s="128">
        <f t="shared" si="829"/>
        <v>5521777550.8400002</v>
      </c>
      <c r="L698" s="128"/>
      <c r="M698" s="128"/>
      <c r="N698" s="128"/>
      <c r="O698" s="128"/>
      <c r="P698" s="128"/>
      <c r="Q698" s="413"/>
      <c r="R698" s="128">
        <f t="shared" ref="R698:R761" si="882">SUM(L698:Q698)</f>
        <v>0</v>
      </c>
      <c r="S698" s="128">
        <v>5521777550.8400002</v>
      </c>
      <c r="T698" s="128"/>
      <c r="U698" s="128"/>
      <c r="V698" s="128"/>
      <c r="W698" s="128"/>
      <c r="X698" s="128"/>
      <c r="Y698" s="128"/>
      <c r="Z698" s="128"/>
      <c r="AA698" s="128">
        <f t="shared" si="833"/>
        <v>5521777550.8400002</v>
      </c>
      <c r="AB698" s="128">
        <f t="shared" si="830"/>
        <v>5521777550.8400002</v>
      </c>
      <c r="AC698" s="175">
        <f t="shared" si="837"/>
        <v>1</v>
      </c>
    </row>
    <row r="699" spans="2:29" ht="15.75" x14ac:dyDescent="0.2">
      <c r="B699" s="81" t="s">
        <v>1714</v>
      </c>
      <c r="C699" s="79" t="s">
        <v>1715</v>
      </c>
      <c r="D699" s="78">
        <f>+D700</f>
        <v>0</v>
      </c>
      <c r="E699" s="187">
        <f>SUM('ADICIONES  2021'!C699:I699)</f>
        <v>461783002.39999998</v>
      </c>
      <c r="F699" s="78">
        <f>+F700</f>
        <v>0</v>
      </c>
      <c r="G699" s="78">
        <f>+G700</f>
        <v>0</v>
      </c>
      <c r="H699" s="78">
        <f>+H700</f>
        <v>0</v>
      </c>
      <c r="I699" s="78">
        <f>+I700</f>
        <v>0</v>
      </c>
      <c r="J699" s="78">
        <f>+J700</f>
        <v>0</v>
      </c>
      <c r="K699" s="128">
        <f t="shared" si="829"/>
        <v>461783002.39999998</v>
      </c>
      <c r="L699" s="78">
        <f t="shared" ref="L699:Q699" si="883">+L700</f>
        <v>0</v>
      </c>
      <c r="M699" s="78">
        <f t="shared" si="883"/>
        <v>0</v>
      </c>
      <c r="N699" s="78">
        <f t="shared" si="883"/>
        <v>0</v>
      </c>
      <c r="O699" s="78">
        <f t="shared" si="883"/>
        <v>0</v>
      </c>
      <c r="P699" s="78">
        <f t="shared" si="883"/>
        <v>0</v>
      </c>
      <c r="Q699" s="408">
        <f t="shared" si="883"/>
        <v>0</v>
      </c>
      <c r="R699" s="128">
        <f t="shared" si="882"/>
        <v>0</v>
      </c>
      <c r="S699" s="78">
        <f t="shared" ref="S699:Z699" si="884">+S700</f>
        <v>461783002.39999998</v>
      </c>
      <c r="T699" s="78">
        <f t="shared" si="884"/>
        <v>0</v>
      </c>
      <c r="U699" s="78">
        <f t="shared" si="884"/>
        <v>0</v>
      </c>
      <c r="V699" s="78">
        <f t="shared" si="884"/>
        <v>0</v>
      </c>
      <c r="W699" s="78">
        <f t="shared" si="884"/>
        <v>0</v>
      </c>
      <c r="X699" s="78">
        <f t="shared" si="884"/>
        <v>0</v>
      </c>
      <c r="Y699" s="78">
        <f t="shared" si="884"/>
        <v>0</v>
      </c>
      <c r="Z699" s="78">
        <f t="shared" si="884"/>
        <v>0</v>
      </c>
      <c r="AA699" s="128">
        <f t="shared" si="833"/>
        <v>461783002.39999998</v>
      </c>
      <c r="AB699" s="128">
        <f t="shared" si="830"/>
        <v>461783002.39999998</v>
      </c>
      <c r="AC699" s="175">
        <f t="shared" si="837"/>
        <v>1</v>
      </c>
    </row>
    <row r="700" spans="2:29" ht="14.25" x14ac:dyDescent="0.2">
      <c r="B700" s="76" t="s">
        <v>1716</v>
      </c>
      <c r="C700" s="77" t="s">
        <v>1717</v>
      </c>
      <c r="D700" s="128"/>
      <c r="E700" s="188">
        <f>SUM('ADICIONES  2021'!C700:I700)</f>
        <v>461783002.39999998</v>
      </c>
      <c r="F700" s="128"/>
      <c r="G700" s="128"/>
      <c r="H700" s="128"/>
      <c r="I700" s="128"/>
      <c r="J700" s="128"/>
      <c r="K700" s="128">
        <f t="shared" si="829"/>
        <v>461783002.39999998</v>
      </c>
      <c r="L700" s="128"/>
      <c r="M700" s="128"/>
      <c r="N700" s="128"/>
      <c r="O700" s="128"/>
      <c r="P700" s="128"/>
      <c r="Q700" s="413"/>
      <c r="R700" s="128">
        <f t="shared" si="882"/>
        <v>0</v>
      </c>
      <c r="S700" s="128">
        <v>461783002.39999998</v>
      </c>
      <c r="T700" s="128"/>
      <c r="U700" s="128"/>
      <c r="V700" s="128"/>
      <c r="W700" s="128"/>
      <c r="X700" s="128"/>
      <c r="Y700" s="128"/>
      <c r="Z700" s="128"/>
      <c r="AA700" s="128">
        <f t="shared" si="833"/>
        <v>461783002.39999998</v>
      </c>
      <c r="AB700" s="128">
        <f t="shared" si="830"/>
        <v>461783002.39999998</v>
      </c>
      <c r="AC700" s="175">
        <f t="shared" si="837"/>
        <v>1</v>
      </c>
    </row>
    <row r="701" spans="2:29" ht="31.5" x14ac:dyDescent="0.2">
      <c r="B701" s="81" t="s">
        <v>1718</v>
      </c>
      <c r="C701" s="79" t="s">
        <v>1719</v>
      </c>
      <c r="D701" s="78">
        <f>SUM(D702:D705)</f>
        <v>0</v>
      </c>
      <c r="E701" s="187">
        <f>SUM('ADICIONES  2021'!C701:I701)</f>
        <v>1470257557.6600001</v>
      </c>
      <c r="F701" s="78">
        <f>SUM(F702:F705)</f>
        <v>0</v>
      </c>
      <c r="G701" s="78">
        <f>SUM(G702:G705)</f>
        <v>0</v>
      </c>
      <c r="H701" s="78">
        <f>SUM(H702:H705)</f>
        <v>0</v>
      </c>
      <c r="I701" s="78">
        <f>SUM(I702:I705)</f>
        <v>0</v>
      </c>
      <c r="J701" s="78">
        <f>SUM(J702:J705)</f>
        <v>0</v>
      </c>
      <c r="K701" s="128">
        <f t="shared" si="829"/>
        <v>1470257557.6600001</v>
      </c>
      <c r="L701" s="78">
        <f t="shared" ref="L701:Q701" si="885">SUM(L702:L705)</f>
        <v>0</v>
      </c>
      <c r="M701" s="78">
        <f t="shared" si="885"/>
        <v>0</v>
      </c>
      <c r="N701" s="78">
        <f t="shared" si="885"/>
        <v>0</v>
      </c>
      <c r="O701" s="78">
        <f t="shared" si="885"/>
        <v>0</v>
      </c>
      <c r="P701" s="78">
        <f t="shared" si="885"/>
        <v>0</v>
      </c>
      <c r="Q701" s="408">
        <f t="shared" si="885"/>
        <v>0</v>
      </c>
      <c r="R701" s="128">
        <f t="shared" si="882"/>
        <v>0</v>
      </c>
      <c r="S701" s="78">
        <f t="shared" ref="S701:Z701" si="886">SUM(S702:S705)</f>
        <v>1470257557.6600001</v>
      </c>
      <c r="T701" s="78">
        <f t="shared" si="886"/>
        <v>0</v>
      </c>
      <c r="U701" s="78">
        <f t="shared" si="886"/>
        <v>0</v>
      </c>
      <c r="V701" s="78">
        <f t="shared" si="886"/>
        <v>0</v>
      </c>
      <c r="W701" s="78">
        <f t="shared" si="886"/>
        <v>0</v>
      </c>
      <c r="X701" s="78">
        <f t="shared" si="886"/>
        <v>0</v>
      </c>
      <c r="Y701" s="78">
        <f t="shared" si="886"/>
        <v>0</v>
      </c>
      <c r="Z701" s="78">
        <f t="shared" si="886"/>
        <v>0</v>
      </c>
      <c r="AA701" s="128">
        <f t="shared" si="833"/>
        <v>1470257557.6600001</v>
      </c>
      <c r="AB701" s="128">
        <f t="shared" si="830"/>
        <v>1470257557.6600001</v>
      </c>
      <c r="AC701" s="175">
        <f t="shared" si="837"/>
        <v>1</v>
      </c>
    </row>
    <row r="702" spans="2:29" ht="28.5" x14ac:dyDescent="0.2">
      <c r="B702" s="76" t="s">
        <v>1720</v>
      </c>
      <c r="C702" s="77" t="s">
        <v>1721</v>
      </c>
      <c r="D702" s="128"/>
      <c r="E702" s="188">
        <f>SUM('ADICIONES  2021'!C702:I702)</f>
        <v>387647145.37</v>
      </c>
      <c r="F702" s="128"/>
      <c r="G702" s="128"/>
      <c r="H702" s="128"/>
      <c r="I702" s="128"/>
      <c r="J702" s="128"/>
      <c r="K702" s="128">
        <f t="shared" si="829"/>
        <v>387647145.37</v>
      </c>
      <c r="L702" s="128"/>
      <c r="M702" s="128"/>
      <c r="N702" s="128"/>
      <c r="O702" s="128"/>
      <c r="P702" s="128"/>
      <c r="Q702" s="413"/>
      <c r="R702" s="128">
        <f t="shared" si="882"/>
        <v>0</v>
      </c>
      <c r="S702" s="128">
        <v>387647145.37</v>
      </c>
      <c r="T702" s="128"/>
      <c r="U702" s="128"/>
      <c r="V702" s="128"/>
      <c r="W702" s="128"/>
      <c r="X702" s="128"/>
      <c r="Y702" s="128"/>
      <c r="Z702" s="128"/>
      <c r="AA702" s="128">
        <f t="shared" si="833"/>
        <v>387647145.37</v>
      </c>
      <c r="AB702" s="128">
        <f t="shared" si="830"/>
        <v>387647145.37</v>
      </c>
      <c r="AC702" s="175">
        <f t="shared" si="837"/>
        <v>1</v>
      </c>
    </row>
    <row r="703" spans="2:29" ht="28.5" x14ac:dyDescent="0.2">
      <c r="B703" s="76" t="s">
        <v>1722</v>
      </c>
      <c r="C703" s="77" t="s">
        <v>1723</v>
      </c>
      <c r="D703" s="128"/>
      <c r="E703" s="188">
        <f>SUM('ADICIONES  2021'!C703:I703)</f>
        <v>2113377.75</v>
      </c>
      <c r="F703" s="128"/>
      <c r="G703" s="128"/>
      <c r="H703" s="128"/>
      <c r="I703" s="128"/>
      <c r="J703" s="128"/>
      <c r="K703" s="128">
        <f t="shared" si="829"/>
        <v>2113377.75</v>
      </c>
      <c r="L703" s="128"/>
      <c r="M703" s="128"/>
      <c r="N703" s="128"/>
      <c r="O703" s="128"/>
      <c r="P703" s="128"/>
      <c r="Q703" s="413"/>
      <c r="R703" s="128">
        <f t="shared" si="882"/>
        <v>0</v>
      </c>
      <c r="S703" s="128">
        <v>2113377.75</v>
      </c>
      <c r="T703" s="128"/>
      <c r="U703" s="128"/>
      <c r="V703" s="128"/>
      <c r="W703" s="128"/>
      <c r="X703" s="128"/>
      <c r="Y703" s="128"/>
      <c r="Z703" s="128"/>
      <c r="AA703" s="128">
        <f t="shared" si="833"/>
        <v>2113377.75</v>
      </c>
      <c r="AB703" s="128">
        <f t="shared" si="830"/>
        <v>2113377.75</v>
      </c>
      <c r="AC703" s="175">
        <f t="shared" si="837"/>
        <v>1</v>
      </c>
    </row>
    <row r="704" spans="2:29" ht="28.5" x14ac:dyDescent="0.2">
      <c r="B704" s="76" t="s">
        <v>1724</v>
      </c>
      <c r="C704" s="77" t="s">
        <v>1725</v>
      </c>
      <c r="D704" s="128"/>
      <c r="E704" s="188">
        <f>SUM('ADICIONES  2021'!C704:I704)</f>
        <v>751847814.38</v>
      </c>
      <c r="F704" s="128"/>
      <c r="G704" s="128"/>
      <c r="H704" s="128"/>
      <c r="I704" s="128"/>
      <c r="J704" s="128"/>
      <c r="K704" s="128">
        <f t="shared" si="829"/>
        <v>751847814.38</v>
      </c>
      <c r="L704" s="128"/>
      <c r="M704" s="128"/>
      <c r="N704" s="128"/>
      <c r="O704" s="128"/>
      <c r="P704" s="128"/>
      <c r="Q704" s="413"/>
      <c r="R704" s="128">
        <f t="shared" si="882"/>
        <v>0</v>
      </c>
      <c r="S704" s="128">
        <v>751847814.38</v>
      </c>
      <c r="T704" s="128"/>
      <c r="U704" s="128"/>
      <c r="V704" s="128"/>
      <c r="W704" s="128"/>
      <c r="X704" s="128"/>
      <c r="Y704" s="128"/>
      <c r="Z704" s="128"/>
      <c r="AA704" s="128">
        <f t="shared" si="833"/>
        <v>751847814.38</v>
      </c>
      <c r="AB704" s="128">
        <f t="shared" si="830"/>
        <v>751847814.38</v>
      </c>
      <c r="AC704" s="175">
        <f t="shared" si="837"/>
        <v>1</v>
      </c>
    </row>
    <row r="705" spans="2:29" ht="28.5" x14ac:dyDescent="0.2">
      <c r="B705" s="76" t="s">
        <v>1726</v>
      </c>
      <c r="C705" s="77" t="s">
        <v>1727</v>
      </c>
      <c r="D705" s="128"/>
      <c r="E705" s="188">
        <f>SUM('ADICIONES  2021'!C705:I705)</f>
        <v>328649220.16000003</v>
      </c>
      <c r="F705" s="128"/>
      <c r="G705" s="128"/>
      <c r="H705" s="128"/>
      <c r="I705" s="128"/>
      <c r="J705" s="128"/>
      <c r="K705" s="128">
        <f t="shared" si="829"/>
        <v>328649220.16000003</v>
      </c>
      <c r="L705" s="128"/>
      <c r="M705" s="128"/>
      <c r="N705" s="128"/>
      <c r="O705" s="128"/>
      <c r="P705" s="128"/>
      <c r="Q705" s="413"/>
      <c r="R705" s="128">
        <f t="shared" si="882"/>
        <v>0</v>
      </c>
      <c r="S705" s="128">
        <v>328649220.16000003</v>
      </c>
      <c r="T705" s="128"/>
      <c r="U705" s="128"/>
      <c r="V705" s="128"/>
      <c r="W705" s="128"/>
      <c r="X705" s="128"/>
      <c r="Y705" s="128"/>
      <c r="Z705" s="128"/>
      <c r="AA705" s="128">
        <f t="shared" si="833"/>
        <v>328649220.16000003</v>
      </c>
      <c r="AB705" s="128">
        <f t="shared" si="830"/>
        <v>328649220.16000003</v>
      </c>
      <c r="AC705" s="175">
        <f t="shared" si="837"/>
        <v>1</v>
      </c>
    </row>
    <row r="706" spans="2:29" ht="15.75" x14ac:dyDescent="0.2">
      <c r="B706" s="81" t="s">
        <v>1728</v>
      </c>
      <c r="C706" s="79" t="s">
        <v>1729</v>
      </c>
      <c r="D706" s="78">
        <f>+D707+D709+D711+D713+D715</f>
        <v>0</v>
      </c>
      <c r="E706" s="187">
        <f>SUM('ADICIONES  2021'!C706:I706)</f>
        <v>407056991.80000001</v>
      </c>
      <c r="F706" s="78">
        <f>+F707+F709+F711+F713+F715</f>
        <v>0</v>
      </c>
      <c r="G706" s="78">
        <f>+G707+G709+G711+G713+G715</f>
        <v>0</v>
      </c>
      <c r="H706" s="78">
        <f>+H707+H709+H711+H713+H715</f>
        <v>0</v>
      </c>
      <c r="I706" s="78">
        <f>+I707+I709+I711+I713+I715</f>
        <v>0</v>
      </c>
      <c r="J706" s="78">
        <f>+J707+J709+J711+J713+J715</f>
        <v>0</v>
      </c>
      <c r="K706" s="128">
        <f t="shared" si="829"/>
        <v>407056991.80000001</v>
      </c>
      <c r="L706" s="78">
        <f t="shared" ref="L706:Q706" si="887">+L707+L709+L711+L713+L715</f>
        <v>0</v>
      </c>
      <c r="M706" s="78">
        <f t="shared" si="887"/>
        <v>0</v>
      </c>
      <c r="N706" s="78">
        <f t="shared" si="887"/>
        <v>0</v>
      </c>
      <c r="O706" s="78">
        <f t="shared" si="887"/>
        <v>0</v>
      </c>
      <c r="P706" s="78">
        <f t="shared" si="887"/>
        <v>0</v>
      </c>
      <c r="Q706" s="408">
        <f t="shared" si="887"/>
        <v>0</v>
      </c>
      <c r="R706" s="128">
        <f t="shared" si="882"/>
        <v>0</v>
      </c>
      <c r="S706" s="78">
        <f t="shared" ref="S706:Z706" si="888">+S707+S709+S711+S713+S715</f>
        <v>407056991.80000001</v>
      </c>
      <c r="T706" s="78">
        <f t="shared" si="888"/>
        <v>0</v>
      </c>
      <c r="U706" s="78">
        <f t="shared" si="888"/>
        <v>0</v>
      </c>
      <c r="V706" s="78">
        <f t="shared" si="888"/>
        <v>0</v>
      </c>
      <c r="W706" s="78">
        <f t="shared" si="888"/>
        <v>0</v>
      </c>
      <c r="X706" s="78">
        <f t="shared" si="888"/>
        <v>0</v>
      </c>
      <c r="Y706" s="78">
        <f t="shared" si="888"/>
        <v>0</v>
      </c>
      <c r="Z706" s="78">
        <f t="shared" si="888"/>
        <v>0</v>
      </c>
      <c r="AA706" s="128">
        <f t="shared" si="833"/>
        <v>407056991.80000001</v>
      </c>
      <c r="AB706" s="128">
        <f t="shared" si="830"/>
        <v>407056991.80000001</v>
      </c>
      <c r="AC706" s="175">
        <f t="shared" si="837"/>
        <v>1</v>
      </c>
    </row>
    <row r="707" spans="2:29" ht="31.5" x14ac:dyDescent="0.2">
      <c r="B707" s="81" t="s">
        <v>1730</v>
      </c>
      <c r="C707" s="79" t="s">
        <v>110</v>
      </c>
      <c r="D707" s="78">
        <f>+D708</f>
        <v>0</v>
      </c>
      <c r="E707" s="187">
        <f>SUM('ADICIONES  2021'!C707:I707)</f>
        <v>145325420.40000001</v>
      </c>
      <c r="F707" s="78">
        <f>+F708</f>
        <v>0</v>
      </c>
      <c r="G707" s="78">
        <f>+G708</f>
        <v>0</v>
      </c>
      <c r="H707" s="78">
        <f>+H708</f>
        <v>0</v>
      </c>
      <c r="I707" s="78">
        <f>+I708</f>
        <v>0</v>
      </c>
      <c r="J707" s="78">
        <f>+J708</f>
        <v>0</v>
      </c>
      <c r="K707" s="128">
        <f t="shared" si="829"/>
        <v>145325420.40000001</v>
      </c>
      <c r="L707" s="78">
        <f t="shared" ref="L707:Q707" si="889">+L708</f>
        <v>0</v>
      </c>
      <c r="M707" s="78">
        <f t="shared" si="889"/>
        <v>0</v>
      </c>
      <c r="N707" s="78">
        <f t="shared" si="889"/>
        <v>0</v>
      </c>
      <c r="O707" s="78">
        <f t="shared" si="889"/>
        <v>0</v>
      </c>
      <c r="P707" s="78">
        <f t="shared" si="889"/>
        <v>0</v>
      </c>
      <c r="Q707" s="408">
        <f t="shared" si="889"/>
        <v>0</v>
      </c>
      <c r="R707" s="128">
        <f t="shared" si="882"/>
        <v>0</v>
      </c>
      <c r="S707" s="78">
        <f t="shared" ref="S707:Z707" si="890">+S708</f>
        <v>145325420.40000001</v>
      </c>
      <c r="T707" s="78">
        <f t="shared" si="890"/>
        <v>0</v>
      </c>
      <c r="U707" s="78">
        <f t="shared" si="890"/>
        <v>0</v>
      </c>
      <c r="V707" s="78">
        <f t="shared" si="890"/>
        <v>0</v>
      </c>
      <c r="W707" s="78">
        <f t="shared" si="890"/>
        <v>0</v>
      </c>
      <c r="X707" s="78">
        <f t="shared" si="890"/>
        <v>0</v>
      </c>
      <c r="Y707" s="78">
        <f t="shared" si="890"/>
        <v>0</v>
      </c>
      <c r="Z707" s="78">
        <f t="shared" si="890"/>
        <v>0</v>
      </c>
      <c r="AA707" s="128">
        <f t="shared" si="833"/>
        <v>145325420.40000001</v>
      </c>
      <c r="AB707" s="128">
        <f t="shared" si="830"/>
        <v>145325420.40000001</v>
      </c>
      <c r="AC707" s="175">
        <f t="shared" si="837"/>
        <v>1</v>
      </c>
    </row>
    <row r="708" spans="2:29" ht="28.5" x14ac:dyDescent="0.2">
      <c r="B708" s="76" t="s">
        <v>1731</v>
      </c>
      <c r="C708" s="77" t="s">
        <v>1732</v>
      </c>
      <c r="D708" s="128"/>
      <c r="E708" s="188">
        <f>SUM('ADICIONES  2021'!C708:I708)</f>
        <v>145325420.40000001</v>
      </c>
      <c r="F708" s="128"/>
      <c r="G708" s="128"/>
      <c r="H708" s="128"/>
      <c r="I708" s="128"/>
      <c r="J708" s="128"/>
      <c r="K708" s="128">
        <f t="shared" si="829"/>
        <v>145325420.40000001</v>
      </c>
      <c r="L708" s="128"/>
      <c r="M708" s="128"/>
      <c r="N708" s="128"/>
      <c r="O708" s="128"/>
      <c r="P708" s="128"/>
      <c r="Q708" s="413"/>
      <c r="R708" s="128">
        <f t="shared" si="882"/>
        <v>0</v>
      </c>
      <c r="S708" s="128">
        <v>145325420.40000001</v>
      </c>
      <c r="T708" s="128"/>
      <c r="U708" s="128"/>
      <c r="V708" s="128"/>
      <c r="W708" s="128"/>
      <c r="X708" s="128"/>
      <c r="Y708" s="128"/>
      <c r="Z708" s="128"/>
      <c r="AA708" s="128">
        <f t="shared" si="833"/>
        <v>145325420.40000001</v>
      </c>
      <c r="AB708" s="128">
        <f t="shared" si="830"/>
        <v>145325420.40000001</v>
      </c>
      <c r="AC708" s="175">
        <f t="shared" si="837"/>
        <v>1</v>
      </c>
    </row>
    <row r="709" spans="2:29" ht="31.5" x14ac:dyDescent="0.2">
      <c r="B709" s="81" t="s">
        <v>1733</v>
      </c>
      <c r="C709" s="79" t="s">
        <v>1734</v>
      </c>
      <c r="D709" s="78">
        <f>+D710</f>
        <v>0</v>
      </c>
      <c r="E709" s="187">
        <f>SUM('ADICIONES  2021'!C709:I709)</f>
        <v>95830968</v>
      </c>
      <c r="F709" s="78">
        <f>+F710</f>
        <v>0</v>
      </c>
      <c r="G709" s="78">
        <f>+G710</f>
        <v>0</v>
      </c>
      <c r="H709" s="78">
        <f>+H710</f>
        <v>0</v>
      </c>
      <c r="I709" s="78">
        <f>+I710</f>
        <v>0</v>
      </c>
      <c r="J709" s="78">
        <f>+J710</f>
        <v>0</v>
      </c>
      <c r="K709" s="128">
        <f t="shared" si="829"/>
        <v>95830968</v>
      </c>
      <c r="L709" s="78">
        <f t="shared" ref="L709:Q709" si="891">+L710</f>
        <v>0</v>
      </c>
      <c r="M709" s="78">
        <f t="shared" si="891"/>
        <v>0</v>
      </c>
      <c r="N709" s="78">
        <f t="shared" si="891"/>
        <v>0</v>
      </c>
      <c r="O709" s="78">
        <f t="shared" si="891"/>
        <v>0</v>
      </c>
      <c r="P709" s="78">
        <f t="shared" si="891"/>
        <v>0</v>
      </c>
      <c r="Q709" s="408">
        <f t="shared" si="891"/>
        <v>0</v>
      </c>
      <c r="R709" s="128">
        <f t="shared" si="882"/>
        <v>0</v>
      </c>
      <c r="S709" s="78">
        <f t="shared" ref="S709:Z709" si="892">+S710</f>
        <v>95830968</v>
      </c>
      <c r="T709" s="78">
        <f t="shared" si="892"/>
        <v>0</v>
      </c>
      <c r="U709" s="78">
        <f t="shared" si="892"/>
        <v>0</v>
      </c>
      <c r="V709" s="78">
        <f t="shared" si="892"/>
        <v>0</v>
      </c>
      <c r="W709" s="78">
        <f t="shared" si="892"/>
        <v>0</v>
      </c>
      <c r="X709" s="78">
        <f t="shared" si="892"/>
        <v>0</v>
      </c>
      <c r="Y709" s="78">
        <f t="shared" si="892"/>
        <v>0</v>
      </c>
      <c r="Z709" s="78">
        <f t="shared" si="892"/>
        <v>0</v>
      </c>
      <c r="AA709" s="128">
        <f t="shared" si="833"/>
        <v>95830968</v>
      </c>
      <c r="AB709" s="128">
        <f t="shared" si="830"/>
        <v>95830968</v>
      </c>
      <c r="AC709" s="175">
        <f t="shared" si="837"/>
        <v>1</v>
      </c>
    </row>
    <row r="710" spans="2:29" ht="28.5" x14ac:dyDescent="0.2">
      <c r="B710" s="76" t="s">
        <v>1735</v>
      </c>
      <c r="C710" s="77" t="s">
        <v>1734</v>
      </c>
      <c r="D710" s="128"/>
      <c r="E710" s="188">
        <f>SUM('ADICIONES  2021'!C710:I710)</f>
        <v>95830968</v>
      </c>
      <c r="F710" s="128"/>
      <c r="G710" s="128"/>
      <c r="H710" s="128"/>
      <c r="I710" s="128"/>
      <c r="J710" s="128"/>
      <c r="K710" s="128">
        <f t="shared" si="829"/>
        <v>95830968</v>
      </c>
      <c r="L710" s="128"/>
      <c r="M710" s="128"/>
      <c r="N710" s="128"/>
      <c r="O710" s="128"/>
      <c r="P710" s="128"/>
      <c r="Q710" s="413"/>
      <c r="R710" s="128">
        <f t="shared" si="882"/>
        <v>0</v>
      </c>
      <c r="S710" s="128">
        <v>95830968</v>
      </c>
      <c r="T710" s="128"/>
      <c r="U710" s="128"/>
      <c r="V710" s="128"/>
      <c r="W710" s="128"/>
      <c r="X710" s="128"/>
      <c r="Y710" s="128"/>
      <c r="Z710" s="128"/>
      <c r="AA710" s="128">
        <f t="shared" si="833"/>
        <v>95830968</v>
      </c>
      <c r="AB710" s="128">
        <f t="shared" si="830"/>
        <v>95830968</v>
      </c>
      <c r="AC710" s="175">
        <f t="shared" si="837"/>
        <v>1</v>
      </c>
    </row>
    <row r="711" spans="2:29" ht="31.5" x14ac:dyDescent="0.2">
      <c r="B711" s="81" t="s">
        <v>1736</v>
      </c>
      <c r="C711" s="79" t="s">
        <v>1737</v>
      </c>
      <c r="D711" s="78">
        <f>+D712</f>
        <v>0</v>
      </c>
      <c r="E711" s="187">
        <f>SUM('ADICIONES  2021'!C711:I711)</f>
        <v>14844803.4</v>
      </c>
      <c r="F711" s="78">
        <f>+F712</f>
        <v>0</v>
      </c>
      <c r="G711" s="78">
        <f>+G712</f>
        <v>0</v>
      </c>
      <c r="H711" s="78">
        <f>+H712</f>
        <v>0</v>
      </c>
      <c r="I711" s="78">
        <f>+I712</f>
        <v>0</v>
      </c>
      <c r="J711" s="78">
        <f>+J712</f>
        <v>0</v>
      </c>
      <c r="K711" s="128">
        <f t="shared" si="829"/>
        <v>14844803.4</v>
      </c>
      <c r="L711" s="78">
        <f t="shared" ref="L711:Q711" si="893">+L712</f>
        <v>0</v>
      </c>
      <c r="M711" s="78">
        <f t="shared" si="893"/>
        <v>0</v>
      </c>
      <c r="N711" s="78">
        <f t="shared" si="893"/>
        <v>0</v>
      </c>
      <c r="O711" s="78">
        <f t="shared" si="893"/>
        <v>0</v>
      </c>
      <c r="P711" s="78">
        <f t="shared" si="893"/>
        <v>0</v>
      </c>
      <c r="Q711" s="408">
        <f t="shared" si="893"/>
        <v>0</v>
      </c>
      <c r="R711" s="128">
        <f t="shared" si="882"/>
        <v>0</v>
      </c>
      <c r="S711" s="78">
        <f t="shared" ref="S711:Z711" si="894">+S712</f>
        <v>14844803.4</v>
      </c>
      <c r="T711" s="78">
        <f t="shared" si="894"/>
        <v>0</v>
      </c>
      <c r="U711" s="78">
        <f t="shared" si="894"/>
        <v>0</v>
      </c>
      <c r="V711" s="78">
        <f t="shared" si="894"/>
        <v>0</v>
      </c>
      <c r="W711" s="78">
        <f t="shared" si="894"/>
        <v>0</v>
      </c>
      <c r="X711" s="78">
        <f t="shared" si="894"/>
        <v>0</v>
      </c>
      <c r="Y711" s="78">
        <f t="shared" si="894"/>
        <v>0</v>
      </c>
      <c r="Z711" s="78">
        <f t="shared" si="894"/>
        <v>0</v>
      </c>
      <c r="AA711" s="128">
        <f t="shared" si="833"/>
        <v>14844803.4</v>
      </c>
      <c r="AB711" s="128">
        <f t="shared" si="830"/>
        <v>14844803.4</v>
      </c>
      <c r="AC711" s="175">
        <f t="shared" si="837"/>
        <v>1</v>
      </c>
    </row>
    <row r="712" spans="2:29" ht="28.5" x14ac:dyDescent="0.2">
      <c r="B712" s="76" t="s">
        <v>1738</v>
      </c>
      <c r="C712" s="77" t="s">
        <v>1739</v>
      </c>
      <c r="D712" s="128"/>
      <c r="E712" s="188">
        <f>SUM('ADICIONES  2021'!C712:I712)</f>
        <v>14844803.4</v>
      </c>
      <c r="F712" s="128"/>
      <c r="G712" s="128"/>
      <c r="H712" s="128"/>
      <c r="I712" s="128"/>
      <c r="J712" s="128"/>
      <c r="K712" s="128">
        <f t="shared" si="829"/>
        <v>14844803.4</v>
      </c>
      <c r="L712" s="128"/>
      <c r="M712" s="128"/>
      <c r="N712" s="128"/>
      <c r="O712" s="128"/>
      <c r="P712" s="128"/>
      <c r="Q712" s="413"/>
      <c r="R712" s="128">
        <f t="shared" si="882"/>
        <v>0</v>
      </c>
      <c r="S712" s="128">
        <v>14844803.4</v>
      </c>
      <c r="T712" s="128"/>
      <c r="U712" s="128"/>
      <c r="V712" s="128"/>
      <c r="W712" s="128"/>
      <c r="X712" s="128"/>
      <c r="Y712" s="128"/>
      <c r="Z712" s="128"/>
      <c r="AA712" s="128">
        <f t="shared" si="833"/>
        <v>14844803.4</v>
      </c>
      <c r="AB712" s="128">
        <f t="shared" si="830"/>
        <v>14844803.4</v>
      </c>
      <c r="AC712" s="175">
        <f t="shared" si="837"/>
        <v>1</v>
      </c>
    </row>
    <row r="713" spans="2:29" ht="47.25" x14ac:dyDescent="0.2">
      <c r="B713" s="81" t="s">
        <v>1740</v>
      </c>
      <c r="C713" s="79" t="s">
        <v>1741</v>
      </c>
      <c r="D713" s="78">
        <f>+D714</f>
        <v>0</v>
      </c>
      <c r="E713" s="187">
        <f>SUM('ADICIONES  2021'!C713:I713)</f>
        <v>112000000</v>
      </c>
      <c r="F713" s="78">
        <f>+F714</f>
        <v>0</v>
      </c>
      <c r="G713" s="78">
        <f>+G714</f>
        <v>0</v>
      </c>
      <c r="H713" s="78">
        <f>+H714</f>
        <v>0</v>
      </c>
      <c r="I713" s="78">
        <f>+I714</f>
        <v>0</v>
      </c>
      <c r="J713" s="78">
        <f>+J714</f>
        <v>0</v>
      </c>
      <c r="K713" s="128">
        <f t="shared" si="829"/>
        <v>112000000</v>
      </c>
      <c r="L713" s="78">
        <f t="shared" ref="L713:Q713" si="895">+L714</f>
        <v>0</v>
      </c>
      <c r="M713" s="78">
        <f t="shared" si="895"/>
        <v>0</v>
      </c>
      <c r="N713" s="78">
        <f t="shared" si="895"/>
        <v>0</v>
      </c>
      <c r="O713" s="78">
        <f t="shared" si="895"/>
        <v>0</v>
      </c>
      <c r="P713" s="78">
        <f t="shared" si="895"/>
        <v>0</v>
      </c>
      <c r="Q713" s="408">
        <f t="shared" si="895"/>
        <v>0</v>
      </c>
      <c r="R713" s="128">
        <f t="shared" si="882"/>
        <v>0</v>
      </c>
      <c r="S713" s="78">
        <f t="shared" ref="S713:Z713" si="896">+S714</f>
        <v>112000000</v>
      </c>
      <c r="T713" s="78">
        <f t="shared" si="896"/>
        <v>0</v>
      </c>
      <c r="U713" s="78">
        <f t="shared" si="896"/>
        <v>0</v>
      </c>
      <c r="V713" s="78">
        <f t="shared" si="896"/>
        <v>0</v>
      </c>
      <c r="W713" s="78">
        <f t="shared" si="896"/>
        <v>0</v>
      </c>
      <c r="X713" s="78">
        <f t="shared" si="896"/>
        <v>0</v>
      </c>
      <c r="Y713" s="78">
        <f t="shared" si="896"/>
        <v>0</v>
      </c>
      <c r="Z713" s="78">
        <f t="shared" si="896"/>
        <v>0</v>
      </c>
      <c r="AA713" s="128">
        <f t="shared" si="833"/>
        <v>112000000</v>
      </c>
      <c r="AB713" s="128">
        <f t="shared" si="830"/>
        <v>112000000</v>
      </c>
      <c r="AC713" s="175">
        <f t="shared" si="837"/>
        <v>1</v>
      </c>
    </row>
    <row r="714" spans="2:29" ht="28.5" x14ac:dyDescent="0.2">
      <c r="B714" s="76" t="s">
        <v>1742</v>
      </c>
      <c r="C714" s="77" t="s">
        <v>1743</v>
      </c>
      <c r="D714" s="128"/>
      <c r="E714" s="188">
        <f>SUM('ADICIONES  2021'!C714:I714)</f>
        <v>112000000</v>
      </c>
      <c r="F714" s="128"/>
      <c r="G714" s="128"/>
      <c r="H714" s="128"/>
      <c r="I714" s="128"/>
      <c r="J714" s="128"/>
      <c r="K714" s="128">
        <f t="shared" si="829"/>
        <v>112000000</v>
      </c>
      <c r="L714" s="128"/>
      <c r="M714" s="128"/>
      <c r="N714" s="128"/>
      <c r="O714" s="128"/>
      <c r="P714" s="128"/>
      <c r="Q714" s="413"/>
      <c r="R714" s="128">
        <f t="shared" si="882"/>
        <v>0</v>
      </c>
      <c r="S714" s="128">
        <v>112000000</v>
      </c>
      <c r="T714" s="128"/>
      <c r="U714" s="128"/>
      <c r="V714" s="128"/>
      <c r="W714" s="128"/>
      <c r="X714" s="128"/>
      <c r="Y714" s="128"/>
      <c r="Z714" s="128"/>
      <c r="AA714" s="128">
        <f t="shared" si="833"/>
        <v>112000000</v>
      </c>
      <c r="AB714" s="128">
        <f t="shared" si="830"/>
        <v>112000000</v>
      </c>
      <c r="AC714" s="175">
        <f t="shared" si="837"/>
        <v>1</v>
      </c>
    </row>
    <row r="715" spans="2:29" ht="15.75" x14ac:dyDescent="0.2">
      <c r="B715" s="81" t="s">
        <v>1744</v>
      </c>
      <c r="C715" s="79" t="s">
        <v>1745</v>
      </c>
      <c r="D715" s="78">
        <f>+D716</f>
        <v>0</v>
      </c>
      <c r="E715" s="187">
        <f>SUM('ADICIONES  2021'!C715:I715)</f>
        <v>39055800</v>
      </c>
      <c r="F715" s="78">
        <f>+F716</f>
        <v>0</v>
      </c>
      <c r="G715" s="78">
        <f>+G716</f>
        <v>0</v>
      </c>
      <c r="H715" s="78">
        <f>+H716</f>
        <v>0</v>
      </c>
      <c r="I715" s="78">
        <f>+I716</f>
        <v>0</v>
      </c>
      <c r="J715" s="78">
        <f>+J716</f>
        <v>0</v>
      </c>
      <c r="K715" s="128">
        <f t="shared" si="829"/>
        <v>39055800</v>
      </c>
      <c r="L715" s="78">
        <f t="shared" ref="L715:Q715" si="897">+L716</f>
        <v>0</v>
      </c>
      <c r="M715" s="78">
        <f t="shared" si="897"/>
        <v>0</v>
      </c>
      <c r="N715" s="78">
        <f t="shared" si="897"/>
        <v>0</v>
      </c>
      <c r="O715" s="78">
        <f t="shared" si="897"/>
        <v>0</v>
      </c>
      <c r="P715" s="78">
        <f t="shared" si="897"/>
        <v>0</v>
      </c>
      <c r="Q715" s="408">
        <f t="shared" si="897"/>
        <v>0</v>
      </c>
      <c r="R715" s="128">
        <f t="shared" si="882"/>
        <v>0</v>
      </c>
      <c r="S715" s="78">
        <f t="shared" ref="S715:Z715" si="898">+S716</f>
        <v>39055800</v>
      </c>
      <c r="T715" s="78">
        <f t="shared" si="898"/>
        <v>0</v>
      </c>
      <c r="U715" s="78">
        <f t="shared" si="898"/>
        <v>0</v>
      </c>
      <c r="V715" s="78">
        <f t="shared" si="898"/>
        <v>0</v>
      </c>
      <c r="W715" s="78">
        <f t="shared" si="898"/>
        <v>0</v>
      </c>
      <c r="X715" s="78">
        <f t="shared" si="898"/>
        <v>0</v>
      </c>
      <c r="Y715" s="78">
        <f t="shared" si="898"/>
        <v>0</v>
      </c>
      <c r="Z715" s="78">
        <f t="shared" si="898"/>
        <v>0</v>
      </c>
      <c r="AA715" s="128">
        <f t="shared" si="833"/>
        <v>39055800</v>
      </c>
      <c r="AB715" s="128">
        <f t="shared" si="830"/>
        <v>39055800</v>
      </c>
      <c r="AC715" s="175">
        <f t="shared" si="837"/>
        <v>1</v>
      </c>
    </row>
    <row r="716" spans="2:29" ht="14.25" x14ac:dyDescent="0.2">
      <c r="B716" s="76" t="s">
        <v>1746</v>
      </c>
      <c r="C716" s="77" t="s">
        <v>1747</v>
      </c>
      <c r="D716" s="128"/>
      <c r="E716" s="188">
        <f>SUM('ADICIONES  2021'!C716:I716)</f>
        <v>39055800</v>
      </c>
      <c r="F716" s="128"/>
      <c r="G716" s="128"/>
      <c r="H716" s="128"/>
      <c r="I716" s="128"/>
      <c r="J716" s="128"/>
      <c r="K716" s="128">
        <f t="shared" si="829"/>
        <v>39055800</v>
      </c>
      <c r="L716" s="128"/>
      <c r="M716" s="128"/>
      <c r="N716" s="128"/>
      <c r="O716" s="128"/>
      <c r="P716" s="128"/>
      <c r="Q716" s="413"/>
      <c r="R716" s="128">
        <f t="shared" si="882"/>
        <v>0</v>
      </c>
      <c r="S716" s="128">
        <v>39055800</v>
      </c>
      <c r="T716" s="128"/>
      <c r="U716" s="128"/>
      <c r="V716" s="128"/>
      <c r="W716" s="128"/>
      <c r="X716" s="128"/>
      <c r="Y716" s="128"/>
      <c r="Z716" s="128"/>
      <c r="AA716" s="128">
        <f t="shared" ref="AA716:AA764" si="899">SUM(S716:Z716)</f>
        <v>39055800</v>
      </c>
      <c r="AB716" s="128">
        <f t="shared" si="830"/>
        <v>39055800</v>
      </c>
      <c r="AC716" s="175">
        <f t="shared" si="837"/>
        <v>1</v>
      </c>
    </row>
    <row r="717" spans="2:29" ht="31.5" x14ac:dyDescent="0.2">
      <c r="B717" s="81" t="s">
        <v>1748</v>
      </c>
      <c r="C717" s="79" t="s">
        <v>1749</v>
      </c>
      <c r="D717" s="78">
        <f>+D718</f>
        <v>0</v>
      </c>
      <c r="E717" s="187">
        <f>SUM('ADICIONES  2021'!C717:I717)</f>
        <v>6171202231.1300001</v>
      </c>
      <c r="F717" s="78">
        <f>+F718</f>
        <v>0</v>
      </c>
      <c r="G717" s="78">
        <f>+G718</f>
        <v>0</v>
      </c>
      <c r="H717" s="78">
        <f>+H718</f>
        <v>0</v>
      </c>
      <c r="I717" s="78">
        <f>+I718</f>
        <v>0</v>
      </c>
      <c r="J717" s="78">
        <f>+J718</f>
        <v>0</v>
      </c>
      <c r="K717" s="128">
        <f t="shared" si="829"/>
        <v>6171202231.1300001</v>
      </c>
      <c r="L717" s="78">
        <f t="shared" ref="L717:Q717" si="900">+L718</f>
        <v>0</v>
      </c>
      <c r="M717" s="78">
        <f t="shared" si="900"/>
        <v>0</v>
      </c>
      <c r="N717" s="78">
        <f t="shared" si="900"/>
        <v>0</v>
      </c>
      <c r="O717" s="78">
        <f t="shared" si="900"/>
        <v>0</v>
      </c>
      <c r="P717" s="78">
        <f t="shared" si="900"/>
        <v>0</v>
      </c>
      <c r="Q717" s="408">
        <f t="shared" si="900"/>
        <v>0</v>
      </c>
      <c r="R717" s="128">
        <f t="shared" si="882"/>
        <v>0</v>
      </c>
      <c r="S717" s="78">
        <f t="shared" ref="S717:Z717" si="901">+S718</f>
        <v>6171202231.1300001</v>
      </c>
      <c r="T717" s="78">
        <f t="shared" si="901"/>
        <v>0</v>
      </c>
      <c r="U717" s="78">
        <f t="shared" si="901"/>
        <v>0</v>
      </c>
      <c r="V717" s="78">
        <f t="shared" si="901"/>
        <v>0</v>
      </c>
      <c r="W717" s="78">
        <f t="shared" si="901"/>
        <v>0</v>
      </c>
      <c r="X717" s="78">
        <f t="shared" si="901"/>
        <v>0</v>
      </c>
      <c r="Y717" s="78">
        <f t="shared" si="901"/>
        <v>0</v>
      </c>
      <c r="Z717" s="78">
        <f t="shared" si="901"/>
        <v>0</v>
      </c>
      <c r="AA717" s="128">
        <f t="shared" si="899"/>
        <v>6171202231.1300001</v>
      </c>
      <c r="AB717" s="128">
        <f t="shared" si="830"/>
        <v>6171202231.1300001</v>
      </c>
      <c r="AC717" s="175">
        <f t="shared" ref="AC717:AC764" si="902">+AB717/K717</f>
        <v>1</v>
      </c>
    </row>
    <row r="718" spans="2:29" ht="14.25" x14ac:dyDescent="0.2">
      <c r="B718" s="76" t="s">
        <v>1750</v>
      </c>
      <c r="C718" s="77" t="s">
        <v>1751</v>
      </c>
      <c r="D718" s="128"/>
      <c r="E718" s="188">
        <f>SUM('ADICIONES  2021'!C718:I718)</f>
        <v>6171202231.1300001</v>
      </c>
      <c r="F718" s="128"/>
      <c r="G718" s="128"/>
      <c r="H718" s="128"/>
      <c r="I718" s="128"/>
      <c r="J718" s="128"/>
      <c r="K718" s="128">
        <f t="shared" si="829"/>
        <v>6171202231.1300001</v>
      </c>
      <c r="L718" s="128"/>
      <c r="M718" s="128"/>
      <c r="N718" s="128"/>
      <c r="O718" s="128"/>
      <c r="P718" s="128"/>
      <c r="Q718" s="413"/>
      <c r="R718" s="128">
        <f t="shared" si="882"/>
        <v>0</v>
      </c>
      <c r="S718" s="128">
        <v>6171202231.1300001</v>
      </c>
      <c r="T718" s="128"/>
      <c r="U718" s="128"/>
      <c r="V718" s="128"/>
      <c r="W718" s="128"/>
      <c r="X718" s="128"/>
      <c r="Y718" s="128"/>
      <c r="Z718" s="128"/>
      <c r="AA718" s="128">
        <f t="shared" si="899"/>
        <v>6171202231.1300001</v>
      </c>
      <c r="AB718" s="128">
        <f t="shared" si="830"/>
        <v>6171202231.1300001</v>
      </c>
      <c r="AC718" s="175">
        <f t="shared" si="902"/>
        <v>1</v>
      </c>
    </row>
    <row r="719" spans="2:29" ht="15.75" x14ac:dyDescent="0.2">
      <c r="B719" s="81" t="s">
        <v>1752</v>
      </c>
      <c r="C719" s="79" t="s">
        <v>1753</v>
      </c>
      <c r="D719" s="78">
        <f>SUM(D720:D764)</f>
        <v>0</v>
      </c>
      <c r="E719" s="187">
        <f>SUM('ADICIONES  2021'!C719:I719)</f>
        <v>71889004628.699997</v>
      </c>
      <c r="F719" s="78">
        <f>SUM(F720:F764)</f>
        <v>0</v>
      </c>
      <c r="G719" s="78">
        <f>SUM(G720:G764)</f>
        <v>0</v>
      </c>
      <c r="H719" s="78">
        <f>SUM(H720:H764)</f>
        <v>0</v>
      </c>
      <c r="I719" s="78">
        <f>SUM(I720:I764)</f>
        <v>0</v>
      </c>
      <c r="J719" s="78">
        <f>SUM(J720:J764)</f>
        <v>0</v>
      </c>
      <c r="K719" s="128">
        <f t="shared" si="829"/>
        <v>71889004628.699997</v>
      </c>
      <c r="L719" s="78">
        <f t="shared" ref="L719:Q719" si="903">SUM(L720:L764)</f>
        <v>0</v>
      </c>
      <c r="M719" s="78">
        <f t="shared" si="903"/>
        <v>0</v>
      </c>
      <c r="N719" s="78">
        <f t="shared" si="903"/>
        <v>0</v>
      </c>
      <c r="O719" s="78">
        <f t="shared" si="903"/>
        <v>0</v>
      </c>
      <c r="P719" s="78">
        <f t="shared" si="903"/>
        <v>0</v>
      </c>
      <c r="Q719" s="408">
        <f t="shared" si="903"/>
        <v>0</v>
      </c>
      <c r="R719" s="128">
        <f t="shared" si="882"/>
        <v>0</v>
      </c>
      <c r="S719" s="78">
        <f t="shared" ref="S719:Z719" si="904">SUM(S720:S764)</f>
        <v>52323554356.650002</v>
      </c>
      <c r="T719" s="78">
        <f t="shared" si="904"/>
        <v>0</v>
      </c>
      <c r="U719" s="78">
        <f t="shared" si="904"/>
        <v>0</v>
      </c>
      <c r="V719" s="78">
        <f t="shared" si="904"/>
        <v>0</v>
      </c>
      <c r="W719" s="78">
        <f t="shared" si="904"/>
        <v>0</v>
      </c>
      <c r="X719" s="78">
        <f t="shared" si="904"/>
        <v>0</v>
      </c>
      <c r="Y719" s="78">
        <f t="shared" si="904"/>
        <v>0</v>
      </c>
      <c r="Z719" s="78">
        <f t="shared" si="904"/>
        <v>0</v>
      </c>
      <c r="AA719" s="128">
        <f t="shared" si="899"/>
        <v>52323554356.650002</v>
      </c>
      <c r="AB719" s="128">
        <f t="shared" si="830"/>
        <v>52323554356.650002</v>
      </c>
      <c r="AC719" s="175">
        <f t="shared" si="902"/>
        <v>0.72783806963104136</v>
      </c>
    </row>
    <row r="720" spans="2:29" ht="57" x14ac:dyDescent="0.2">
      <c r="B720" s="76" t="s">
        <v>1754</v>
      </c>
      <c r="C720" s="77" t="s">
        <v>1755</v>
      </c>
      <c r="D720" s="128"/>
      <c r="E720" s="188">
        <f>SUM('ADICIONES  2021'!C720:I720)</f>
        <v>200</v>
      </c>
      <c r="F720" s="128"/>
      <c r="G720" s="128"/>
      <c r="H720" s="128"/>
      <c r="I720" s="128"/>
      <c r="J720" s="128"/>
      <c r="K720" s="128">
        <f t="shared" si="829"/>
        <v>200</v>
      </c>
      <c r="L720" s="128"/>
      <c r="M720" s="128"/>
      <c r="N720" s="128"/>
      <c r="O720" s="128"/>
      <c r="P720" s="128"/>
      <c r="Q720" s="413"/>
      <c r="R720" s="128">
        <f t="shared" si="882"/>
        <v>0</v>
      </c>
      <c r="S720" s="128">
        <v>200</v>
      </c>
      <c r="T720" s="128"/>
      <c r="U720" s="128"/>
      <c r="V720" s="128"/>
      <c r="W720" s="128"/>
      <c r="X720" s="128"/>
      <c r="Y720" s="128"/>
      <c r="Z720" s="128"/>
      <c r="AA720" s="128">
        <f t="shared" si="899"/>
        <v>200</v>
      </c>
      <c r="AB720" s="128">
        <f t="shared" si="830"/>
        <v>200</v>
      </c>
      <c r="AC720" s="175">
        <f t="shared" si="902"/>
        <v>1</v>
      </c>
    </row>
    <row r="721" spans="2:29" ht="57" x14ac:dyDescent="0.2">
      <c r="B721" s="76" t="s">
        <v>1756</v>
      </c>
      <c r="C721" s="77" t="s">
        <v>1757</v>
      </c>
      <c r="D721" s="128"/>
      <c r="E721" s="188">
        <f>SUM('ADICIONES  2021'!C721:I721)</f>
        <v>694330329.00999999</v>
      </c>
      <c r="F721" s="128"/>
      <c r="G721" s="128"/>
      <c r="H721" s="128"/>
      <c r="I721" s="128"/>
      <c r="J721" s="128"/>
      <c r="K721" s="128">
        <f t="shared" si="829"/>
        <v>694330329.00999999</v>
      </c>
      <c r="L721" s="128"/>
      <c r="M721" s="128"/>
      <c r="N721" s="128"/>
      <c r="O721" s="128"/>
      <c r="P721" s="128"/>
      <c r="Q721" s="413"/>
      <c r="R721" s="128">
        <f t="shared" si="882"/>
        <v>0</v>
      </c>
      <c r="S721" s="128">
        <v>694330329.00999999</v>
      </c>
      <c r="T721" s="128"/>
      <c r="U721" s="128"/>
      <c r="V721" s="128"/>
      <c r="W721" s="128"/>
      <c r="X721" s="128"/>
      <c r="Y721" s="128"/>
      <c r="Z721" s="128"/>
      <c r="AA721" s="128">
        <f t="shared" si="899"/>
        <v>694330329.00999999</v>
      </c>
      <c r="AB721" s="128">
        <f t="shared" si="830"/>
        <v>694330329.00999999</v>
      </c>
      <c r="AC721" s="175">
        <f t="shared" si="902"/>
        <v>1</v>
      </c>
    </row>
    <row r="722" spans="2:29" ht="57" x14ac:dyDescent="0.2">
      <c r="B722" s="76" t="s">
        <v>1758</v>
      </c>
      <c r="C722" s="77" t="s">
        <v>1759</v>
      </c>
      <c r="D722" s="128"/>
      <c r="E722" s="188">
        <f>SUM('ADICIONES  2021'!C722:I722)</f>
        <v>769948698.44000006</v>
      </c>
      <c r="F722" s="128"/>
      <c r="G722" s="128"/>
      <c r="H722" s="128"/>
      <c r="I722" s="128"/>
      <c r="J722" s="128"/>
      <c r="K722" s="128">
        <f t="shared" si="829"/>
        <v>769948698.44000006</v>
      </c>
      <c r="L722" s="128"/>
      <c r="M722" s="128"/>
      <c r="N722" s="128"/>
      <c r="O722" s="128"/>
      <c r="P722" s="128"/>
      <c r="Q722" s="413"/>
      <c r="R722" s="128">
        <f t="shared" si="882"/>
        <v>0</v>
      </c>
      <c r="S722" s="128">
        <v>769948698.44000006</v>
      </c>
      <c r="T722" s="128"/>
      <c r="U722" s="128"/>
      <c r="V722" s="128"/>
      <c r="W722" s="128"/>
      <c r="X722" s="128"/>
      <c r="Y722" s="128"/>
      <c r="Z722" s="128"/>
      <c r="AA722" s="128">
        <f t="shared" si="899"/>
        <v>769948698.44000006</v>
      </c>
      <c r="AB722" s="128">
        <f t="shared" si="830"/>
        <v>769948698.44000006</v>
      </c>
      <c r="AC722" s="175">
        <f t="shared" si="902"/>
        <v>1</v>
      </c>
    </row>
    <row r="723" spans="2:29" ht="57" x14ac:dyDescent="0.2">
      <c r="B723" s="76" t="s">
        <v>1760</v>
      </c>
      <c r="C723" s="77" t="s">
        <v>1761</v>
      </c>
      <c r="D723" s="128"/>
      <c r="E723" s="188">
        <f>SUM('ADICIONES  2021'!C723:I723)</f>
        <v>145723443.94</v>
      </c>
      <c r="F723" s="128"/>
      <c r="G723" s="128"/>
      <c r="H723" s="128"/>
      <c r="I723" s="128"/>
      <c r="J723" s="128"/>
      <c r="K723" s="128">
        <f t="shared" si="829"/>
        <v>145723443.94</v>
      </c>
      <c r="L723" s="128"/>
      <c r="M723" s="128"/>
      <c r="N723" s="128"/>
      <c r="O723" s="128"/>
      <c r="P723" s="128"/>
      <c r="Q723" s="413"/>
      <c r="R723" s="128">
        <f t="shared" si="882"/>
        <v>0</v>
      </c>
      <c r="S723" s="128">
        <v>145723443.94</v>
      </c>
      <c r="T723" s="128"/>
      <c r="U723" s="128"/>
      <c r="V723" s="128"/>
      <c r="W723" s="128"/>
      <c r="X723" s="128"/>
      <c r="Y723" s="128"/>
      <c r="Z723" s="128"/>
      <c r="AA723" s="128">
        <f t="shared" si="899"/>
        <v>145723443.94</v>
      </c>
      <c r="AB723" s="128">
        <f t="shared" si="830"/>
        <v>145723443.94</v>
      </c>
      <c r="AC723" s="175">
        <f t="shared" si="902"/>
        <v>1</v>
      </c>
    </row>
    <row r="724" spans="2:29" ht="28.5" x14ac:dyDescent="0.2">
      <c r="B724" s="76" t="s">
        <v>1762</v>
      </c>
      <c r="C724" s="77" t="s">
        <v>1763</v>
      </c>
      <c r="D724" s="128"/>
      <c r="E724" s="188">
        <f>SUM('ADICIONES  2021'!C724:I724)</f>
        <v>892239699.46000004</v>
      </c>
      <c r="F724" s="128"/>
      <c r="G724" s="128"/>
      <c r="H724" s="128"/>
      <c r="I724" s="128"/>
      <c r="J724" s="128"/>
      <c r="K724" s="128">
        <f t="shared" si="829"/>
        <v>892239699.46000004</v>
      </c>
      <c r="L724" s="128"/>
      <c r="M724" s="128"/>
      <c r="N724" s="128"/>
      <c r="O724" s="128"/>
      <c r="P724" s="128"/>
      <c r="Q724" s="413"/>
      <c r="R724" s="128">
        <f t="shared" si="882"/>
        <v>0</v>
      </c>
      <c r="S724" s="128">
        <v>892239699.46000004</v>
      </c>
      <c r="T724" s="128"/>
      <c r="U724" s="128"/>
      <c r="V724" s="128"/>
      <c r="W724" s="128"/>
      <c r="X724" s="128"/>
      <c r="Y724" s="128"/>
      <c r="Z724" s="128"/>
      <c r="AA724" s="128">
        <f t="shared" si="899"/>
        <v>892239699.46000004</v>
      </c>
      <c r="AB724" s="128">
        <f t="shared" si="830"/>
        <v>892239699.46000004</v>
      </c>
      <c r="AC724" s="175">
        <f t="shared" si="902"/>
        <v>1</v>
      </c>
    </row>
    <row r="725" spans="2:29" ht="42.75" x14ac:dyDescent="0.2">
      <c r="B725" s="76" t="s">
        <v>1764</v>
      </c>
      <c r="C725" s="77" t="s">
        <v>1765</v>
      </c>
      <c r="D725" s="128"/>
      <c r="E725" s="188">
        <f>SUM('ADICIONES  2021'!C725:I725)</f>
        <v>126666013</v>
      </c>
      <c r="F725" s="128"/>
      <c r="G725" s="128"/>
      <c r="H725" s="128"/>
      <c r="I725" s="128"/>
      <c r="J725" s="128"/>
      <c r="K725" s="128">
        <f t="shared" si="829"/>
        <v>126666013</v>
      </c>
      <c r="L725" s="128"/>
      <c r="M725" s="128"/>
      <c r="N725" s="128"/>
      <c r="O725" s="128"/>
      <c r="P725" s="128"/>
      <c r="Q725" s="413"/>
      <c r="R725" s="128">
        <f t="shared" si="882"/>
        <v>0</v>
      </c>
      <c r="S725" s="128">
        <v>0</v>
      </c>
      <c r="T725" s="128"/>
      <c r="U725" s="128"/>
      <c r="V725" s="128"/>
      <c r="W725" s="128"/>
      <c r="X725" s="128"/>
      <c r="Y725" s="128"/>
      <c r="Z725" s="128"/>
      <c r="AA725" s="128">
        <f t="shared" si="899"/>
        <v>0</v>
      </c>
      <c r="AB725" s="128">
        <f t="shared" si="830"/>
        <v>0</v>
      </c>
      <c r="AC725" s="175">
        <f t="shared" si="902"/>
        <v>0</v>
      </c>
    </row>
    <row r="726" spans="2:29" ht="42.75" x14ac:dyDescent="0.2">
      <c r="B726" s="76" t="s">
        <v>1766</v>
      </c>
      <c r="C726" s="77" t="s">
        <v>1767</v>
      </c>
      <c r="D726" s="128"/>
      <c r="E726" s="188">
        <f>SUM('ADICIONES  2021'!C726:I726)</f>
        <v>3500000</v>
      </c>
      <c r="F726" s="128"/>
      <c r="G726" s="128"/>
      <c r="H726" s="128"/>
      <c r="I726" s="128"/>
      <c r="J726" s="128"/>
      <c r="K726" s="128">
        <f t="shared" si="829"/>
        <v>3500000</v>
      </c>
      <c r="L726" s="128"/>
      <c r="M726" s="128"/>
      <c r="N726" s="128"/>
      <c r="O726" s="128"/>
      <c r="P726" s="128"/>
      <c r="Q726" s="413"/>
      <c r="R726" s="128">
        <f t="shared" si="882"/>
        <v>0</v>
      </c>
      <c r="S726" s="128">
        <v>0</v>
      </c>
      <c r="T726" s="128"/>
      <c r="U726" s="128"/>
      <c r="V726" s="128"/>
      <c r="W726" s="128"/>
      <c r="X726" s="128"/>
      <c r="Y726" s="128"/>
      <c r="Z726" s="128"/>
      <c r="AA726" s="128">
        <f t="shared" si="899"/>
        <v>0</v>
      </c>
      <c r="AB726" s="128">
        <f t="shared" si="830"/>
        <v>0</v>
      </c>
      <c r="AC726" s="175">
        <f t="shared" si="902"/>
        <v>0</v>
      </c>
    </row>
    <row r="727" spans="2:29" ht="42.75" x14ac:dyDescent="0.2">
      <c r="B727" s="76" t="s">
        <v>1768</v>
      </c>
      <c r="C727" s="77" t="s">
        <v>1769</v>
      </c>
      <c r="D727" s="128"/>
      <c r="E727" s="188">
        <f>SUM('ADICIONES  2021'!C727:I727)</f>
        <v>21000000</v>
      </c>
      <c r="F727" s="128"/>
      <c r="G727" s="128"/>
      <c r="H727" s="128"/>
      <c r="I727" s="128"/>
      <c r="J727" s="128"/>
      <c r="K727" s="128">
        <f t="shared" si="829"/>
        <v>21000000</v>
      </c>
      <c r="L727" s="128"/>
      <c r="M727" s="128"/>
      <c r="N727" s="128"/>
      <c r="O727" s="128"/>
      <c r="P727" s="128"/>
      <c r="Q727" s="413"/>
      <c r="R727" s="128">
        <f t="shared" si="882"/>
        <v>0</v>
      </c>
      <c r="S727" s="128">
        <v>0</v>
      </c>
      <c r="T727" s="128"/>
      <c r="U727" s="128"/>
      <c r="V727" s="128"/>
      <c r="W727" s="128"/>
      <c r="X727" s="128"/>
      <c r="Y727" s="128"/>
      <c r="Z727" s="128"/>
      <c r="AA727" s="128">
        <f t="shared" si="899"/>
        <v>0</v>
      </c>
      <c r="AB727" s="128">
        <f t="shared" si="830"/>
        <v>0</v>
      </c>
      <c r="AC727" s="175">
        <f t="shared" si="902"/>
        <v>0</v>
      </c>
    </row>
    <row r="728" spans="2:29" ht="28.5" x14ac:dyDescent="0.2">
      <c r="B728" s="76" t="s">
        <v>1770</v>
      </c>
      <c r="C728" s="77" t="s">
        <v>1771</v>
      </c>
      <c r="D728" s="128"/>
      <c r="E728" s="188">
        <f>SUM('ADICIONES  2021'!C728:I728)</f>
        <v>1000000000</v>
      </c>
      <c r="F728" s="128"/>
      <c r="G728" s="128"/>
      <c r="H728" s="128"/>
      <c r="I728" s="128"/>
      <c r="J728" s="128"/>
      <c r="K728" s="128">
        <f t="shared" si="829"/>
        <v>1000000000</v>
      </c>
      <c r="L728" s="128"/>
      <c r="M728" s="128"/>
      <c r="N728" s="128"/>
      <c r="O728" s="128"/>
      <c r="P728" s="128"/>
      <c r="Q728" s="413"/>
      <c r="R728" s="128">
        <f t="shared" si="882"/>
        <v>0</v>
      </c>
      <c r="S728" s="128">
        <v>0</v>
      </c>
      <c r="T728" s="128"/>
      <c r="U728" s="128"/>
      <c r="V728" s="128"/>
      <c r="W728" s="128"/>
      <c r="X728" s="128"/>
      <c r="Y728" s="128"/>
      <c r="Z728" s="128"/>
      <c r="AA728" s="128">
        <f t="shared" si="899"/>
        <v>0</v>
      </c>
      <c r="AB728" s="128">
        <f t="shared" si="830"/>
        <v>0</v>
      </c>
      <c r="AC728" s="175">
        <f t="shared" si="902"/>
        <v>0</v>
      </c>
    </row>
    <row r="729" spans="2:29" ht="42.75" x14ac:dyDescent="0.2">
      <c r="B729" s="76" t="s">
        <v>1772</v>
      </c>
      <c r="C729" s="77" t="s">
        <v>1773</v>
      </c>
      <c r="D729" s="128"/>
      <c r="E729" s="188">
        <f>SUM('ADICIONES  2021'!C729:I729)</f>
        <v>683484219.72000003</v>
      </c>
      <c r="F729" s="128"/>
      <c r="G729" s="128"/>
      <c r="H729" s="128"/>
      <c r="I729" s="128"/>
      <c r="J729" s="128"/>
      <c r="K729" s="128">
        <f t="shared" si="829"/>
        <v>683484219.72000003</v>
      </c>
      <c r="L729" s="128"/>
      <c r="M729" s="128"/>
      <c r="N729" s="128"/>
      <c r="O729" s="128"/>
      <c r="P729" s="128"/>
      <c r="Q729" s="413"/>
      <c r="R729" s="128">
        <f t="shared" si="882"/>
        <v>0</v>
      </c>
      <c r="S729" s="128">
        <v>683484219.72000003</v>
      </c>
      <c r="T729" s="128"/>
      <c r="U729" s="128"/>
      <c r="V729" s="128"/>
      <c r="W729" s="128"/>
      <c r="X729" s="128"/>
      <c r="Y729" s="128"/>
      <c r="Z729" s="128"/>
      <c r="AA729" s="128">
        <f t="shared" si="899"/>
        <v>683484219.72000003</v>
      </c>
      <c r="AB729" s="128">
        <f t="shared" si="830"/>
        <v>683484219.72000003</v>
      </c>
      <c r="AC729" s="175">
        <f t="shared" si="902"/>
        <v>1</v>
      </c>
    </row>
    <row r="730" spans="2:29" ht="28.5" x14ac:dyDescent="0.2">
      <c r="B730" s="76" t="s">
        <v>1774</v>
      </c>
      <c r="C730" s="77" t="s">
        <v>1775</v>
      </c>
      <c r="D730" s="128"/>
      <c r="E730" s="188">
        <f>SUM('ADICIONES  2021'!C730:I730)</f>
        <v>472953841.06</v>
      </c>
      <c r="F730" s="128"/>
      <c r="G730" s="128"/>
      <c r="H730" s="128"/>
      <c r="I730" s="128"/>
      <c r="J730" s="128"/>
      <c r="K730" s="128">
        <f t="shared" si="829"/>
        <v>472953841.06</v>
      </c>
      <c r="L730" s="128"/>
      <c r="M730" s="128"/>
      <c r="N730" s="128"/>
      <c r="O730" s="128"/>
      <c r="P730" s="128"/>
      <c r="Q730" s="413"/>
      <c r="R730" s="128">
        <f t="shared" si="882"/>
        <v>0</v>
      </c>
      <c r="S730" s="128">
        <v>230298044.47999999</v>
      </c>
      <c r="T730" s="128"/>
      <c r="U730" s="128"/>
      <c r="V730" s="128"/>
      <c r="W730" s="128"/>
      <c r="X730" s="128"/>
      <c r="Y730" s="128"/>
      <c r="Z730" s="128"/>
      <c r="AA730" s="128">
        <f t="shared" si="899"/>
        <v>230298044.47999999</v>
      </c>
      <c r="AB730" s="128">
        <f t="shared" si="830"/>
        <v>230298044.47999999</v>
      </c>
      <c r="AC730" s="175">
        <f t="shared" si="902"/>
        <v>0.48693556217631789</v>
      </c>
    </row>
    <row r="731" spans="2:29" ht="57" x14ac:dyDescent="0.2">
      <c r="B731" s="76" t="s">
        <v>1776</v>
      </c>
      <c r="C731" s="77" t="s">
        <v>1777</v>
      </c>
      <c r="D731" s="128"/>
      <c r="E731" s="188">
        <f>SUM('ADICIONES  2021'!C731:I731)</f>
        <v>1662330762.3800001</v>
      </c>
      <c r="F731" s="128"/>
      <c r="G731" s="128"/>
      <c r="H731" s="128"/>
      <c r="I731" s="128"/>
      <c r="J731" s="128"/>
      <c r="K731" s="128">
        <f t="shared" si="829"/>
        <v>1662330762.3800001</v>
      </c>
      <c r="L731" s="128"/>
      <c r="M731" s="128"/>
      <c r="N731" s="128"/>
      <c r="O731" s="128"/>
      <c r="P731" s="128"/>
      <c r="Q731" s="413"/>
      <c r="R731" s="128">
        <f t="shared" si="882"/>
        <v>0</v>
      </c>
      <c r="S731" s="128">
        <v>1105031342</v>
      </c>
      <c r="T731" s="128"/>
      <c r="U731" s="128"/>
      <c r="V731" s="128"/>
      <c r="W731" s="128"/>
      <c r="X731" s="128"/>
      <c r="Y731" s="128"/>
      <c r="Z731" s="128"/>
      <c r="AA731" s="128">
        <f t="shared" si="899"/>
        <v>1105031342</v>
      </c>
      <c r="AB731" s="128">
        <f t="shared" si="830"/>
        <v>1105031342</v>
      </c>
      <c r="AC731" s="175">
        <f t="shared" si="902"/>
        <v>0.66474817587920909</v>
      </c>
    </row>
    <row r="732" spans="2:29" ht="57" x14ac:dyDescent="0.2">
      <c r="B732" s="76" t="s">
        <v>1778</v>
      </c>
      <c r="C732" s="77" t="s">
        <v>1779</v>
      </c>
      <c r="D732" s="128"/>
      <c r="E732" s="188">
        <f>SUM('ADICIONES  2021'!C732:I732)</f>
        <v>815428711.37</v>
      </c>
      <c r="F732" s="128"/>
      <c r="G732" s="128"/>
      <c r="H732" s="128"/>
      <c r="I732" s="128"/>
      <c r="J732" s="128"/>
      <c r="K732" s="128">
        <f t="shared" si="829"/>
        <v>815428711.37</v>
      </c>
      <c r="L732" s="128"/>
      <c r="M732" s="128"/>
      <c r="N732" s="128"/>
      <c r="O732" s="128"/>
      <c r="P732" s="128"/>
      <c r="Q732" s="413"/>
      <c r="R732" s="128">
        <f t="shared" si="882"/>
        <v>0</v>
      </c>
      <c r="S732" s="128">
        <v>476352429</v>
      </c>
      <c r="T732" s="128"/>
      <c r="U732" s="128"/>
      <c r="V732" s="128"/>
      <c r="W732" s="128"/>
      <c r="X732" s="128"/>
      <c r="Y732" s="128"/>
      <c r="Z732" s="128"/>
      <c r="AA732" s="128">
        <f t="shared" si="899"/>
        <v>476352429</v>
      </c>
      <c r="AB732" s="128">
        <f t="shared" si="830"/>
        <v>476352429</v>
      </c>
      <c r="AC732" s="175">
        <f t="shared" si="902"/>
        <v>0.58417421701975802</v>
      </c>
    </row>
    <row r="733" spans="2:29" ht="28.5" x14ac:dyDescent="0.2">
      <c r="B733" s="76" t="s">
        <v>1780</v>
      </c>
      <c r="C733" s="77" t="s">
        <v>1781</v>
      </c>
      <c r="D733" s="128"/>
      <c r="E733" s="188">
        <f>SUM('ADICIONES  2021'!C733:I733)</f>
        <v>920627571.64999998</v>
      </c>
      <c r="F733" s="128"/>
      <c r="G733" s="128"/>
      <c r="H733" s="128"/>
      <c r="I733" s="128"/>
      <c r="J733" s="128"/>
      <c r="K733" s="128">
        <f t="shared" si="829"/>
        <v>920627571.64999998</v>
      </c>
      <c r="L733" s="128"/>
      <c r="M733" s="128"/>
      <c r="N733" s="128"/>
      <c r="O733" s="128"/>
      <c r="P733" s="128"/>
      <c r="Q733" s="413"/>
      <c r="R733" s="128">
        <f t="shared" si="882"/>
        <v>0</v>
      </c>
      <c r="S733" s="128">
        <v>920627571.64999998</v>
      </c>
      <c r="T733" s="128"/>
      <c r="U733" s="128"/>
      <c r="V733" s="128"/>
      <c r="W733" s="128"/>
      <c r="X733" s="128"/>
      <c r="Y733" s="128"/>
      <c r="Z733" s="128"/>
      <c r="AA733" s="128">
        <f t="shared" si="899"/>
        <v>920627571.64999998</v>
      </c>
      <c r="AB733" s="128">
        <f t="shared" si="830"/>
        <v>920627571.64999998</v>
      </c>
      <c r="AC733" s="175">
        <f t="shared" si="902"/>
        <v>1</v>
      </c>
    </row>
    <row r="734" spans="2:29" ht="42.75" x14ac:dyDescent="0.2">
      <c r="B734" s="76" t="s">
        <v>1782</v>
      </c>
      <c r="C734" s="77" t="s">
        <v>1783</v>
      </c>
      <c r="D734" s="128"/>
      <c r="E734" s="188">
        <f>SUM('ADICIONES  2021'!C734:I734)</f>
        <v>1022061153.3200001</v>
      </c>
      <c r="F734" s="128"/>
      <c r="G734" s="128"/>
      <c r="H734" s="128"/>
      <c r="I734" s="128"/>
      <c r="J734" s="128"/>
      <c r="K734" s="128">
        <f t="shared" si="829"/>
        <v>1022061153.3200001</v>
      </c>
      <c r="L734" s="128"/>
      <c r="M734" s="128"/>
      <c r="N734" s="128"/>
      <c r="O734" s="128"/>
      <c r="P734" s="128"/>
      <c r="Q734" s="413"/>
      <c r="R734" s="128">
        <f t="shared" si="882"/>
        <v>0</v>
      </c>
      <c r="S734" s="128">
        <v>388337148.67000002</v>
      </c>
      <c r="T734" s="128"/>
      <c r="U734" s="128"/>
      <c r="V734" s="128"/>
      <c r="W734" s="128"/>
      <c r="X734" s="128"/>
      <c r="Y734" s="128"/>
      <c r="Z734" s="128"/>
      <c r="AA734" s="128">
        <f t="shared" si="899"/>
        <v>388337148.67000002</v>
      </c>
      <c r="AB734" s="128">
        <f t="shared" si="830"/>
        <v>388337148.67000002</v>
      </c>
      <c r="AC734" s="175">
        <f t="shared" si="902"/>
        <v>0.37995490525058084</v>
      </c>
    </row>
    <row r="735" spans="2:29" ht="28.5" x14ac:dyDescent="0.2">
      <c r="B735" s="76" t="s">
        <v>1784</v>
      </c>
      <c r="C735" s="77" t="s">
        <v>1785</v>
      </c>
      <c r="D735" s="128"/>
      <c r="E735" s="188">
        <f>SUM('ADICIONES  2021'!C735:I735)</f>
        <v>383136341.55000001</v>
      </c>
      <c r="F735" s="128"/>
      <c r="G735" s="128"/>
      <c r="H735" s="128"/>
      <c r="I735" s="128"/>
      <c r="J735" s="128"/>
      <c r="K735" s="128">
        <f t="shared" si="829"/>
        <v>383136341.55000001</v>
      </c>
      <c r="L735" s="128"/>
      <c r="M735" s="128"/>
      <c r="N735" s="128"/>
      <c r="O735" s="128"/>
      <c r="P735" s="128"/>
      <c r="Q735" s="413"/>
      <c r="R735" s="128">
        <f t="shared" si="882"/>
        <v>0</v>
      </c>
      <c r="S735" s="128">
        <v>0</v>
      </c>
      <c r="T735" s="128"/>
      <c r="U735" s="128"/>
      <c r="V735" s="128"/>
      <c r="W735" s="128"/>
      <c r="X735" s="128"/>
      <c r="Y735" s="128"/>
      <c r="Z735" s="128"/>
      <c r="AA735" s="128">
        <f t="shared" si="899"/>
        <v>0</v>
      </c>
      <c r="AB735" s="128">
        <f t="shared" si="830"/>
        <v>0</v>
      </c>
      <c r="AC735" s="175">
        <f t="shared" si="902"/>
        <v>0</v>
      </c>
    </row>
    <row r="736" spans="2:29" ht="42.75" x14ac:dyDescent="0.2">
      <c r="B736" s="76" t="s">
        <v>1786</v>
      </c>
      <c r="C736" s="77" t="s">
        <v>1787</v>
      </c>
      <c r="D736" s="128"/>
      <c r="E736" s="188">
        <f>SUM('ADICIONES  2021'!C736:I736)</f>
        <v>300000000</v>
      </c>
      <c r="F736" s="128"/>
      <c r="G736" s="128"/>
      <c r="H736" s="128"/>
      <c r="I736" s="128"/>
      <c r="J736" s="128"/>
      <c r="K736" s="128">
        <f t="shared" si="829"/>
        <v>300000000</v>
      </c>
      <c r="L736" s="128"/>
      <c r="M736" s="128"/>
      <c r="N736" s="128"/>
      <c r="O736" s="128"/>
      <c r="P736" s="128"/>
      <c r="Q736" s="413"/>
      <c r="R736" s="128">
        <f t="shared" si="882"/>
        <v>0</v>
      </c>
      <c r="S736" s="128">
        <v>300000000</v>
      </c>
      <c r="T736" s="128"/>
      <c r="U736" s="128"/>
      <c r="V736" s="128"/>
      <c r="W736" s="128"/>
      <c r="X736" s="128"/>
      <c r="Y736" s="128"/>
      <c r="Z736" s="128"/>
      <c r="AA736" s="128">
        <f t="shared" si="899"/>
        <v>300000000</v>
      </c>
      <c r="AB736" s="128">
        <f t="shared" si="830"/>
        <v>300000000</v>
      </c>
      <c r="AC736" s="175">
        <f t="shared" si="902"/>
        <v>1</v>
      </c>
    </row>
    <row r="737" spans="2:29" ht="42.75" x14ac:dyDescent="0.2">
      <c r="B737" s="76" t="s">
        <v>1788</v>
      </c>
      <c r="C737" s="77" t="s">
        <v>1789</v>
      </c>
      <c r="D737" s="128"/>
      <c r="E737" s="188">
        <f>SUM('ADICIONES  2021'!C737:I737)</f>
        <v>848374298</v>
      </c>
      <c r="F737" s="128"/>
      <c r="G737" s="128"/>
      <c r="H737" s="128"/>
      <c r="I737" s="128"/>
      <c r="J737" s="128"/>
      <c r="K737" s="128">
        <f t="shared" si="829"/>
        <v>848374298</v>
      </c>
      <c r="L737" s="128"/>
      <c r="M737" s="128"/>
      <c r="N737" s="128"/>
      <c r="O737" s="128"/>
      <c r="P737" s="128"/>
      <c r="Q737" s="413"/>
      <c r="R737" s="128">
        <f t="shared" si="882"/>
        <v>0</v>
      </c>
      <c r="S737" s="128">
        <v>848374298</v>
      </c>
      <c r="T737" s="128"/>
      <c r="U737" s="128"/>
      <c r="V737" s="128"/>
      <c r="W737" s="128"/>
      <c r="X737" s="128"/>
      <c r="Y737" s="128"/>
      <c r="Z737" s="128"/>
      <c r="AA737" s="128">
        <f t="shared" si="899"/>
        <v>848374298</v>
      </c>
      <c r="AB737" s="128">
        <f t="shared" si="830"/>
        <v>848374298</v>
      </c>
      <c r="AC737" s="175">
        <f t="shared" si="902"/>
        <v>1</v>
      </c>
    </row>
    <row r="738" spans="2:29" ht="42.75" x14ac:dyDescent="0.2">
      <c r="B738" s="76" t="s">
        <v>1790</v>
      </c>
      <c r="C738" s="77" t="s">
        <v>1791</v>
      </c>
      <c r="D738" s="128"/>
      <c r="E738" s="188">
        <f>SUM('ADICIONES  2021'!C738:I738)</f>
        <v>1062972259.02</v>
      </c>
      <c r="F738" s="128"/>
      <c r="G738" s="128"/>
      <c r="H738" s="128"/>
      <c r="I738" s="128"/>
      <c r="J738" s="128"/>
      <c r="K738" s="128">
        <f t="shared" si="829"/>
        <v>1062972259.02</v>
      </c>
      <c r="L738" s="128"/>
      <c r="M738" s="128"/>
      <c r="N738" s="128"/>
      <c r="O738" s="128"/>
      <c r="P738" s="128"/>
      <c r="Q738" s="413"/>
      <c r="R738" s="128">
        <f t="shared" si="882"/>
        <v>0</v>
      </c>
      <c r="S738" s="128">
        <v>1062972259.02</v>
      </c>
      <c r="T738" s="128"/>
      <c r="U738" s="128"/>
      <c r="V738" s="128"/>
      <c r="W738" s="128"/>
      <c r="X738" s="128"/>
      <c r="Y738" s="128"/>
      <c r="Z738" s="128"/>
      <c r="AA738" s="128">
        <f t="shared" si="899"/>
        <v>1062972259.02</v>
      </c>
      <c r="AB738" s="128">
        <f t="shared" si="830"/>
        <v>1062972259.02</v>
      </c>
      <c r="AC738" s="175">
        <f t="shared" si="902"/>
        <v>1</v>
      </c>
    </row>
    <row r="739" spans="2:29" ht="42.75" x14ac:dyDescent="0.2">
      <c r="B739" s="76" t="s">
        <v>1792</v>
      </c>
      <c r="C739" s="77" t="s">
        <v>1793</v>
      </c>
      <c r="D739" s="128"/>
      <c r="E739" s="188">
        <f>SUM('ADICIONES  2021'!C739:I739)</f>
        <v>3983440755.0700002</v>
      </c>
      <c r="F739" s="128"/>
      <c r="G739" s="128"/>
      <c r="H739" s="128"/>
      <c r="I739" s="128"/>
      <c r="J739" s="128"/>
      <c r="K739" s="128">
        <f t="shared" si="829"/>
        <v>3983440755.0700002</v>
      </c>
      <c r="L739" s="128"/>
      <c r="M739" s="128"/>
      <c r="N739" s="128"/>
      <c r="O739" s="128"/>
      <c r="P739" s="128"/>
      <c r="Q739" s="413"/>
      <c r="R739" s="128">
        <f t="shared" si="882"/>
        <v>0</v>
      </c>
      <c r="S739" s="128">
        <v>3983440755.0700002</v>
      </c>
      <c r="T739" s="128"/>
      <c r="U739" s="128"/>
      <c r="V739" s="128"/>
      <c r="W739" s="128"/>
      <c r="X739" s="128"/>
      <c r="Y739" s="128"/>
      <c r="Z739" s="128"/>
      <c r="AA739" s="128">
        <f t="shared" si="899"/>
        <v>3983440755.0700002</v>
      </c>
      <c r="AB739" s="128">
        <f t="shared" si="830"/>
        <v>3983440755.0700002</v>
      </c>
      <c r="AC739" s="175">
        <f t="shared" si="902"/>
        <v>1</v>
      </c>
    </row>
    <row r="740" spans="2:29" ht="42.75" x14ac:dyDescent="0.2">
      <c r="B740" s="76" t="s">
        <v>1794</v>
      </c>
      <c r="C740" s="77" t="s">
        <v>1795</v>
      </c>
      <c r="D740" s="128"/>
      <c r="E740" s="188">
        <f>SUM('ADICIONES  2021'!C740:I740)</f>
        <v>3146700090.6999998</v>
      </c>
      <c r="F740" s="128"/>
      <c r="G740" s="128"/>
      <c r="H740" s="128"/>
      <c r="I740" s="128"/>
      <c r="J740" s="128"/>
      <c r="K740" s="128">
        <f t="shared" si="829"/>
        <v>3146700090.6999998</v>
      </c>
      <c r="L740" s="128"/>
      <c r="M740" s="128"/>
      <c r="N740" s="128"/>
      <c r="O740" s="128"/>
      <c r="P740" s="128"/>
      <c r="Q740" s="413"/>
      <c r="R740" s="128">
        <f t="shared" si="882"/>
        <v>0</v>
      </c>
      <c r="S740" s="128">
        <v>3146700090.6999998</v>
      </c>
      <c r="T740" s="128"/>
      <c r="U740" s="128"/>
      <c r="V740" s="128"/>
      <c r="W740" s="128"/>
      <c r="X740" s="128"/>
      <c r="Y740" s="128"/>
      <c r="Z740" s="128"/>
      <c r="AA740" s="128">
        <f t="shared" si="899"/>
        <v>3146700090.6999998</v>
      </c>
      <c r="AB740" s="128">
        <f t="shared" si="830"/>
        <v>3146700090.6999998</v>
      </c>
      <c r="AC740" s="175">
        <f t="shared" si="902"/>
        <v>1</v>
      </c>
    </row>
    <row r="741" spans="2:29" ht="42.75" x14ac:dyDescent="0.2">
      <c r="B741" s="76" t="s">
        <v>1796</v>
      </c>
      <c r="C741" s="77" t="s">
        <v>1797</v>
      </c>
      <c r="D741" s="128"/>
      <c r="E741" s="188">
        <f>SUM('ADICIONES  2021'!C741:I741)</f>
        <v>2369302779</v>
      </c>
      <c r="F741" s="128"/>
      <c r="G741" s="128"/>
      <c r="H741" s="128"/>
      <c r="I741" s="128"/>
      <c r="J741" s="128"/>
      <c r="K741" s="128">
        <f t="shared" si="829"/>
        <v>2369302779</v>
      </c>
      <c r="L741" s="128"/>
      <c r="M741" s="128"/>
      <c r="N741" s="128"/>
      <c r="O741" s="128"/>
      <c r="P741" s="128"/>
      <c r="Q741" s="413"/>
      <c r="R741" s="128">
        <f t="shared" si="882"/>
        <v>0</v>
      </c>
      <c r="S741" s="128">
        <v>2369302779</v>
      </c>
      <c r="T741" s="128"/>
      <c r="U741" s="128"/>
      <c r="V741" s="128"/>
      <c r="W741" s="128"/>
      <c r="X741" s="128"/>
      <c r="Y741" s="128"/>
      <c r="Z741" s="128"/>
      <c r="AA741" s="128">
        <f t="shared" si="899"/>
        <v>2369302779</v>
      </c>
      <c r="AB741" s="128">
        <f t="shared" si="830"/>
        <v>2369302779</v>
      </c>
      <c r="AC741" s="175">
        <f t="shared" si="902"/>
        <v>1</v>
      </c>
    </row>
    <row r="742" spans="2:29" ht="42.75" x14ac:dyDescent="0.2">
      <c r="B742" s="76" t="s">
        <v>1798</v>
      </c>
      <c r="C742" s="77" t="s">
        <v>1799</v>
      </c>
      <c r="D742" s="128"/>
      <c r="E742" s="188">
        <f>SUM('ADICIONES  2021'!C742:I742)</f>
        <v>576779027.73000002</v>
      </c>
      <c r="F742" s="128"/>
      <c r="G742" s="128"/>
      <c r="H742" s="128"/>
      <c r="I742" s="128"/>
      <c r="J742" s="128"/>
      <c r="K742" s="128">
        <f t="shared" si="829"/>
        <v>576779027.73000002</v>
      </c>
      <c r="L742" s="128"/>
      <c r="M742" s="128"/>
      <c r="N742" s="128"/>
      <c r="O742" s="128"/>
      <c r="P742" s="128"/>
      <c r="Q742" s="413"/>
      <c r="R742" s="128">
        <f t="shared" si="882"/>
        <v>0</v>
      </c>
      <c r="S742" s="128">
        <v>576779027.73000002</v>
      </c>
      <c r="T742" s="128"/>
      <c r="U742" s="128"/>
      <c r="V742" s="128"/>
      <c r="W742" s="128"/>
      <c r="X742" s="128"/>
      <c r="Y742" s="128"/>
      <c r="Z742" s="128"/>
      <c r="AA742" s="128">
        <f t="shared" si="899"/>
        <v>576779027.73000002</v>
      </c>
      <c r="AB742" s="128">
        <f t="shared" si="830"/>
        <v>576779027.73000002</v>
      </c>
      <c r="AC742" s="175">
        <f t="shared" si="902"/>
        <v>1</v>
      </c>
    </row>
    <row r="743" spans="2:29" ht="42.75" x14ac:dyDescent="0.2">
      <c r="B743" s="76" t="s">
        <v>1800</v>
      </c>
      <c r="C743" s="77" t="s">
        <v>1801</v>
      </c>
      <c r="D743" s="128"/>
      <c r="E743" s="188">
        <f>SUM('ADICIONES  2021'!C743:I743)</f>
        <v>108000000</v>
      </c>
      <c r="F743" s="128"/>
      <c r="G743" s="128"/>
      <c r="H743" s="128"/>
      <c r="I743" s="128"/>
      <c r="J743" s="128"/>
      <c r="K743" s="128">
        <f t="shared" si="829"/>
        <v>108000000</v>
      </c>
      <c r="L743" s="128"/>
      <c r="M743" s="128"/>
      <c r="N743" s="128"/>
      <c r="O743" s="128"/>
      <c r="P743" s="128"/>
      <c r="Q743" s="413"/>
      <c r="R743" s="128">
        <f t="shared" si="882"/>
        <v>0</v>
      </c>
      <c r="S743" s="128">
        <v>108000000</v>
      </c>
      <c r="T743" s="128"/>
      <c r="U743" s="128"/>
      <c r="V743" s="128"/>
      <c r="W743" s="128"/>
      <c r="X743" s="128"/>
      <c r="Y743" s="128"/>
      <c r="Z743" s="128"/>
      <c r="AA743" s="128">
        <f t="shared" si="899"/>
        <v>108000000</v>
      </c>
      <c r="AB743" s="128">
        <f t="shared" si="830"/>
        <v>108000000</v>
      </c>
      <c r="AC743" s="175">
        <f t="shared" si="902"/>
        <v>1</v>
      </c>
    </row>
    <row r="744" spans="2:29" ht="42.75" x14ac:dyDescent="0.2">
      <c r="B744" s="76" t="s">
        <v>1802</v>
      </c>
      <c r="C744" s="77" t="s">
        <v>1803</v>
      </c>
      <c r="D744" s="128"/>
      <c r="E744" s="188">
        <f>SUM('ADICIONES  2021'!C744:I744)</f>
        <v>896854534.5</v>
      </c>
      <c r="F744" s="128"/>
      <c r="G744" s="128"/>
      <c r="H744" s="128"/>
      <c r="I744" s="128"/>
      <c r="J744" s="128"/>
      <c r="K744" s="128">
        <f t="shared" si="829"/>
        <v>896854534.5</v>
      </c>
      <c r="L744" s="128"/>
      <c r="M744" s="128"/>
      <c r="N744" s="128"/>
      <c r="O744" s="128"/>
      <c r="P744" s="128"/>
      <c r="Q744" s="413"/>
      <c r="R744" s="128">
        <f t="shared" si="882"/>
        <v>0</v>
      </c>
      <c r="S744" s="128">
        <v>896854534.5</v>
      </c>
      <c r="T744" s="128"/>
      <c r="U744" s="128"/>
      <c r="V744" s="128"/>
      <c r="W744" s="128"/>
      <c r="X744" s="128"/>
      <c r="Y744" s="128"/>
      <c r="Z744" s="128"/>
      <c r="AA744" s="128">
        <f t="shared" si="899"/>
        <v>896854534.5</v>
      </c>
      <c r="AB744" s="128">
        <f t="shared" si="830"/>
        <v>896854534.5</v>
      </c>
      <c r="AC744" s="175">
        <f t="shared" si="902"/>
        <v>1</v>
      </c>
    </row>
    <row r="745" spans="2:29" ht="42.75" x14ac:dyDescent="0.2">
      <c r="B745" s="76" t="s">
        <v>1804</v>
      </c>
      <c r="C745" s="77" t="s">
        <v>1805</v>
      </c>
      <c r="D745" s="128"/>
      <c r="E745" s="188">
        <f>SUM('ADICIONES  2021'!C745:I745)</f>
        <v>3884758760.5799999</v>
      </c>
      <c r="F745" s="128"/>
      <c r="G745" s="128"/>
      <c r="H745" s="128"/>
      <c r="I745" s="128"/>
      <c r="J745" s="128"/>
      <c r="K745" s="128">
        <f t="shared" si="829"/>
        <v>3884758760.5799999</v>
      </c>
      <c r="L745" s="128"/>
      <c r="M745" s="128"/>
      <c r="N745" s="128"/>
      <c r="O745" s="128"/>
      <c r="P745" s="128"/>
      <c r="Q745" s="413"/>
      <c r="R745" s="128">
        <f t="shared" si="882"/>
        <v>0</v>
      </c>
      <c r="S745" s="128">
        <v>3884758760.5799999</v>
      </c>
      <c r="T745" s="128"/>
      <c r="U745" s="128"/>
      <c r="V745" s="128"/>
      <c r="W745" s="128"/>
      <c r="X745" s="128"/>
      <c r="Y745" s="128"/>
      <c r="Z745" s="128"/>
      <c r="AA745" s="128">
        <f t="shared" si="899"/>
        <v>3884758760.5799999</v>
      </c>
      <c r="AB745" s="128">
        <f t="shared" si="830"/>
        <v>3884758760.5799999</v>
      </c>
      <c r="AC745" s="175">
        <f t="shared" si="902"/>
        <v>1</v>
      </c>
    </row>
    <row r="746" spans="2:29" ht="42.75" x14ac:dyDescent="0.2">
      <c r="B746" s="76" t="s">
        <v>1806</v>
      </c>
      <c r="C746" s="77" t="s">
        <v>1807</v>
      </c>
      <c r="D746" s="128"/>
      <c r="E746" s="188">
        <f>SUM('ADICIONES  2021'!C746:I746)</f>
        <v>386354618.76999998</v>
      </c>
      <c r="F746" s="128"/>
      <c r="G746" s="128"/>
      <c r="H746" s="128"/>
      <c r="I746" s="128"/>
      <c r="J746" s="128"/>
      <c r="K746" s="128">
        <f t="shared" si="829"/>
        <v>386354618.76999998</v>
      </c>
      <c r="L746" s="128"/>
      <c r="M746" s="128"/>
      <c r="N746" s="128"/>
      <c r="O746" s="128"/>
      <c r="P746" s="128"/>
      <c r="Q746" s="413"/>
      <c r="R746" s="128">
        <f t="shared" si="882"/>
        <v>0</v>
      </c>
      <c r="S746" s="128">
        <v>386354618.76999998</v>
      </c>
      <c r="T746" s="128"/>
      <c r="U746" s="128"/>
      <c r="V746" s="128"/>
      <c r="W746" s="128"/>
      <c r="X746" s="128"/>
      <c r="Y746" s="128"/>
      <c r="Z746" s="128"/>
      <c r="AA746" s="128">
        <f t="shared" si="899"/>
        <v>386354618.76999998</v>
      </c>
      <c r="AB746" s="128">
        <f t="shared" si="830"/>
        <v>386354618.76999998</v>
      </c>
      <c r="AC746" s="175">
        <f t="shared" si="902"/>
        <v>1</v>
      </c>
    </row>
    <row r="747" spans="2:29" ht="42.75" x14ac:dyDescent="0.2">
      <c r="B747" s="76" t="s">
        <v>1808</v>
      </c>
      <c r="C747" s="77" t="s">
        <v>1809</v>
      </c>
      <c r="D747" s="128"/>
      <c r="E747" s="188">
        <f>SUM('ADICIONES  2021'!C747:I747)</f>
        <v>2626193816.73</v>
      </c>
      <c r="F747" s="128"/>
      <c r="G747" s="128"/>
      <c r="H747" s="128"/>
      <c r="I747" s="128"/>
      <c r="J747" s="128"/>
      <c r="K747" s="128">
        <f t="shared" si="829"/>
        <v>2626193816.73</v>
      </c>
      <c r="L747" s="128"/>
      <c r="M747" s="128"/>
      <c r="N747" s="128"/>
      <c r="O747" s="128"/>
      <c r="P747" s="128"/>
      <c r="Q747" s="413"/>
      <c r="R747" s="128">
        <f t="shared" si="882"/>
        <v>0</v>
      </c>
      <c r="S747" s="128">
        <v>2626193816.73</v>
      </c>
      <c r="T747" s="128"/>
      <c r="U747" s="128"/>
      <c r="V747" s="128"/>
      <c r="W747" s="128"/>
      <c r="X747" s="128"/>
      <c r="Y747" s="128"/>
      <c r="Z747" s="128"/>
      <c r="AA747" s="128">
        <f t="shared" si="899"/>
        <v>2626193816.73</v>
      </c>
      <c r="AB747" s="128">
        <f t="shared" si="830"/>
        <v>2626193816.73</v>
      </c>
      <c r="AC747" s="175">
        <f t="shared" si="902"/>
        <v>1</v>
      </c>
    </row>
    <row r="748" spans="2:29" ht="42.75" x14ac:dyDescent="0.2">
      <c r="B748" s="76" t="s">
        <v>1810</v>
      </c>
      <c r="C748" s="77" t="s">
        <v>1811</v>
      </c>
      <c r="D748" s="128"/>
      <c r="E748" s="188">
        <f>SUM('ADICIONES  2021'!C748:I748)</f>
        <v>60263011.100000001</v>
      </c>
      <c r="F748" s="128"/>
      <c r="G748" s="128"/>
      <c r="H748" s="128"/>
      <c r="I748" s="128"/>
      <c r="J748" s="128"/>
      <c r="K748" s="128">
        <f t="shared" si="829"/>
        <v>60263011.100000001</v>
      </c>
      <c r="L748" s="128"/>
      <c r="M748" s="128"/>
      <c r="N748" s="128"/>
      <c r="O748" s="128"/>
      <c r="P748" s="128"/>
      <c r="Q748" s="413"/>
      <c r="R748" s="128">
        <f t="shared" si="882"/>
        <v>0</v>
      </c>
      <c r="S748" s="128">
        <v>60263011.100000001</v>
      </c>
      <c r="T748" s="128"/>
      <c r="U748" s="128"/>
      <c r="V748" s="128"/>
      <c r="W748" s="128"/>
      <c r="X748" s="128"/>
      <c r="Y748" s="128"/>
      <c r="Z748" s="128"/>
      <c r="AA748" s="128">
        <f t="shared" si="899"/>
        <v>60263011.100000001</v>
      </c>
      <c r="AB748" s="128">
        <f t="shared" si="830"/>
        <v>60263011.100000001</v>
      </c>
      <c r="AC748" s="175">
        <f t="shared" si="902"/>
        <v>1</v>
      </c>
    </row>
    <row r="749" spans="2:29" ht="42.75" x14ac:dyDescent="0.2">
      <c r="B749" s="76" t="s">
        <v>1812</v>
      </c>
      <c r="C749" s="77" t="s">
        <v>1813</v>
      </c>
      <c r="D749" s="128"/>
      <c r="E749" s="188">
        <f>SUM('ADICIONES  2021'!C749:I749)</f>
        <v>454531370</v>
      </c>
      <c r="F749" s="128"/>
      <c r="G749" s="128"/>
      <c r="H749" s="128"/>
      <c r="I749" s="128"/>
      <c r="J749" s="128"/>
      <c r="K749" s="128">
        <f t="shared" si="829"/>
        <v>454531370</v>
      </c>
      <c r="L749" s="128"/>
      <c r="M749" s="128"/>
      <c r="N749" s="128"/>
      <c r="O749" s="128"/>
      <c r="P749" s="128"/>
      <c r="Q749" s="413"/>
      <c r="R749" s="128">
        <f t="shared" si="882"/>
        <v>0</v>
      </c>
      <c r="S749" s="128">
        <v>454531370</v>
      </c>
      <c r="T749" s="128"/>
      <c r="U749" s="128"/>
      <c r="V749" s="128"/>
      <c r="W749" s="128"/>
      <c r="X749" s="128"/>
      <c r="Y749" s="128"/>
      <c r="Z749" s="128"/>
      <c r="AA749" s="128">
        <f t="shared" si="899"/>
        <v>454531370</v>
      </c>
      <c r="AB749" s="128">
        <f t="shared" si="830"/>
        <v>454531370</v>
      </c>
      <c r="AC749" s="175">
        <f t="shared" si="902"/>
        <v>1</v>
      </c>
    </row>
    <row r="750" spans="2:29" ht="42.75" x14ac:dyDescent="0.2">
      <c r="B750" s="76" t="s">
        <v>1814</v>
      </c>
      <c r="C750" s="77" t="s">
        <v>1815</v>
      </c>
      <c r="D750" s="128"/>
      <c r="E750" s="188">
        <f>SUM('ADICIONES  2021'!C750:I750)</f>
        <v>881070078.24000001</v>
      </c>
      <c r="F750" s="128"/>
      <c r="G750" s="128"/>
      <c r="H750" s="128"/>
      <c r="I750" s="128"/>
      <c r="J750" s="128"/>
      <c r="K750" s="128">
        <f t="shared" si="829"/>
        <v>881070078.24000001</v>
      </c>
      <c r="L750" s="128"/>
      <c r="M750" s="128"/>
      <c r="N750" s="128"/>
      <c r="O750" s="128"/>
      <c r="P750" s="128"/>
      <c r="Q750" s="413"/>
      <c r="R750" s="128">
        <f t="shared" si="882"/>
        <v>0</v>
      </c>
      <c r="S750" s="128">
        <v>881070078.24000001</v>
      </c>
      <c r="T750" s="128"/>
      <c r="U750" s="128"/>
      <c r="V750" s="128"/>
      <c r="W750" s="128"/>
      <c r="X750" s="128"/>
      <c r="Y750" s="128"/>
      <c r="Z750" s="128"/>
      <c r="AA750" s="128">
        <f t="shared" si="899"/>
        <v>881070078.24000001</v>
      </c>
      <c r="AB750" s="128">
        <f t="shared" si="830"/>
        <v>881070078.24000001</v>
      </c>
      <c r="AC750" s="175">
        <f t="shared" si="902"/>
        <v>1</v>
      </c>
    </row>
    <row r="751" spans="2:29" ht="42.75" x14ac:dyDescent="0.2">
      <c r="B751" s="76" t="s">
        <v>1816</v>
      </c>
      <c r="C751" s="77" t="s">
        <v>1817</v>
      </c>
      <c r="D751" s="128"/>
      <c r="E751" s="188">
        <f>SUM('ADICIONES  2021'!C751:I751)</f>
        <v>361244499.5</v>
      </c>
      <c r="F751" s="128"/>
      <c r="G751" s="128"/>
      <c r="H751" s="128"/>
      <c r="I751" s="128"/>
      <c r="J751" s="128"/>
      <c r="K751" s="128">
        <f t="shared" si="829"/>
        <v>361244499.5</v>
      </c>
      <c r="L751" s="128"/>
      <c r="M751" s="128"/>
      <c r="N751" s="128"/>
      <c r="O751" s="128"/>
      <c r="P751" s="128"/>
      <c r="Q751" s="413"/>
      <c r="R751" s="128">
        <f t="shared" si="882"/>
        <v>0</v>
      </c>
      <c r="S751" s="128">
        <v>361244499.5</v>
      </c>
      <c r="T751" s="128"/>
      <c r="U751" s="128"/>
      <c r="V751" s="128"/>
      <c r="W751" s="128"/>
      <c r="X751" s="128"/>
      <c r="Y751" s="128"/>
      <c r="Z751" s="128"/>
      <c r="AA751" s="128">
        <f t="shared" si="899"/>
        <v>361244499.5</v>
      </c>
      <c r="AB751" s="128">
        <f t="shared" si="830"/>
        <v>361244499.5</v>
      </c>
      <c r="AC751" s="175">
        <f t="shared" si="902"/>
        <v>1</v>
      </c>
    </row>
    <row r="752" spans="2:29" ht="42.75" x14ac:dyDescent="0.2">
      <c r="B752" s="76" t="s">
        <v>1818</v>
      </c>
      <c r="C752" s="77" t="s">
        <v>1819</v>
      </c>
      <c r="D752" s="128"/>
      <c r="E752" s="188">
        <f>SUM('ADICIONES  2021'!C752:I752)</f>
        <v>245208094.47999999</v>
      </c>
      <c r="F752" s="128"/>
      <c r="G752" s="128"/>
      <c r="H752" s="128"/>
      <c r="I752" s="128"/>
      <c r="J752" s="128"/>
      <c r="K752" s="128">
        <f t="shared" si="829"/>
        <v>245208094.47999999</v>
      </c>
      <c r="L752" s="128"/>
      <c r="M752" s="128"/>
      <c r="N752" s="128"/>
      <c r="O752" s="128"/>
      <c r="P752" s="128"/>
      <c r="Q752" s="413"/>
      <c r="R752" s="128">
        <f t="shared" si="882"/>
        <v>0</v>
      </c>
      <c r="S752" s="128">
        <v>245208094.47999999</v>
      </c>
      <c r="T752" s="128"/>
      <c r="U752" s="128"/>
      <c r="V752" s="128"/>
      <c r="W752" s="128"/>
      <c r="X752" s="128"/>
      <c r="Y752" s="128"/>
      <c r="Z752" s="128"/>
      <c r="AA752" s="128">
        <f t="shared" si="899"/>
        <v>245208094.47999999</v>
      </c>
      <c r="AB752" s="128">
        <f t="shared" si="830"/>
        <v>245208094.47999999</v>
      </c>
      <c r="AC752" s="175">
        <f t="shared" si="902"/>
        <v>1</v>
      </c>
    </row>
    <row r="753" spans="1:29" ht="57" x14ac:dyDescent="0.2">
      <c r="B753" s="76" t="s">
        <v>1820</v>
      </c>
      <c r="C753" s="77" t="s">
        <v>1821</v>
      </c>
      <c r="D753" s="128"/>
      <c r="E753" s="188">
        <f>SUM('ADICIONES  2021'!C753:I753)</f>
        <v>126838929.55</v>
      </c>
      <c r="F753" s="128"/>
      <c r="G753" s="128"/>
      <c r="H753" s="128"/>
      <c r="I753" s="128"/>
      <c r="J753" s="128"/>
      <c r="K753" s="128">
        <f t="shared" si="829"/>
        <v>126838929.55</v>
      </c>
      <c r="L753" s="128"/>
      <c r="M753" s="128"/>
      <c r="N753" s="128"/>
      <c r="O753" s="128"/>
      <c r="P753" s="128"/>
      <c r="Q753" s="413"/>
      <c r="R753" s="128">
        <f t="shared" si="882"/>
        <v>0</v>
      </c>
      <c r="S753" s="128">
        <v>126838929.55</v>
      </c>
      <c r="T753" s="128"/>
      <c r="U753" s="128"/>
      <c r="V753" s="128"/>
      <c r="W753" s="128"/>
      <c r="X753" s="128"/>
      <c r="Y753" s="128"/>
      <c r="Z753" s="128"/>
      <c r="AA753" s="128">
        <f t="shared" si="899"/>
        <v>126838929.55</v>
      </c>
      <c r="AB753" s="128">
        <f t="shared" si="830"/>
        <v>126838929.55</v>
      </c>
      <c r="AC753" s="175">
        <f t="shared" si="902"/>
        <v>1</v>
      </c>
    </row>
    <row r="754" spans="1:29" ht="42.75" x14ac:dyDescent="0.2">
      <c r="B754" s="76" t="s">
        <v>1822</v>
      </c>
      <c r="C754" s="77" t="s">
        <v>1823</v>
      </c>
      <c r="D754" s="128"/>
      <c r="E754" s="188">
        <f>SUM('ADICIONES  2021'!C754:I754)</f>
        <v>1654927335.5699999</v>
      </c>
      <c r="F754" s="128"/>
      <c r="G754" s="128"/>
      <c r="H754" s="128"/>
      <c r="I754" s="128"/>
      <c r="J754" s="128"/>
      <c r="K754" s="128">
        <f t="shared" si="829"/>
        <v>1654927335.5699999</v>
      </c>
      <c r="L754" s="128"/>
      <c r="M754" s="128"/>
      <c r="N754" s="128"/>
      <c r="O754" s="128"/>
      <c r="P754" s="128"/>
      <c r="Q754" s="413"/>
      <c r="R754" s="128">
        <f t="shared" si="882"/>
        <v>0</v>
      </c>
      <c r="S754" s="128">
        <v>1654927335.5699999</v>
      </c>
      <c r="T754" s="128"/>
      <c r="U754" s="128"/>
      <c r="V754" s="128"/>
      <c r="W754" s="128"/>
      <c r="X754" s="128"/>
      <c r="Y754" s="128"/>
      <c r="Z754" s="128"/>
      <c r="AA754" s="128">
        <f t="shared" si="899"/>
        <v>1654927335.5699999</v>
      </c>
      <c r="AB754" s="128">
        <f t="shared" si="830"/>
        <v>1654927335.5699999</v>
      </c>
      <c r="AC754" s="175">
        <f t="shared" si="902"/>
        <v>1</v>
      </c>
    </row>
    <row r="755" spans="1:29" ht="42.75" x14ac:dyDescent="0.2">
      <c r="B755" s="76" t="s">
        <v>1824</v>
      </c>
      <c r="C755" s="77" t="s">
        <v>1825</v>
      </c>
      <c r="D755" s="128"/>
      <c r="E755" s="188">
        <f>SUM('ADICIONES  2021'!C755:I755)</f>
        <v>836739879.01999998</v>
      </c>
      <c r="F755" s="128"/>
      <c r="G755" s="128"/>
      <c r="H755" s="128"/>
      <c r="I755" s="128"/>
      <c r="J755" s="128"/>
      <c r="K755" s="128">
        <f t="shared" si="829"/>
        <v>836739879.01999998</v>
      </c>
      <c r="L755" s="128"/>
      <c r="M755" s="128"/>
      <c r="N755" s="128"/>
      <c r="O755" s="128"/>
      <c r="P755" s="128"/>
      <c r="Q755" s="413"/>
      <c r="R755" s="128">
        <f t="shared" si="882"/>
        <v>0</v>
      </c>
      <c r="S755" s="128">
        <v>836739879.01999998</v>
      </c>
      <c r="T755" s="128"/>
      <c r="U755" s="128"/>
      <c r="V755" s="128"/>
      <c r="W755" s="128"/>
      <c r="X755" s="128"/>
      <c r="Y755" s="128"/>
      <c r="Z755" s="128"/>
      <c r="AA755" s="128">
        <f t="shared" si="899"/>
        <v>836739879.01999998</v>
      </c>
      <c r="AB755" s="128">
        <f t="shared" si="830"/>
        <v>836739879.01999998</v>
      </c>
      <c r="AC755" s="175">
        <f t="shared" si="902"/>
        <v>1</v>
      </c>
    </row>
    <row r="756" spans="1:29" ht="28.5" x14ac:dyDescent="0.2">
      <c r="B756" s="76" t="s">
        <v>1826</v>
      </c>
      <c r="C756" s="77" t="s">
        <v>1827</v>
      </c>
      <c r="D756" s="128"/>
      <c r="E756" s="188">
        <f>SUM('ADICIONES  2021'!C756:I756)</f>
        <v>756285670.79999995</v>
      </c>
      <c r="F756" s="128"/>
      <c r="G756" s="128"/>
      <c r="H756" s="128"/>
      <c r="I756" s="128"/>
      <c r="J756" s="128"/>
      <c r="K756" s="128">
        <f t="shared" si="829"/>
        <v>756285670.79999995</v>
      </c>
      <c r="L756" s="128"/>
      <c r="M756" s="128"/>
      <c r="N756" s="128"/>
      <c r="O756" s="128"/>
      <c r="P756" s="128"/>
      <c r="Q756" s="413"/>
      <c r="R756" s="128">
        <f t="shared" si="882"/>
        <v>0</v>
      </c>
      <c r="S756" s="128">
        <v>756285670.79999995</v>
      </c>
      <c r="T756" s="128"/>
      <c r="U756" s="128"/>
      <c r="V756" s="128"/>
      <c r="W756" s="128"/>
      <c r="X756" s="128"/>
      <c r="Y756" s="128"/>
      <c r="Z756" s="128"/>
      <c r="AA756" s="128">
        <f t="shared" si="899"/>
        <v>756285670.79999995</v>
      </c>
      <c r="AB756" s="128">
        <f t="shared" si="830"/>
        <v>756285670.79999995</v>
      </c>
      <c r="AC756" s="175">
        <f t="shared" si="902"/>
        <v>1</v>
      </c>
    </row>
    <row r="757" spans="1:29" ht="42.75" x14ac:dyDescent="0.2">
      <c r="B757" s="76" t="s">
        <v>1828</v>
      </c>
      <c r="C757" s="77" t="s">
        <v>1829</v>
      </c>
      <c r="D757" s="128"/>
      <c r="E757" s="188">
        <f>SUM('ADICIONES  2021'!C757:I757)</f>
        <v>15000000000</v>
      </c>
      <c r="F757" s="128"/>
      <c r="G757" s="128"/>
      <c r="H757" s="128"/>
      <c r="I757" s="128"/>
      <c r="J757" s="128"/>
      <c r="K757" s="128">
        <f t="shared" si="829"/>
        <v>15000000000</v>
      </c>
      <c r="L757" s="128"/>
      <c r="M757" s="128"/>
      <c r="N757" s="128"/>
      <c r="O757" s="128"/>
      <c r="P757" s="128"/>
      <c r="Q757" s="413"/>
      <c r="R757" s="128">
        <f t="shared" si="882"/>
        <v>0</v>
      </c>
      <c r="S757" s="128">
        <v>0</v>
      </c>
      <c r="T757" s="128"/>
      <c r="U757" s="128"/>
      <c r="V757" s="128"/>
      <c r="W757" s="128"/>
      <c r="X757" s="128"/>
      <c r="Y757" s="128"/>
      <c r="Z757" s="128"/>
      <c r="AA757" s="128">
        <f t="shared" si="899"/>
        <v>0</v>
      </c>
      <c r="AB757" s="128">
        <f t="shared" si="830"/>
        <v>0</v>
      </c>
      <c r="AC757" s="175">
        <f t="shared" si="902"/>
        <v>0</v>
      </c>
    </row>
    <row r="758" spans="1:29" ht="28.5" x14ac:dyDescent="0.2">
      <c r="B758" s="76" t="s">
        <v>1830</v>
      </c>
      <c r="C758" s="77" t="s">
        <v>1831</v>
      </c>
      <c r="D758" s="128"/>
      <c r="E758" s="188">
        <f>SUM('ADICIONES  2021'!C758:I758)</f>
        <v>999896762</v>
      </c>
      <c r="F758" s="128"/>
      <c r="G758" s="128"/>
      <c r="H758" s="128"/>
      <c r="I758" s="128"/>
      <c r="J758" s="128"/>
      <c r="K758" s="128">
        <f t="shared" si="829"/>
        <v>999896762</v>
      </c>
      <c r="L758" s="128"/>
      <c r="M758" s="128"/>
      <c r="N758" s="128"/>
      <c r="O758" s="128"/>
      <c r="P758" s="128"/>
      <c r="Q758" s="413"/>
      <c r="R758" s="128">
        <f t="shared" si="882"/>
        <v>0</v>
      </c>
      <c r="S758" s="128">
        <v>0</v>
      </c>
      <c r="T758" s="128"/>
      <c r="U758" s="128"/>
      <c r="V758" s="128"/>
      <c r="W758" s="128"/>
      <c r="X758" s="128"/>
      <c r="Y758" s="128"/>
      <c r="Z758" s="128"/>
      <c r="AA758" s="128">
        <f t="shared" si="899"/>
        <v>0</v>
      </c>
      <c r="AB758" s="128">
        <f t="shared" si="830"/>
        <v>0</v>
      </c>
      <c r="AC758" s="175">
        <f t="shared" si="902"/>
        <v>0</v>
      </c>
    </row>
    <row r="759" spans="1:29" ht="57" x14ac:dyDescent="0.2">
      <c r="B759" s="76" t="s">
        <v>1832</v>
      </c>
      <c r="C759" s="77" t="s">
        <v>1833</v>
      </c>
      <c r="D759" s="128"/>
      <c r="E759" s="188">
        <f>SUM('ADICIONES  2021'!C759:I759)</f>
        <v>324093620.44999999</v>
      </c>
      <c r="F759" s="128"/>
      <c r="G759" s="128"/>
      <c r="H759" s="128"/>
      <c r="I759" s="128"/>
      <c r="J759" s="128"/>
      <c r="K759" s="128">
        <f t="shared" si="829"/>
        <v>324093620.44999999</v>
      </c>
      <c r="L759" s="128"/>
      <c r="M759" s="128"/>
      <c r="N759" s="128"/>
      <c r="O759" s="128"/>
      <c r="P759" s="128"/>
      <c r="Q759" s="413"/>
      <c r="R759" s="128">
        <f t="shared" si="882"/>
        <v>0</v>
      </c>
      <c r="S759" s="128">
        <v>65597968.93</v>
      </c>
      <c r="T759" s="128"/>
      <c r="U759" s="128"/>
      <c r="V759" s="128"/>
      <c r="W759" s="128"/>
      <c r="X759" s="128"/>
      <c r="Y759" s="128"/>
      <c r="Z759" s="128"/>
      <c r="AA759" s="128">
        <f t="shared" si="899"/>
        <v>65597968.93</v>
      </c>
      <c r="AB759" s="128">
        <f t="shared" si="830"/>
        <v>65597968.93</v>
      </c>
      <c r="AC759" s="175">
        <f t="shared" si="902"/>
        <v>0.20240438191568852</v>
      </c>
    </row>
    <row r="760" spans="1:29" ht="42.75" x14ac:dyDescent="0.2">
      <c r="B760" s="76" t="s">
        <v>1834</v>
      </c>
      <c r="C760" s="77" t="s">
        <v>1835</v>
      </c>
      <c r="D760" s="128"/>
      <c r="E760" s="188">
        <f>SUM('ADICIONES  2021'!C760:I760)</f>
        <v>248932465.52000001</v>
      </c>
      <c r="F760" s="128"/>
      <c r="G760" s="128"/>
      <c r="H760" s="128"/>
      <c r="I760" s="128"/>
      <c r="J760" s="128"/>
      <c r="K760" s="128">
        <f t="shared" si="829"/>
        <v>248932465.52000001</v>
      </c>
      <c r="L760" s="128"/>
      <c r="M760" s="128"/>
      <c r="N760" s="128"/>
      <c r="O760" s="128"/>
      <c r="P760" s="128"/>
      <c r="Q760" s="413"/>
      <c r="R760" s="128">
        <f t="shared" si="882"/>
        <v>0</v>
      </c>
      <c r="S760" s="128">
        <v>248932465.52000001</v>
      </c>
      <c r="T760" s="128"/>
      <c r="U760" s="128"/>
      <c r="V760" s="128"/>
      <c r="W760" s="128"/>
      <c r="X760" s="128"/>
      <c r="Y760" s="128"/>
      <c r="Z760" s="128"/>
      <c r="AA760" s="128">
        <f t="shared" si="899"/>
        <v>248932465.52000001</v>
      </c>
      <c r="AB760" s="128">
        <f t="shared" si="830"/>
        <v>248932465.52000001</v>
      </c>
      <c r="AC760" s="175">
        <f t="shared" si="902"/>
        <v>1</v>
      </c>
    </row>
    <row r="761" spans="1:29" ht="42.75" x14ac:dyDescent="0.2">
      <c r="B761" s="76" t="s">
        <v>1836</v>
      </c>
      <c r="C761" s="77" t="s">
        <v>1837</v>
      </c>
      <c r="D761" s="128"/>
      <c r="E761" s="188">
        <f>SUM('ADICIONES  2021'!C761:I761)</f>
        <v>262570505</v>
      </c>
      <c r="F761" s="128"/>
      <c r="G761" s="128"/>
      <c r="H761" s="128"/>
      <c r="I761" s="128"/>
      <c r="J761" s="128"/>
      <c r="K761" s="128">
        <f t="shared" si="829"/>
        <v>262570505</v>
      </c>
      <c r="L761" s="128"/>
      <c r="M761" s="128"/>
      <c r="N761" s="128"/>
      <c r="O761" s="128"/>
      <c r="P761" s="128"/>
      <c r="Q761" s="413"/>
      <c r="R761" s="128">
        <f t="shared" si="882"/>
        <v>0</v>
      </c>
      <c r="S761" s="128">
        <v>262570505</v>
      </c>
      <c r="T761" s="128"/>
      <c r="U761" s="128"/>
      <c r="V761" s="128"/>
      <c r="W761" s="128"/>
      <c r="X761" s="128"/>
      <c r="Y761" s="128"/>
      <c r="Z761" s="128"/>
      <c r="AA761" s="128">
        <f t="shared" si="899"/>
        <v>262570505</v>
      </c>
      <c r="AB761" s="128">
        <f t="shared" si="830"/>
        <v>262570505</v>
      </c>
      <c r="AC761" s="175">
        <f t="shared" si="902"/>
        <v>1</v>
      </c>
    </row>
    <row r="762" spans="1:29" ht="28.5" x14ac:dyDescent="0.2">
      <c r="B762" s="76" t="s">
        <v>1838</v>
      </c>
      <c r="C762" s="77" t="s">
        <v>1839</v>
      </c>
      <c r="D762" s="128"/>
      <c r="E762" s="188">
        <f>SUM('ADICIONES  2021'!C762:I762)</f>
        <v>18594911012.080002</v>
      </c>
      <c r="F762" s="128"/>
      <c r="G762" s="128"/>
      <c r="H762" s="128"/>
      <c r="I762" s="128"/>
      <c r="J762" s="128"/>
      <c r="K762" s="128">
        <f t="shared" si="829"/>
        <v>18594911012.080002</v>
      </c>
      <c r="L762" s="128"/>
      <c r="M762" s="128"/>
      <c r="N762" s="128"/>
      <c r="O762" s="128"/>
      <c r="P762" s="128"/>
      <c r="Q762" s="413"/>
      <c r="R762" s="128">
        <f t="shared" ref="R762:R764" si="905">SUM(L762:Q762)</f>
        <v>0</v>
      </c>
      <c r="S762" s="128">
        <v>18594911012.080002</v>
      </c>
      <c r="T762" s="128"/>
      <c r="U762" s="128"/>
      <c r="V762" s="128"/>
      <c r="W762" s="128"/>
      <c r="X762" s="128"/>
      <c r="Y762" s="128"/>
      <c r="Z762" s="128"/>
      <c r="AA762" s="128">
        <f t="shared" si="899"/>
        <v>18594911012.080002</v>
      </c>
      <c r="AB762" s="128">
        <f t="shared" si="830"/>
        <v>18594911012.080002</v>
      </c>
      <c r="AC762" s="175">
        <f t="shared" si="902"/>
        <v>1</v>
      </c>
    </row>
    <row r="763" spans="1:29" ht="28.5" x14ac:dyDescent="0.2">
      <c r="B763" s="76" t="s">
        <v>1840</v>
      </c>
      <c r="C763" s="77" t="s">
        <v>1841</v>
      </c>
      <c r="D763" s="128"/>
      <c r="E763" s="188">
        <f>SUM('ADICIONES  2021'!C763:I763)</f>
        <v>1263330116.8699999</v>
      </c>
      <c r="F763" s="128"/>
      <c r="G763" s="128"/>
      <c r="H763" s="128"/>
      <c r="I763" s="128"/>
      <c r="J763" s="128"/>
      <c r="K763" s="128">
        <f t="shared" si="829"/>
        <v>1263330116.8699999</v>
      </c>
      <c r="L763" s="128"/>
      <c r="M763" s="128"/>
      <c r="N763" s="128"/>
      <c r="O763" s="128"/>
      <c r="P763" s="128"/>
      <c r="Q763" s="413"/>
      <c r="R763" s="128">
        <f t="shared" si="905"/>
        <v>0</v>
      </c>
      <c r="S763" s="128">
        <v>1263330116.8699999</v>
      </c>
      <c r="T763" s="128"/>
      <c r="U763" s="128"/>
      <c r="V763" s="128"/>
      <c r="W763" s="128"/>
      <c r="X763" s="128"/>
      <c r="Y763" s="128"/>
      <c r="Z763" s="128"/>
      <c r="AA763" s="128">
        <f t="shared" si="899"/>
        <v>1263330116.8699999</v>
      </c>
      <c r="AB763" s="128">
        <f t="shared" si="830"/>
        <v>1263330116.8699999</v>
      </c>
      <c r="AC763" s="175">
        <f t="shared" si="902"/>
        <v>1</v>
      </c>
    </row>
    <row r="764" spans="1:29" ht="29.25" thickBot="1" x14ac:dyDescent="0.25">
      <c r="B764" s="158" t="s">
        <v>1842</v>
      </c>
      <c r="C764" s="221" t="s">
        <v>1843</v>
      </c>
      <c r="D764" s="129"/>
      <c r="E764" s="188">
        <f>SUM('ADICIONES  2021'!C764:I764)</f>
        <v>14999353.52</v>
      </c>
      <c r="F764" s="129"/>
      <c r="G764" s="129"/>
      <c r="H764" s="129"/>
      <c r="I764" s="129"/>
      <c r="J764" s="129"/>
      <c r="K764" s="129">
        <f t="shared" si="829"/>
        <v>14999353.52</v>
      </c>
      <c r="L764" s="129"/>
      <c r="M764" s="129"/>
      <c r="N764" s="129"/>
      <c r="O764" s="129"/>
      <c r="P764" s="129"/>
      <c r="Q764" s="419"/>
      <c r="R764" s="129">
        <f t="shared" si="905"/>
        <v>0</v>
      </c>
      <c r="S764" s="129">
        <v>14999353.52</v>
      </c>
      <c r="T764" s="129"/>
      <c r="U764" s="129"/>
      <c r="V764" s="129"/>
      <c r="W764" s="129"/>
      <c r="X764" s="129"/>
      <c r="Y764" s="129"/>
      <c r="Z764" s="129"/>
      <c r="AA764" s="129">
        <f t="shared" si="899"/>
        <v>14999353.52</v>
      </c>
      <c r="AB764" s="129">
        <f t="shared" si="830"/>
        <v>14999353.52</v>
      </c>
      <c r="AC764" s="259">
        <f t="shared" si="902"/>
        <v>1</v>
      </c>
    </row>
    <row r="765" spans="1:29" s="142" customFormat="1" ht="20.25" thickBot="1" x14ac:dyDescent="0.25">
      <c r="A765" s="141">
        <v>1</v>
      </c>
      <c r="B765" s="459" t="s">
        <v>49</v>
      </c>
      <c r="C765" s="460"/>
      <c r="D765" s="358">
        <f>+D11+D667</f>
        <v>707007905818</v>
      </c>
      <c r="E765" s="336">
        <f t="shared" ref="E765:AB765" si="906">+E11+E667</f>
        <v>461866784098.34991</v>
      </c>
      <c r="F765" s="358">
        <f t="shared" si="906"/>
        <v>2634273900</v>
      </c>
      <c r="G765" s="358">
        <f t="shared" si="906"/>
        <v>350000000</v>
      </c>
      <c r="H765" s="358">
        <f t="shared" si="906"/>
        <v>2500000000</v>
      </c>
      <c r="I765" s="358">
        <f t="shared" si="906"/>
        <v>0</v>
      </c>
      <c r="J765" s="358">
        <f t="shared" si="906"/>
        <v>0</v>
      </c>
      <c r="K765" s="358">
        <f t="shared" si="906"/>
        <v>1164090416016.3499</v>
      </c>
      <c r="L765" s="358">
        <f t="shared" si="906"/>
        <v>62802238400.790802</v>
      </c>
      <c r="M765" s="358">
        <f t="shared" si="906"/>
        <v>58423450867.341599</v>
      </c>
      <c r="N765" s="358">
        <f t="shared" si="906"/>
        <v>70401016286.063797</v>
      </c>
      <c r="O765" s="358">
        <f t="shared" si="906"/>
        <v>51327542578.488396</v>
      </c>
      <c r="P765" s="358">
        <f t="shared" si="906"/>
        <v>191151139764.5152</v>
      </c>
      <c r="Q765" s="420">
        <f t="shared" si="906"/>
        <v>67443652601.886795</v>
      </c>
      <c r="R765" s="358">
        <f t="shared" si="906"/>
        <v>501549040499.08661</v>
      </c>
      <c r="S765" s="358">
        <f t="shared" si="906"/>
        <v>129240911428.52921</v>
      </c>
      <c r="T765" s="358">
        <f t="shared" si="906"/>
        <v>0</v>
      </c>
      <c r="U765" s="358">
        <f t="shared" si="906"/>
        <v>0</v>
      </c>
      <c r="V765" s="358">
        <f t="shared" si="906"/>
        <v>0</v>
      </c>
      <c r="W765" s="358">
        <f t="shared" si="906"/>
        <v>0</v>
      </c>
      <c r="X765" s="358">
        <f t="shared" si="906"/>
        <v>0</v>
      </c>
      <c r="Y765" s="358">
        <f t="shared" si="906"/>
        <v>-526413195</v>
      </c>
      <c r="Z765" s="358">
        <f t="shared" si="906"/>
        <v>0</v>
      </c>
      <c r="AA765" s="358">
        <f t="shared" si="906"/>
        <v>128714498233.52921</v>
      </c>
      <c r="AB765" s="358">
        <f t="shared" si="906"/>
        <v>630263538732.61584</v>
      </c>
      <c r="AC765" s="359">
        <f>AB765/K765</f>
        <v>0.54142146525821377</v>
      </c>
    </row>
    <row r="766" spans="1:29" ht="15.75" x14ac:dyDescent="0.2">
      <c r="A766" s="100">
        <v>1</v>
      </c>
      <c r="B766" s="20"/>
      <c r="C766" s="3"/>
      <c r="D766" s="337"/>
      <c r="E766" s="185"/>
      <c r="F766" s="149"/>
      <c r="G766" s="149"/>
      <c r="H766" s="150"/>
      <c r="I766" s="147"/>
      <c r="J766" s="147"/>
      <c r="K766" s="147"/>
      <c r="L766" s="147"/>
      <c r="M766" s="147"/>
      <c r="N766" s="147"/>
      <c r="O766" s="147"/>
      <c r="P766" s="147"/>
      <c r="Q766" s="421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95"/>
    </row>
    <row r="767" spans="1:29" ht="19.5" x14ac:dyDescent="0.2">
      <c r="A767" s="100">
        <v>1</v>
      </c>
      <c r="B767" s="21"/>
      <c r="C767" s="453" t="s">
        <v>21</v>
      </c>
      <c r="D767" s="453"/>
      <c r="E767" s="188"/>
      <c r="F767" s="188"/>
      <c r="G767" s="188"/>
      <c r="H767" s="188"/>
      <c r="I767" s="188"/>
      <c r="J767" s="188"/>
      <c r="K767" s="188"/>
      <c r="L767" s="128"/>
      <c r="M767" s="128"/>
      <c r="N767" s="128"/>
      <c r="O767" s="128"/>
      <c r="P767" s="128"/>
      <c r="Q767" s="413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76"/>
    </row>
    <row r="768" spans="1:29" s="142" customFormat="1" ht="19.5" x14ac:dyDescent="0.2">
      <c r="A768" s="141">
        <v>1</v>
      </c>
      <c r="B768" s="161" t="s">
        <v>382</v>
      </c>
      <c r="C768" s="160" t="s">
        <v>965</v>
      </c>
      <c r="D768" s="338">
        <f>+D769+D889</f>
        <v>130199862756.89999</v>
      </c>
      <c r="E768" s="306">
        <f>SUM('ADICIONES  2021'!C768:I768)</f>
        <v>48678333980.220001</v>
      </c>
      <c r="F768" s="165"/>
      <c r="G768" s="165">
        <f>+G769+G889</f>
        <v>2500000000</v>
      </c>
      <c r="H768" s="165">
        <f>+H769+H889</f>
        <v>350000000</v>
      </c>
      <c r="I768" s="165">
        <f>+I769+I889</f>
        <v>0</v>
      </c>
      <c r="J768" s="165">
        <f>+J769+J889</f>
        <v>0</v>
      </c>
      <c r="K768" s="162">
        <f t="shared" ref="K768:K772" si="907">+D768+E768-F768+G768-H768</f>
        <v>181028196737.12</v>
      </c>
      <c r="L768" s="165">
        <f t="shared" ref="L768:Q768" si="908">+L769+L889</f>
        <v>14396430252.819202</v>
      </c>
      <c r="M768" s="165">
        <f t="shared" si="908"/>
        <v>9194413809.0683994</v>
      </c>
      <c r="N768" s="165">
        <f t="shared" si="908"/>
        <v>15323833234.066198</v>
      </c>
      <c r="O768" s="165">
        <f t="shared" si="908"/>
        <v>13705612361.3916</v>
      </c>
      <c r="P768" s="165">
        <f t="shared" si="908"/>
        <v>41808421349.804802</v>
      </c>
      <c r="Q768" s="422">
        <f t="shared" si="908"/>
        <v>10783369269.4132</v>
      </c>
      <c r="R768" s="162">
        <f t="shared" ref="R768:R772" si="909">SUM(L768:Q768)</f>
        <v>105212080276.56342</v>
      </c>
      <c r="S768" s="165">
        <f t="shared" ref="S768:Z768" si="910">+S769+S889</f>
        <v>14792855704.080799</v>
      </c>
      <c r="T768" s="165">
        <f t="shared" si="910"/>
        <v>0</v>
      </c>
      <c r="U768" s="165">
        <f t="shared" si="910"/>
        <v>0</v>
      </c>
      <c r="V768" s="165">
        <f t="shared" si="910"/>
        <v>0</v>
      </c>
      <c r="W768" s="165">
        <f t="shared" si="910"/>
        <v>0</v>
      </c>
      <c r="X768" s="165">
        <f t="shared" si="910"/>
        <v>0</v>
      </c>
      <c r="Y768" s="165">
        <f t="shared" si="910"/>
        <v>0</v>
      </c>
      <c r="Z768" s="165">
        <f t="shared" si="910"/>
        <v>0</v>
      </c>
      <c r="AA768" s="162">
        <f t="shared" ref="AA768:AA773" si="911">SUM(S768:Z768)</f>
        <v>14792855704.080799</v>
      </c>
      <c r="AB768" s="386">
        <f t="shared" ref="AB768:AB836" si="912">+R768+AA768</f>
        <v>120004935980.64421</v>
      </c>
      <c r="AC768" s="173">
        <f t="shared" ref="AC768:AC836" si="913">+AB768/K768</f>
        <v>0.66290742626635846</v>
      </c>
    </row>
    <row r="769" spans="1:29" s="142" customFormat="1" ht="19.5" x14ac:dyDescent="0.2">
      <c r="A769" s="141">
        <v>1</v>
      </c>
      <c r="B769" s="161" t="s">
        <v>383</v>
      </c>
      <c r="C769" s="160" t="s">
        <v>966</v>
      </c>
      <c r="D769" s="338">
        <f>+D770+D824</f>
        <v>127706050258.17999</v>
      </c>
      <c r="E769" s="306">
        <f>SUM('ADICIONES  2021'!C769:I769)</f>
        <v>17054650303.900002</v>
      </c>
      <c r="F769" s="165"/>
      <c r="G769" s="165">
        <f t="shared" ref="G769:J769" si="914">+G770+G824</f>
        <v>2500000000</v>
      </c>
      <c r="H769" s="165">
        <f t="shared" si="914"/>
        <v>350000000</v>
      </c>
      <c r="I769" s="165">
        <f t="shared" si="914"/>
        <v>0</v>
      </c>
      <c r="J769" s="165">
        <f t="shared" si="914"/>
        <v>0</v>
      </c>
      <c r="K769" s="162">
        <f t="shared" si="907"/>
        <v>146910700562.07999</v>
      </c>
      <c r="L769" s="165">
        <f t="shared" ref="L769:Q769" si="915">+L770+L824</f>
        <v>14171690553.549202</v>
      </c>
      <c r="M769" s="165">
        <f t="shared" si="915"/>
        <v>8990913184.6884003</v>
      </c>
      <c r="N769" s="165">
        <f t="shared" si="915"/>
        <v>14883380024.846199</v>
      </c>
      <c r="O769" s="165">
        <f t="shared" si="915"/>
        <v>13546560062.0916</v>
      </c>
      <c r="P769" s="165">
        <f t="shared" si="915"/>
        <v>20776705362.424801</v>
      </c>
      <c r="Q769" s="422">
        <f t="shared" si="915"/>
        <v>10646838090.623199</v>
      </c>
      <c r="R769" s="162">
        <f t="shared" si="909"/>
        <v>83016087278.223404</v>
      </c>
      <c r="S769" s="165">
        <f t="shared" ref="S769:Z769" si="916">+S770+S824</f>
        <v>14635848508.420799</v>
      </c>
      <c r="T769" s="165">
        <f t="shared" si="916"/>
        <v>0</v>
      </c>
      <c r="U769" s="165">
        <f t="shared" si="916"/>
        <v>0</v>
      </c>
      <c r="V769" s="165">
        <f t="shared" si="916"/>
        <v>0</v>
      </c>
      <c r="W769" s="165">
        <f t="shared" si="916"/>
        <v>0</v>
      </c>
      <c r="X769" s="165">
        <f t="shared" si="916"/>
        <v>0</v>
      </c>
      <c r="Y769" s="165">
        <f t="shared" si="916"/>
        <v>0</v>
      </c>
      <c r="Z769" s="165">
        <f t="shared" si="916"/>
        <v>0</v>
      </c>
      <c r="AA769" s="162">
        <f t="shared" si="911"/>
        <v>14635848508.420799</v>
      </c>
      <c r="AB769" s="386">
        <f t="shared" si="912"/>
        <v>97651935786.644196</v>
      </c>
      <c r="AC769" s="173">
        <f t="shared" si="913"/>
        <v>0.66470267593189691</v>
      </c>
    </row>
    <row r="770" spans="1:29" s="142" customFormat="1" ht="19.5" x14ac:dyDescent="0.2">
      <c r="A770" s="141">
        <v>1</v>
      </c>
      <c r="B770" s="161" t="s">
        <v>384</v>
      </c>
      <c r="C770" s="160" t="s">
        <v>967</v>
      </c>
      <c r="D770" s="338">
        <f>+D771+D777</f>
        <v>52208079001.369995</v>
      </c>
      <c r="E770" s="306">
        <f>SUM('ADICIONES  2021'!C770:I770)</f>
        <v>168538869.03</v>
      </c>
      <c r="F770" s="165"/>
      <c r="G770" s="165">
        <f t="shared" ref="G770:J770" si="917">+G771+G777</f>
        <v>0</v>
      </c>
      <c r="H770" s="165">
        <f t="shared" si="917"/>
        <v>0</v>
      </c>
      <c r="I770" s="165">
        <f t="shared" si="917"/>
        <v>0</v>
      </c>
      <c r="J770" s="165">
        <f t="shared" si="917"/>
        <v>0</v>
      </c>
      <c r="K770" s="162">
        <f t="shared" si="907"/>
        <v>52376617870.399994</v>
      </c>
      <c r="L770" s="165">
        <f t="shared" ref="L770:Q770" si="918">+L771+L777</f>
        <v>6257894767.0500002</v>
      </c>
      <c r="M770" s="165">
        <f t="shared" si="918"/>
        <v>4815552665.3900003</v>
      </c>
      <c r="N770" s="165">
        <f t="shared" si="918"/>
        <v>6271707307.4799995</v>
      </c>
      <c r="O770" s="165">
        <f t="shared" si="918"/>
        <v>3928389601.9200001</v>
      </c>
      <c r="P770" s="165">
        <f t="shared" si="918"/>
        <v>4345670012.9700003</v>
      </c>
      <c r="Q770" s="422">
        <f t="shared" si="918"/>
        <v>4171657878.8800001</v>
      </c>
      <c r="R770" s="162">
        <f t="shared" si="909"/>
        <v>29790872233.689999</v>
      </c>
      <c r="S770" s="165">
        <f t="shared" ref="S770:Z770" si="919">+S771+S777</f>
        <v>5376996058.8800001</v>
      </c>
      <c r="T770" s="165">
        <f t="shared" si="919"/>
        <v>0</v>
      </c>
      <c r="U770" s="165">
        <f t="shared" si="919"/>
        <v>0</v>
      </c>
      <c r="V770" s="165">
        <f t="shared" si="919"/>
        <v>0</v>
      </c>
      <c r="W770" s="165">
        <f t="shared" si="919"/>
        <v>0</v>
      </c>
      <c r="X770" s="165">
        <f t="shared" si="919"/>
        <v>0</v>
      </c>
      <c r="Y770" s="165">
        <f t="shared" si="919"/>
        <v>0</v>
      </c>
      <c r="Z770" s="165">
        <f t="shared" si="919"/>
        <v>0</v>
      </c>
      <c r="AA770" s="162">
        <f t="shared" si="911"/>
        <v>5376996058.8800001</v>
      </c>
      <c r="AB770" s="386">
        <f t="shared" si="912"/>
        <v>35167868292.57</v>
      </c>
      <c r="AC770" s="173">
        <f t="shared" si="913"/>
        <v>0.67144213816151521</v>
      </c>
    </row>
    <row r="771" spans="1:29" s="142" customFormat="1" ht="19.5" x14ac:dyDescent="0.2">
      <c r="A771" s="141">
        <v>1</v>
      </c>
      <c r="B771" s="161" t="s">
        <v>385</v>
      </c>
      <c r="C771" s="160" t="s">
        <v>968</v>
      </c>
      <c r="D771" s="338">
        <f>+D772</f>
        <v>1027296266.58</v>
      </c>
      <c r="E771" s="306">
        <f>SUM('ADICIONES  2021'!C771:I771)</f>
        <v>0</v>
      </c>
      <c r="F771" s="165"/>
      <c r="G771" s="165">
        <f t="shared" ref="G771:J771" si="920">+G772</f>
        <v>0</v>
      </c>
      <c r="H771" s="165">
        <f t="shared" si="920"/>
        <v>0</v>
      </c>
      <c r="I771" s="165">
        <f t="shared" si="920"/>
        <v>0</v>
      </c>
      <c r="J771" s="165">
        <f t="shared" si="920"/>
        <v>0</v>
      </c>
      <c r="K771" s="162">
        <f t="shared" si="907"/>
        <v>1027296266.58</v>
      </c>
      <c r="L771" s="165">
        <f t="shared" ref="L771:Q771" si="921">+L772</f>
        <v>106024316.05000001</v>
      </c>
      <c r="M771" s="165">
        <f t="shared" si="921"/>
        <v>77173041.390000001</v>
      </c>
      <c r="N771" s="165">
        <f t="shared" si="921"/>
        <v>84947531.480000004</v>
      </c>
      <c r="O771" s="165">
        <f t="shared" si="921"/>
        <v>84132804.920000002</v>
      </c>
      <c r="P771" s="165">
        <f t="shared" si="921"/>
        <v>60939185.969999999</v>
      </c>
      <c r="Q771" s="422">
        <f t="shared" si="921"/>
        <v>106796998.88</v>
      </c>
      <c r="R771" s="162">
        <f t="shared" si="909"/>
        <v>520013878.69000006</v>
      </c>
      <c r="S771" s="165">
        <f t="shared" ref="S771:Z771" si="922">+S772</f>
        <v>136625700.58000001</v>
      </c>
      <c r="T771" s="165">
        <f t="shared" si="922"/>
        <v>0</v>
      </c>
      <c r="U771" s="165">
        <f t="shared" si="922"/>
        <v>0</v>
      </c>
      <c r="V771" s="165">
        <f t="shared" si="922"/>
        <v>0</v>
      </c>
      <c r="W771" s="165">
        <f t="shared" si="922"/>
        <v>0</v>
      </c>
      <c r="X771" s="165">
        <f t="shared" si="922"/>
        <v>0</v>
      </c>
      <c r="Y771" s="165">
        <f t="shared" si="922"/>
        <v>0</v>
      </c>
      <c r="Z771" s="165">
        <f t="shared" si="922"/>
        <v>0</v>
      </c>
      <c r="AA771" s="162">
        <f t="shared" si="911"/>
        <v>136625700.58000001</v>
      </c>
      <c r="AB771" s="162">
        <f t="shared" si="912"/>
        <v>656639579.2700001</v>
      </c>
      <c r="AC771" s="173">
        <f t="shared" si="913"/>
        <v>0.639192023403372</v>
      </c>
    </row>
    <row r="772" spans="1:29" s="19" customFormat="1" ht="31.5" x14ac:dyDescent="0.2">
      <c r="A772" s="397">
        <v>1</v>
      </c>
      <c r="B772" s="81" t="s">
        <v>969</v>
      </c>
      <c r="C772" s="79" t="s">
        <v>970</v>
      </c>
      <c r="D772" s="339">
        <f>SUM(D773:D775)</f>
        <v>1027296266.58</v>
      </c>
      <c r="E772" s="187">
        <f>SUM('ADICIONES  2021'!C772:I772)</f>
        <v>0</v>
      </c>
      <c r="F772" s="130"/>
      <c r="G772" s="130">
        <f t="shared" ref="G772:J772" si="923">SUM(G773:G775)</f>
        <v>0</v>
      </c>
      <c r="H772" s="130">
        <f t="shared" si="923"/>
        <v>0</v>
      </c>
      <c r="I772" s="130">
        <f t="shared" si="923"/>
        <v>0</v>
      </c>
      <c r="J772" s="130">
        <f t="shared" si="923"/>
        <v>0</v>
      </c>
      <c r="K772" s="78">
        <f t="shared" si="907"/>
        <v>1027296266.58</v>
      </c>
      <c r="L772" s="130">
        <f t="shared" ref="L772:Q772" si="924">SUM(L773:L775)</f>
        <v>106024316.05000001</v>
      </c>
      <c r="M772" s="130">
        <f t="shared" si="924"/>
        <v>77173041.390000001</v>
      </c>
      <c r="N772" s="130">
        <f t="shared" si="924"/>
        <v>84947531.480000004</v>
      </c>
      <c r="O772" s="130">
        <f t="shared" si="924"/>
        <v>84132804.920000002</v>
      </c>
      <c r="P772" s="130">
        <f t="shared" si="924"/>
        <v>60939185.969999999</v>
      </c>
      <c r="Q772" s="423">
        <f t="shared" si="924"/>
        <v>106796998.88</v>
      </c>
      <c r="R772" s="78">
        <f t="shared" si="909"/>
        <v>520013878.69000006</v>
      </c>
      <c r="S772" s="130">
        <f t="shared" ref="S772:Z772" si="925">SUM(S773:S775)</f>
        <v>136625700.58000001</v>
      </c>
      <c r="T772" s="130">
        <f t="shared" si="925"/>
        <v>0</v>
      </c>
      <c r="U772" s="130">
        <f t="shared" si="925"/>
        <v>0</v>
      </c>
      <c r="V772" s="130">
        <f t="shared" si="925"/>
        <v>0</v>
      </c>
      <c r="W772" s="130">
        <f t="shared" si="925"/>
        <v>0</v>
      </c>
      <c r="X772" s="130">
        <f t="shared" si="925"/>
        <v>0</v>
      </c>
      <c r="Y772" s="130">
        <f t="shared" si="925"/>
        <v>0</v>
      </c>
      <c r="Z772" s="130">
        <f t="shared" si="925"/>
        <v>0</v>
      </c>
      <c r="AA772" s="78">
        <f t="shared" si="911"/>
        <v>136625700.58000001</v>
      </c>
      <c r="AB772" s="78">
        <f t="shared" si="912"/>
        <v>656639579.2700001</v>
      </c>
      <c r="AC772" s="174">
        <f t="shared" si="913"/>
        <v>0.639192023403372</v>
      </c>
    </row>
    <row r="773" spans="1:29" ht="28.5" x14ac:dyDescent="0.2">
      <c r="B773" s="76" t="s">
        <v>971</v>
      </c>
      <c r="C773" s="77" t="s">
        <v>375</v>
      </c>
      <c r="D773" s="340">
        <v>256824066.80000001</v>
      </c>
      <c r="E773" s="188">
        <f>SUM('ADICIONES  2021'!C773:I773)</f>
        <v>0</v>
      </c>
      <c r="F773" s="131"/>
      <c r="G773" s="131"/>
      <c r="H773" s="131"/>
      <c r="I773" s="131"/>
      <c r="J773" s="131"/>
      <c r="K773" s="128">
        <f>+D773+E773-F773+G773-H773</f>
        <v>256824066.80000001</v>
      </c>
      <c r="L773" s="131">
        <v>26506078.940000001</v>
      </c>
      <c r="M773" s="131">
        <v>19293261.390000001</v>
      </c>
      <c r="N773" s="131">
        <v>21236883.27</v>
      </c>
      <c r="O773" s="131">
        <v>21033201.920000002</v>
      </c>
      <c r="P773" s="131">
        <v>15234796.970000001</v>
      </c>
      <c r="Q773" s="424">
        <v>26699249</v>
      </c>
      <c r="R773" s="128">
        <f>SUM(L773:Q773)</f>
        <v>130003471.48999999</v>
      </c>
      <c r="S773" s="131">
        <v>33943521.210000001</v>
      </c>
      <c r="T773" s="131"/>
      <c r="U773" s="131"/>
      <c r="V773" s="131"/>
      <c r="W773" s="131"/>
      <c r="X773" s="131"/>
      <c r="Y773" s="131"/>
      <c r="Z773" s="131"/>
      <c r="AA773" s="128">
        <f t="shared" si="911"/>
        <v>33943521.210000001</v>
      </c>
      <c r="AB773" s="128">
        <f t="shared" si="912"/>
        <v>163946992.69999999</v>
      </c>
      <c r="AC773" s="175">
        <f t="shared" si="913"/>
        <v>0.63836304261809151</v>
      </c>
    </row>
    <row r="774" spans="1:29" ht="28.5" x14ac:dyDescent="0.2">
      <c r="B774" s="76" t="s">
        <v>972</v>
      </c>
      <c r="C774" s="77" t="s">
        <v>375</v>
      </c>
      <c r="D774" s="340">
        <v>71910738.700000003</v>
      </c>
      <c r="E774" s="188">
        <f>SUM('ADICIONES  2021'!C774:I774)</f>
        <v>0</v>
      </c>
      <c r="F774" s="131"/>
      <c r="G774" s="131"/>
      <c r="H774" s="131"/>
      <c r="I774" s="131"/>
      <c r="J774" s="131"/>
      <c r="K774" s="128">
        <f>+D774+E774-F774+G774-H774</f>
        <v>71910738.700000003</v>
      </c>
      <c r="L774" s="131">
        <v>7421702.1100000003</v>
      </c>
      <c r="M774" s="131">
        <v>5402112</v>
      </c>
      <c r="N774" s="131">
        <v>5946327.21</v>
      </c>
      <c r="O774" s="131">
        <v>5889296</v>
      </c>
      <c r="P774" s="131">
        <v>4265743</v>
      </c>
      <c r="Q774" s="424">
        <v>7475790.8799999999</v>
      </c>
      <c r="R774" s="128">
        <f t="shared" ref="R774:R844" si="926">SUM(L774:Q774)</f>
        <v>36400971.200000003</v>
      </c>
      <c r="S774" s="131">
        <v>9504186</v>
      </c>
      <c r="T774" s="131"/>
      <c r="U774" s="131"/>
      <c r="V774" s="131"/>
      <c r="W774" s="131"/>
      <c r="X774" s="131"/>
      <c r="Y774" s="131"/>
      <c r="Z774" s="131"/>
      <c r="AA774" s="128">
        <f t="shared" ref="AA774:AA844" si="927">SUM(S774:Z774)</f>
        <v>9504186</v>
      </c>
      <c r="AB774" s="128">
        <f t="shared" si="912"/>
        <v>45905157.200000003</v>
      </c>
      <c r="AC774" s="175">
        <f t="shared" si="913"/>
        <v>0.63836303214056678</v>
      </c>
    </row>
    <row r="775" spans="1:29" s="63" customFormat="1" ht="30" x14ac:dyDescent="0.2">
      <c r="A775" s="397"/>
      <c r="B775" s="81" t="s">
        <v>973</v>
      </c>
      <c r="C775" s="194" t="s">
        <v>974</v>
      </c>
      <c r="D775" s="339">
        <f>+D776</f>
        <v>698561461.08000004</v>
      </c>
      <c r="E775" s="187">
        <f>SUM('ADICIONES  2021'!C775:I775)</f>
        <v>0</v>
      </c>
      <c r="F775" s="130"/>
      <c r="G775" s="130">
        <f t="shared" ref="G775:J775" si="928">+G776</f>
        <v>0</v>
      </c>
      <c r="H775" s="130">
        <f t="shared" si="928"/>
        <v>0</v>
      </c>
      <c r="I775" s="130">
        <f t="shared" si="928"/>
        <v>0</v>
      </c>
      <c r="J775" s="130">
        <f t="shared" si="928"/>
        <v>0</v>
      </c>
      <c r="K775" s="78">
        <f t="shared" ref="K775:K845" si="929">+D775+E775-F775+G775-H775</f>
        <v>698561461.08000004</v>
      </c>
      <c r="L775" s="130">
        <f t="shared" ref="L775:Q775" si="930">+L776</f>
        <v>72096535</v>
      </c>
      <c r="M775" s="130">
        <f t="shared" si="930"/>
        <v>52477668</v>
      </c>
      <c r="N775" s="130">
        <f t="shared" si="930"/>
        <v>57764321</v>
      </c>
      <c r="O775" s="130">
        <f t="shared" si="930"/>
        <v>57210307</v>
      </c>
      <c r="P775" s="130">
        <f t="shared" si="930"/>
        <v>41438646</v>
      </c>
      <c r="Q775" s="423">
        <f t="shared" si="930"/>
        <v>72621959</v>
      </c>
      <c r="R775" s="78">
        <f t="shared" si="926"/>
        <v>353609436</v>
      </c>
      <c r="S775" s="130">
        <f t="shared" ref="S775:Z775" si="931">+S776</f>
        <v>93177993.370000005</v>
      </c>
      <c r="T775" s="130">
        <f t="shared" si="931"/>
        <v>0</v>
      </c>
      <c r="U775" s="130">
        <f t="shared" si="931"/>
        <v>0</v>
      </c>
      <c r="V775" s="130">
        <f t="shared" si="931"/>
        <v>0</v>
      </c>
      <c r="W775" s="130">
        <f t="shared" si="931"/>
        <v>0</v>
      </c>
      <c r="X775" s="130">
        <f t="shared" si="931"/>
        <v>0</v>
      </c>
      <c r="Y775" s="130">
        <f t="shared" si="931"/>
        <v>0</v>
      </c>
      <c r="Z775" s="130">
        <f t="shared" si="931"/>
        <v>0</v>
      </c>
      <c r="AA775" s="78">
        <f t="shared" si="927"/>
        <v>93177993.370000005</v>
      </c>
      <c r="AB775" s="78">
        <f t="shared" si="912"/>
        <v>446787429.37</v>
      </c>
      <c r="AC775" s="174">
        <f t="shared" si="913"/>
        <v>0.63958213308711775</v>
      </c>
    </row>
    <row r="776" spans="1:29" ht="14.25" x14ac:dyDescent="0.2">
      <c r="B776" s="76" t="s">
        <v>975</v>
      </c>
      <c r="C776" s="77" t="s">
        <v>378</v>
      </c>
      <c r="D776" s="340">
        <v>698561461.08000004</v>
      </c>
      <c r="E776" s="188">
        <f>SUM('ADICIONES  2021'!C776:I776)</f>
        <v>0</v>
      </c>
      <c r="F776" s="131"/>
      <c r="G776" s="131"/>
      <c r="H776" s="131"/>
      <c r="I776" s="131"/>
      <c r="J776" s="131"/>
      <c r="K776" s="128">
        <f t="shared" si="929"/>
        <v>698561461.08000004</v>
      </c>
      <c r="L776" s="131">
        <v>72096535</v>
      </c>
      <c r="M776" s="131">
        <v>52477668</v>
      </c>
      <c r="N776" s="131">
        <v>57764321</v>
      </c>
      <c r="O776" s="131">
        <v>57210307</v>
      </c>
      <c r="P776" s="131">
        <v>41438646</v>
      </c>
      <c r="Q776" s="424">
        <v>72621959</v>
      </c>
      <c r="R776" s="128">
        <f t="shared" si="926"/>
        <v>353609436</v>
      </c>
      <c r="S776" s="131">
        <v>93177993.370000005</v>
      </c>
      <c r="T776" s="131"/>
      <c r="U776" s="131"/>
      <c r="V776" s="131"/>
      <c r="W776" s="131"/>
      <c r="X776" s="131"/>
      <c r="Y776" s="131"/>
      <c r="Z776" s="131"/>
      <c r="AA776" s="128">
        <f t="shared" si="927"/>
        <v>93177993.370000005</v>
      </c>
      <c r="AB776" s="128">
        <f t="shared" si="912"/>
        <v>446787429.37</v>
      </c>
      <c r="AC776" s="175">
        <f t="shared" si="913"/>
        <v>0.63958213308711775</v>
      </c>
    </row>
    <row r="777" spans="1:29" s="63" customFormat="1" ht="15.75" x14ac:dyDescent="0.2">
      <c r="A777" s="397">
        <v>1</v>
      </c>
      <c r="B777" s="81" t="s">
        <v>404</v>
      </c>
      <c r="C777" s="79" t="s">
        <v>976</v>
      </c>
      <c r="D777" s="339">
        <f>+D778+D783+D789+D807+D818</f>
        <v>51180782734.789993</v>
      </c>
      <c r="E777" s="187">
        <f>SUM('ADICIONES  2021'!C777:I777)</f>
        <v>168538869.03</v>
      </c>
      <c r="F777" s="130"/>
      <c r="G777" s="130">
        <f t="shared" ref="G777:J777" si="932">+G778+G783+G789+G807+G818</f>
        <v>0</v>
      </c>
      <c r="H777" s="130">
        <f t="shared" si="932"/>
        <v>0</v>
      </c>
      <c r="I777" s="130">
        <f t="shared" si="932"/>
        <v>0</v>
      </c>
      <c r="J777" s="130">
        <f t="shared" si="932"/>
        <v>0</v>
      </c>
      <c r="K777" s="78">
        <f t="shared" si="929"/>
        <v>51349321603.819992</v>
      </c>
      <c r="L777" s="130">
        <f t="shared" ref="L777:Q777" si="933">+L778+L783+L789+L807+L818</f>
        <v>6151870451</v>
      </c>
      <c r="M777" s="130">
        <f t="shared" si="933"/>
        <v>4738379624</v>
      </c>
      <c r="N777" s="130">
        <f t="shared" si="933"/>
        <v>6186759776</v>
      </c>
      <c r="O777" s="130">
        <f t="shared" si="933"/>
        <v>3844256797</v>
      </c>
      <c r="P777" s="130">
        <f t="shared" si="933"/>
        <v>4284730827</v>
      </c>
      <c r="Q777" s="423">
        <f t="shared" si="933"/>
        <v>4064860880</v>
      </c>
      <c r="R777" s="78">
        <f t="shared" si="926"/>
        <v>29270858355</v>
      </c>
      <c r="S777" s="130">
        <f t="shared" ref="S777:Z777" si="934">+S778+S783+S789+S807+S818</f>
        <v>5240370358.3000002</v>
      </c>
      <c r="T777" s="130">
        <f t="shared" si="934"/>
        <v>0</v>
      </c>
      <c r="U777" s="130">
        <f t="shared" si="934"/>
        <v>0</v>
      </c>
      <c r="V777" s="130">
        <f t="shared" si="934"/>
        <v>0</v>
      </c>
      <c r="W777" s="130">
        <f t="shared" si="934"/>
        <v>0</v>
      </c>
      <c r="X777" s="130">
        <f t="shared" si="934"/>
        <v>0</v>
      </c>
      <c r="Y777" s="130">
        <f t="shared" si="934"/>
        <v>0</v>
      </c>
      <c r="Z777" s="130">
        <f t="shared" si="934"/>
        <v>0</v>
      </c>
      <c r="AA777" s="78">
        <f t="shared" si="927"/>
        <v>5240370358.3000002</v>
      </c>
      <c r="AB777" s="78">
        <f t="shared" si="912"/>
        <v>34511228713.300003</v>
      </c>
      <c r="AC777" s="174">
        <f t="shared" si="913"/>
        <v>0.67208733504928397</v>
      </c>
    </row>
    <row r="778" spans="1:29" s="63" customFormat="1" ht="15.75" x14ac:dyDescent="0.2">
      <c r="A778" s="397">
        <v>1</v>
      </c>
      <c r="B778" s="81" t="s">
        <v>977</v>
      </c>
      <c r="C778" s="79" t="s">
        <v>978</v>
      </c>
      <c r="D778" s="339">
        <f>SUM(D779:D781)</f>
        <v>1024590216</v>
      </c>
      <c r="E778" s="187">
        <f>SUM('ADICIONES  2021'!C778:I778)</f>
        <v>0</v>
      </c>
      <c r="F778" s="130"/>
      <c r="G778" s="130">
        <f t="shared" ref="G778:J778" si="935">SUM(G779:G781)</f>
        <v>0</v>
      </c>
      <c r="H778" s="130">
        <f t="shared" si="935"/>
        <v>0</v>
      </c>
      <c r="I778" s="130">
        <f t="shared" si="935"/>
        <v>0</v>
      </c>
      <c r="J778" s="130">
        <f t="shared" si="935"/>
        <v>0</v>
      </c>
      <c r="K778" s="78">
        <f t="shared" si="929"/>
        <v>1024590216</v>
      </c>
      <c r="L778" s="130">
        <f t="shared" ref="L778:Q778" si="936">SUM(L779:L781)</f>
        <v>135565725</v>
      </c>
      <c r="M778" s="130">
        <f t="shared" si="936"/>
        <v>75567675</v>
      </c>
      <c r="N778" s="130">
        <f t="shared" si="936"/>
        <v>78124200</v>
      </c>
      <c r="O778" s="130">
        <f t="shared" si="936"/>
        <v>90485400</v>
      </c>
      <c r="P778" s="130">
        <f t="shared" si="936"/>
        <v>82396425</v>
      </c>
      <c r="Q778" s="423">
        <f t="shared" si="936"/>
        <v>83357062</v>
      </c>
      <c r="R778" s="78">
        <f t="shared" si="926"/>
        <v>545496487</v>
      </c>
      <c r="S778" s="130">
        <f t="shared" ref="S778:Z778" si="937">SUM(S779:S781)</f>
        <v>85929320.090000004</v>
      </c>
      <c r="T778" s="130">
        <f t="shared" si="937"/>
        <v>0</v>
      </c>
      <c r="U778" s="130">
        <f t="shared" si="937"/>
        <v>0</v>
      </c>
      <c r="V778" s="130">
        <f t="shared" si="937"/>
        <v>0</v>
      </c>
      <c r="W778" s="130">
        <f t="shared" si="937"/>
        <v>0</v>
      </c>
      <c r="X778" s="130">
        <f t="shared" si="937"/>
        <v>0</v>
      </c>
      <c r="Y778" s="130">
        <f t="shared" si="937"/>
        <v>0</v>
      </c>
      <c r="Z778" s="130">
        <f t="shared" si="937"/>
        <v>0</v>
      </c>
      <c r="AA778" s="78">
        <f t="shared" si="927"/>
        <v>85929320.090000004</v>
      </c>
      <c r="AB778" s="78">
        <f t="shared" si="912"/>
        <v>631425807.09000003</v>
      </c>
      <c r="AC778" s="174">
        <f t="shared" si="913"/>
        <v>0.6162715564033846</v>
      </c>
    </row>
    <row r="779" spans="1:29" ht="28.5" x14ac:dyDescent="0.2">
      <c r="B779" s="76" t="s">
        <v>979</v>
      </c>
      <c r="C779" s="77" t="s">
        <v>375</v>
      </c>
      <c r="D779" s="340">
        <v>256147554</v>
      </c>
      <c r="E779" s="188">
        <f>SUM('ADICIONES  2021'!C779:I779)</f>
        <v>0</v>
      </c>
      <c r="F779" s="131"/>
      <c r="G779" s="131"/>
      <c r="H779" s="131"/>
      <c r="I779" s="131"/>
      <c r="J779" s="131"/>
      <c r="K779" s="128">
        <f t="shared" si="929"/>
        <v>256147554</v>
      </c>
      <c r="L779" s="131">
        <v>33891430.75</v>
      </c>
      <c r="M779" s="131">
        <v>18891918.25</v>
      </c>
      <c r="N779" s="131">
        <v>19531049.5</v>
      </c>
      <c r="O779" s="131">
        <v>22621350</v>
      </c>
      <c r="P779" s="131">
        <v>20599106</v>
      </c>
      <c r="Q779" s="424">
        <v>20839265.5</v>
      </c>
      <c r="R779" s="128">
        <f t="shared" si="926"/>
        <v>136374120</v>
      </c>
      <c r="S779" s="131">
        <v>21281971.75</v>
      </c>
      <c r="T779" s="131"/>
      <c r="U779" s="131"/>
      <c r="V779" s="131"/>
      <c r="W779" s="131"/>
      <c r="X779" s="131"/>
      <c r="Y779" s="131"/>
      <c r="Z779" s="131"/>
      <c r="AA779" s="128">
        <f t="shared" si="927"/>
        <v>21281971.75</v>
      </c>
      <c r="AB779" s="128">
        <f t="shared" si="912"/>
        <v>157656091.75</v>
      </c>
      <c r="AC779" s="175">
        <f t="shared" si="913"/>
        <v>0.61548935091529311</v>
      </c>
    </row>
    <row r="780" spans="1:29" ht="28.5" x14ac:dyDescent="0.2">
      <c r="B780" s="76" t="s">
        <v>980</v>
      </c>
      <c r="C780" s="77" t="s">
        <v>375</v>
      </c>
      <c r="D780" s="340">
        <v>71721315.120000005</v>
      </c>
      <c r="E780" s="188">
        <f>SUM('ADICIONES  2021'!C780:I780)</f>
        <v>0</v>
      </c>
      <c r="F780" s="131"/>
      <c r="G780" s="131"/>
      <c r="H780" s="131"/>
      <c r="I780" s="131"/>
      <c r="J780" s="131"/>
      <c r="K780" s="128">
        <f t="shared" si="929"/>
        <v>71721315.120000005</v>
      </c>
      <c r="L780" s="131">
        <v>9489601.25</v>
      </c>
      <c r="M780" s="131">
        <v>5289737.75</v>
      </c>
      <c r="N780" s="131">
        <v>5468694.5</v>
      </c>
      <c r="O780" s="131">
        <v>6333978</v>
      </c>
      <c r="P780" s="131">
        <v>5767750</v>
      </c>
      <c r="Q780" s="424">
        <v>5834994.3399999999</v>
      </c>
      <c r="R780" s="128">
        <f t="shared" si="926"/>
        <v>38184755.840000004</v>
      </c>
      <c r="S780" s="131">
        <v>5958952.0899999999</v>
      </c>
      <c r="T780" s="131"/>
      <c r="U780" s="131"/>
      <c r="V780" s="131"/>
      <c r="W780" s="131"/>
      <c r="X780" s="131"/>
      <c r="Y780" s="131"/>
      <c r="Z780" s="131"/>
      <c r="AA780" s="128">
        <f t="shared" si="927"/>
        <v>5958952.0899999999</v>
      </c>
      <c r="AB780" s="128">
        <f t="shared" si="912"/>
        <v>44143707.930000007</v>
      </c>
      <c r="AC780" s="175">
        <f t="shared" si="913"/>
        <v>0.61548938214729165</v>
      </c>
    </row>
    <row r="781" spans="1:29" s="63" customFormat="1" ht="30" x14ac:dyDescent="0.2">
      <c r="A781" s="397"/>
      <c r="B781" s="81" t="s">
        <v>981</v>
      </c>
      <c r="C781" s="194" t="s">
        <v>974</v>
      </c>
      <c r="D781" s="339">
        <f>+D782</f>
        <v>696721346.88</v>
      </c>
      <c r="E781" s="187">
        <f>SUM('ADICIONES  2021'!C781:I781)</f>
        <v>0</v>
      </c>
      <c r="F781" s="130"/>
      <c r="G781" s="130">
        <f t="shared" ref="G781:J781" si="938">+G782</f>
        <v>0</v>
      </c>
      <c r="H781" s="130">
        <f t="shared" si="938"/>
        <v>0</v>
      </c>
      <c r="I781" s="130">
        <f t="shared" si="938"/>
        <v>0</v>
      </c>
      <c r="J781" s="130">
        <f t="shared" si="938"/>
        <v>0</v>
      </c>
      <c r="K781" s="78">
        <f t="shared" si="929"/>
        <v>696721346.88</v>
      </c>
      <c r="L781" s="130">
        <f t="shared" ref="L781:Q781" si="939">+L782</f>
        <v>92184693</v>
      </c>
      <c r="M781" s="130">
        <f t="shared" si="939"/>
        <v>51386019</v>
      </c>
      <c r="N781" s="130">
        <f t="shared" si="939"/>
        <v>53124456</v>
      </c>
      <c r="O781" s="130">
        <f t="shared" si="939"/>
        <v>61530072</v>
      </c>
      <c r="P781" s="130">
        <f t="shared" si="939"/>
        <v>56029569</v>
      </c>
      <c r="Q781" s="423">
        <f t="shared" si="939"/>
        <v>56682802.159999996</v>
      </c>
      <c r="R781" s="78">
        <f t="shared" si="926"/>
        <v>370937611.15999997</v>
      </c>
      <c r="S781" s="130">
        <f t="shared" ref="S781:Z781" si="940">+S782</f>
        <v>58688396.25</v>
      </c>
      <c r="T781" s="130">
        <f t="shared" si="940"/>
        <v>0</v>
      </c>
      <c r="U781" s="130">
        <f t="shared" si="940"/>
        <v>0</v>
      </c>
      <c r="V781" s="130">
        <f t="shared" si="940"/>
        <v>0</v>
      </c>
      <c r="W781" s="130">
        <f t="shared" si="940"/>
        <v>0</v>
      </c>
      <c r="X781" s="130">
        <f t="shared" si="940"/>
        <v>0</v>
      </c>
      <c r="Y781" s="130">
        <f t="shared" si="940"/>
        <v>0</v>
      </c>
      <c r="Z781" s="130">
        <f t="shared" si="940"/>
        <v>0</v>
      </c>
      <c r="AA781" s="78">
        <f t="shared" si="927"/>
        <v>58688396.25</v>
      </c>
      <c r="AB781" s="78">
        <f t="shared" si="912"/>
        <v>429626007.40999997</v>
      </c>
      <c r="AC781" s="174">
        <f t="shared" si="913"/>
        <v>0.6166396498886042</v>
      </c>
    </row>
    <row r="782" spans="1:29" ht="14.25" x14ac:dyDescent="0.2">
      <c r="B782" s="76" t="s">
        <v>982</v>
      </c>
      <c r="C782" s="77" t="s">
        <v>378</v>
      </c>
      <c r="D782" s="340">
        <v>696721346.88</v>
      </c>
      <c r="E782" s="188">
        <f>SUM('ADICIONES  2021'!C782:I782)</f>
        <v>0</v>
      </c>
      <c r="F782" s="131"/>
      <c r="G782" s="131"/>
      <c r="H782" s="131"/>
      <c r="I782" s="131"/>
      <c r="J782" s="131"/>
      <c r="K782" s="128">
        <f t="shared" si="929"/>
        <v>696721346.88</v>
      </c>
      <c r="L782" s="131">
        <v>92184693</v>
      </c>
      <c r="M782" s="131">
        <v>51386019</v>
      </c>
      <c r="N782" s="131">
        <v>53124456</v>
      </c>
      <c r="O782" s="131">
        <v>61530072</v>
      </c>
      <c r="P782" s="131">
        <v>56029569</v>
      </c>
      <c r="Q782" s="424">
        <v>56682802.159999996</v>
      </c>
      <c r="R782" s="128">
        <f t="shared" si="926"/>
        <v>370937611.15999997</v>
      </c>
      <c r="S782" s="131">
        <v>58688396.25</v>
      </c>
      <c r="T782" s="131"/>
      <c r="U782" s="131"/>
      <c r="V782" s="131"/>
      <c r="W782" s="131"/>
      <c r="X782" s="131"/>
      <c r="Y782" s="131"/>
      <c r="Z782" s="131"/>
      <c r="AA782" s="128">
        <f t="shared" si="927"/>
        <v>58688396.25</v>
      </c>
      <c r="AB782" s="128">
        <f t="shared" si="912"/>
        <v>429626007.40999997</v>
      </c>
      <c r="AC782" s="175">
        <f t="shared" si="913"/>
        <v>0.6166396498886042</v>
      </c>
    </row>
    <row r="783" spans="1:29" s="63" customFormat="1" ht="47.25" x14ac:dyDescent="0.2">
      <c r="A783" s="397">
        <v>1</v>
      </c>
      <c r="B783" s="81" t="s">
        <v>983</v>
      </c>
      <c r="C783" s="79" t="s">
        <v>984</v>
      </c>
      <c r="D783" s="339">
        <f>SUM(D784:D786)</f>
        <v>810355602.97000003</v>
      </c>
      <c r="E783" s="187">
        <f>SUM('ADICIONES  2021'!C783:I783)</f>
        <v>168538869.03</v>
      </c>
      <c r="F783" s="130"/>
      <c r="G783" s="130">
        <f t="shared" ref="G783:J783" si="941">SUM(G784:G786)</f>
        <v>0</v>
      </c>
      <c r="H783" s="130">
        <f t="shared" si="941"/>
        <v>0</v>
      </c>
      <c r="I783" s="130">
        <f t="shared" si="941"/>
        <v>0</v>
      </c>
      <c r="J783" s="130">
        <f t="shared" si="941"/>
        <v>0</v>
      </c>
      <c r="K783" s="78">
        <f t="shared" si="929"/>
        <v>978894472</v>
      </c>
      <c r="L783" s="130">
        <f t="shared" ref="L783:Q783" si="942">SUM(L784:L786)</f>
        <v>0</v>
      </c>
      <c r="M783" s="130">
        <f t="shared" si="942"/>
        <v>734170854</v>
      </c>
      <c r="N783" s="130">
        <f t="shared" si="942"/>
        <v>244723618</v>
      </c>
      <c r="O783" s="130">
        <f t="shared" si="942"/>
        <v>0</v>
      </c>
      <c r="P783" s="130">
        <f t="shared" si="942"/>
        <v>0</v>
      </c>
      <c r="Q783" s="423">
        <f t="shared" si="942"/>
        <v>0</v>
      </c>
      <c r="R783" s="78">
        <f t="shared" si="926"/>
        <v>978894472</v>
      </c>
      <c r="S783" s="130">
        <f t="shared" ref="S783:Z783" si="943">SUM(S784:S786)</f>
        <v>495518.33</v>
      </c>
      <c r="T783" s="130">
        <f t="shared" si="943"/>
        <v>0</v>
      </c>
      <c r="U783" s="130">
        <f t="shared" si="943"/>
        <v>0</v>
      </c>
      <c r="V783" s="130">
        <f t="shared" si="943"/>
        <v>0</v>
      </c>
      <c r="W783" s="130">
        <f t="shared" si="943"/>
        <v>0</v>
      </c>
      <c r="X783" s="130">
        <f t="shared" si="943"/>
        <v>0</v>
      </c>
      <c r="Y783" s="130">
        <f t="shared" si="943"/>
        <v>0</v>
      </c>
      <c r="Z783" s="130">
        <f t="shared" si="943"/>
        <v>0</v>
      </c>
      <c r="AA783" s="78">
        <f t="shared" si="927"/>
        <v>495518.33</v>
      </c>
      <c r="AB783" s="78">
        <f t="shared" si="912"/>
        <v>979389990.33000004</v>
      </c>
      <c r="AC783" s="174">
        <f t="shared" si="913"/>
        <v>1.0005062019902795</v>
      </c>
    </row>
    <row r="784" spans="1:29" ht="28.5" x14ac:dyDescent="0.2">
      <c r="B784" s="76" t="s">
        <v>985</v>
      </c>
      <c r="C784" s="77" t="s">
        <v>375</v>
      </c>
      <c r="D784" s="340">
        <v>202588887.19999999</v>
      </c>
      <c r="E784" s="188">
        <f>SUM('ADICIONES  2021'!C784:I784)</f>
        <v>0</v>
      </c>
      <c r="F784" s="131"/>
      <c r="G784" s="131"/>
      <c r="H784" s="131"/>
      <c r="I784" s="131"/>
      <c r="J784" s="131"/>
      <c r="K784" s="128">
        <f t="shared" si="929"/>
        <v>202588887.19999999</v>
      </c>
      <c r="L784" s="131">
        <v>0</v>
      </c>
      <c r="M784" s="131">
        <v>0</v>
      </c>
      <c r="N784" s="131">
        <v>244723618</v>
      </c>
      <c r="O784" s="131">
        <v>-42134730.799999997</v>
      </c>
      <c r="P784" s="131"/>
      <c r="Q784" s="424"/>
      <c r="R784" s="128">
        <f t="shared" si="926"/>
        <v>202588887.19999999</v>
      </c>
      <c r="S784" s="131">
        <v>0</v>
      </c>
      <c r="T784" s="131"/>
      <c r="U784" s="131"/>
      <c r="V784" s="131"/>
      <c r="W784" s="131"/>
      <c r="X784" s="131"/>
      <c r="Y784" s="131"/>
      <c r="Z784" s="131"/>
      <c r="AA784" s="128">
        <f t="shared" si="927"/>
        <v>0</v>
      </c>
      <c r="AB784" s="128">
        <f t="shared" si="912"/>
        <v>202588887.19999999</v>
      </c>
      <c r="AC784" s="175">
        <f t="shared" si="913"/>
        <v>1</v>
      </c>
    </row>
    <row r="785" spans="1:29" ht="28.5" x14ac:dyDescent="0.2">
      <c r="B785" s="76" t="s">
        <v>985</v>
      </c>
      <c r="C785" s="77" t="s">
        <v>375</v>
      </c>
      <c r="D785" s="340"/>
      <c r="E785" s="188">
        <f>SUM('ADICIONES  2021'!C785:I785)</f>
        <v>42134730.799999997</v>
      </c>
      <c r="F785" s="131"/>
      <c r="G785" s="131"/>
      <c r="H785" s="131"/>
      <c r="I785" s="131"/>
      <c r="J785" s="131"/>
      <c r="K785" s="128">
        <f t="shared" si="929"/>
        <v>42134730.799999997</v>
      </c>
      <c r="L785" s="131"/>
      <c r="M785" s="131"/>
      <c r="N785" s="131"/>
      <c r="O785" s="131">
        <v>42134730.799999997</v>
      </c>
      <c r="P785" s="131"/>
      <c r="Q785" s="424"/>
      <c r="R785" s="128">
        <f t="shared" si="926"/>
        <v>42134730.799999997</v>
      </c>
      <c r="S785" s="131">
        <v>0</v>
      </c>
      <c r="T785" s="131"/>
      <c r="U785" s="131"/>
      <c r="V785" s="131"/>
      <c r="W785" s="131"/>
      <c r="X785" s="131"/>
      <c r="Y785" s="131"/>
      <c r="Z785" s="131"/>
      <c r="AA785" s="128">
        <f t="shared" ref="AA785" si="944">SUM(S785:Z785)</f>
        <v>0</v>
      </c>
      <c r="AB785" s="128">
        <f t="shared" si="912"/>
        <v>42134730.799999997</v>
      </c>
      <c r="AC785" s="175">
        <f t="shared" si="913"/>
        <v>1</v>
      </c>
    </row>
    <row r="786" spans="1:29" s="63" customFormat="1" ht="30" x14ac:dyDescent="0.2">
      <c r="A786" s="397"/>
      <c r="B786" s="81" t="s">
        <v>986</v>
      </c>
      <c r="C786" s="194" t="s">
        <v>987</v>
      </c>
      <c r="D786" s="339">
        <f>+D787+D788</f>
        <v>607766715.76999998</v>
      </c>
      <c r="E786" s="187">
        <f>SUM('ADICIONES  2021'!C786:I786)</f>
        <v>126404138.23</v>
      </c>
      <c r="F786" s="130">
        <f t="shared" ref="F786:J786" si="945">+F787+F788</f>
        <v>0</v>
      </c>
      <c r="G786" s="130">
        <f t="shared" si="945"/>
        <v>0</v>
      </c>
      <c r="H786" s="130">
        <f t="shared" si="945"/>
        <v>0</v>
      </c>
      <c r="I786" s="130">
        <f t="shared" si="945"/>
        <v>0</v>
      </c>
      <c r="J786" s="130">
        <f t="shared" si="945"/>
        <v>0</v>
      </c>
      <c r="K786" s="78">
        <f t="shared" si="929"/>
        <v>734170854</v>
      </c>
      <c r="L786" s="130">
        <f t="shared" ref="L786:Q786" si="946">+L787+L788</f>
        <v>0</v>
      </c>
      <c r="M786" s="130">
        <f t="shared" si="946"/>
        <v>734170854</v>
      </c>
      <c r="N786" s="130">
        <f t="shared" si="946"/>
        <v>0</v>
      </c>
      <c r="O786" s="130">
        <f t="shared" si="946"/>
        <v>0</v>
      </c>
      <c r="P786" s="130">
        <f t="shared" si="946"/>
        <v>0</v>
      </c>
      <c r="Q786" s="423">
        <f t="shared" si="946"/>
        <v>0</v>
      </c>
      <c r="R786" s="78">
        <f t="shared" si="926"/>
        <v>734170854</v>
      </c>
      <c r="S786" s="130">
        <f t="shared" ref="S786:Y786" si="947">+S787+S788</f>
        <v>495518.33</v>
      </c>
      <c r="T786" s="130">
        <f t="shared" si="947"/>
        <v>0</v>
      </c>
      <c r="U786" s="130">
        <f t="shared" si="947"/>
        <v>0</v>
      </c>
      <c r="V786" s="130">
        <f t="shared" si="947"/>
        <v>0</v>
      </c>
      <c r="W786" s="130">
        <f t="shared" si="947"/>
        <v>0</v>
      </c>
      <c r="X786" s="130">
        <f t="shared" si="947"/>
        <v>0</v>
      </c>
      <c r="Y786" s="130">
        <f t="shared" si="947"/>
        <v>0</v>
      </c>
      <c r="Z786" s="130">
        <f>+Z787+Z788</f>
        <v>0</v>
      </c>
      <c r="AA786" s="78">
        <f t="shared" si="927"/>
        <v>495518.33</v>
      </c>
      <c r="AB786" s="78">
        <f t="shared" si="912"/>
        <v>734666372.33000004</v>
      </c>
      <c r="AC786" s="174">
        <f t="shared" si="913"/>
        <v>1.0006749359870395</v>
      </c>
    </row>
    <row r="787" spans="1:29" ht="14.25" x14ac:dyDescent="0.2">
      <c r="B787" s="76" t="s">
        <v>988</v>
      </c>
      <c r="C787" s="77" t="s">
        <v>378</v>
      </c>
      <c r="D787" s="340">
        <v>607766715.76999998</v>
      </c>
      <c r="E787" s="188">
        <f>SUM('ADICIONES  2021'!C787:I787)</f>
        <v>0</v>
      </c>
      <c r="F787" s="131"/>
      <c r="G787" s="131"/>
      <c r="H787" s="131"/>
      <c r="I787" s="131"/>
      <c r="J787" s="131"/>
      <c r="K787" s="128">
        <f t="shared" si="929"/>
        <v>607766715.76999998</v>
      </c>
      <c r="L787" s="131">
        <v>0</v>
      </c>
      <c r="M787" s="131">
        <v>734170854</v>
      </c>
      <c r="N787" s="131">
        <v>0</v>
      </c>
      <c r="O787" s="131">
        <v>-126404138.23</v>
      </c>
      <c r="P787" s="131"/>
      <c r="Q787" s="424"/>
      <c r="R787" s="128">
        <f t="shared" si="926"/>
        <v>607766715.76999998</v>
      </c>
      <c r="S787" s="131">
        <v>495518.33</v>
      </c>
      <c r="T787" s="131"/>
      <c r="U787" s="131"/>
      <c r="V787" s="131"/>
      <c r="W787" s="131"/>
      <c r="X787" s="131"/>
      <c r="Y787" s="131"/>
      <c r="Z787" s="131"/>
      <c r="AA787" s="128">
        <f t="shared" si="927"/>
        <v>495518.33</v>
      </c>
      <c r="AB787" s="128">
        <f t="shared" si="912"/>
        <v>608262234.10000002</v>
      </c>
      <c r="AC787" s="175">
        <f t="shared" si="913"/>
        <v>1.0008153100805663</v>
      </c>
    </row>
    <row r="788" spans="1:29" ht="14.25" x14ac:dyDescent="0.2">
      <c r="B788" s="76" t="s">
        <v>988</v>
      </c>
      <c r="C788" s="77" t="s">
        <v>378</v>
      </c>
      <c r="D788" s="340"/>
      <c r="E788" s="188">
        <f>SUM('ADICIONES  2021'!C788:I788)</f>
        <v>126404138.23</v>
      </c>
      <c r="F788" s="131"/>
      <c r="G788" s="131"/>
      <c r="H788" s="131"/>
      <c r="I788" s="131"/>
      <c r="J788" s="131"/>
      <c r="K788" s="128">
        <f t="shared" si="929"/>
        <v>126404138.23</v>
      </c>
      <c r="L788" s="131"/>
      <c r="M788" s="131"/>
      <c r="N788" s="131"/>
      <c r="O788" s="131">
        <v>126404138.23</v>
      </c>
      <c r="P788" s="131"/>
      <c r="Q788" s="424"/>
      <c r="R788" s="128">
        <f t="shared" si="926"/>
        <v>126404138.23</v>
      </c>
      <c r="S788" s="131">
        <v>0</v>
      </c>
      <c r="T788" s="131"/>
      <c r="U788" s="131"/>
      <c r="V788" s="131"/>
      <c r="W788" s="131"/>
      <c r="X788" s="131"/>
      <c r="Y788" s="131"/>
      <c r="Z788" s="131"/>
      <c r="AA788" s="128">
        <f t="shared" ref="AA788" si="948">SUM(S788:Z788)</f>
        <v>0</v>
      </c>
      <c r="AB788" s="128">
        <f t="shared" si="912"/>
        <v>126404138.23</v>
      </c>
      <c r="AC788" s="175">
        <f t="shared" si="913"/>
        <v>1</v>
      </c>
    </row>
    <row r="789" spans="1:29" s="63" customFormat="1" ht="31.5" x14ac:dyDescent="0.2">
      <c r="A789" s="397">
        <v>1</v>
      </c>
      <c r="B789" s="81" t="s">
        <v>431</v>
      </c>
      <c r="C789" s="79" t="s">
        <v>989</v>
      </c>
      <c r="D789" s="339">
        <f>+D790+D796</f>
        <v>15174707593.51</v>
      </c>
      <c r="E789" s="187">
        <f>SUM('ADICIONES  2021'!C789:I789)</f>
        <v>0</v>
      </c>
      <c r="F789" s="130"/>
      <c r="G789" s="130">
        <f t="shared" ref="G789:J789" si="949">+G790+G796</f>
        <v>0</v>
      </c>
      <c r="H789" s="130">
        <f t="shared" si="949"/>
        <v>0</v>
      </c>
      <c r="I789" s="130">
        <f t="shared" si="949"/>
        <v>0</v>
      </c>
      <c r="J789" s="130">
        <f t="shared" si="949"/>
        <v>0</v>
      </c>
      <c r="K789" s="78">
        <f t="shared" si="929"/>
        <v>15174707593.51</v>
      </c>
      <c r="L789" s="130">
        <f t="shared" ref="L789:Q789" si="950">+L790+L796</f>
        <v>2204930018</v>
      </c>
      <c r="M789" s="130">
        <f t="shared" si="950"/>
        <v>769757009</v>
      </c>
      <c r="N789" s="130">
        <f t="shared" si="950"/>
        <v>2035794114</v>
      </c>
      <c r="O789" s="130">
        <f t="shared" si="950"/>
        <v>744842987</v>
      </c>
      <c r="P789" s="130">
        <f t="shared" si="950"/>
        <v>961809563</v>
      </c>
      <c r="Q789" s="423">
        <f t="shared" si="950"/>
        <v>813504792</v>
      </c>
      <c r="R789" s="78">
        <f t="shared" si="926"/>
        <v>7530638483</v>
      </c>
      <c r="S789" s="130">
        <f t="shared" ref="S789:Z789" si="951">+S790+S796</f>
        <v>2147285414.3699999</v>
      </c>
      <c r="T789" s="130">
        <f t="shared" si="951"/>
        <v>0</v>
      </c>
      <c r="U789" s="130">
        <f t="shared" si="951"/>
        <v>0</v>
      </c>
      <c r="V789" s="130">
        <f t="shared" si="951"/>
        <v>0</v>
      </c>
      <c r="W789" s="130">
        <f t="shared" si="951"/>
        <v>0</v>
      </c>
      <c r="X789" s="130">
        <f t="shared" si="951"/>
        <v>0</v>
      </c>
      <c r="Y789" s="130">
        <f t="shared" si="951"/>
        <v>0</v>
      </c>
      <c r="Z789" s="130">
        <f t="shared" si="951"/>
        <v>0</v>
      </c>
      <c r="AA789" s="78">
        <f t="shared" si="927"/>
        <v>2147285414.3699999</v>
      </c>
      <c r="AB789" s="78">
        <f t="shared" si="912"/>
        <v>9677923897.3699989</v>
      </c>
      <c r="AC789" s="174">
        <f t="shared" si="913"/>
        <v>0.63776674691966417</v>
      </c>
    </row>
    <row r="790" spans="1:29" s="63" customFormat="1" ht="15.75" x14ac:dyDescent="0.2">
      <c r="A790" s="397">
        <v>1</v>
      </c>
      <c r="B790" s="81" t="s">
        <v>433</v>
      </c>
      <c r="C790" s="79" t="s">
        <v>990</v>
      </c>
      <c r="D790" s="339">
        <f>+D791</f>
        <v>7092000000</v>
      </c>
      <c r="E790" s="187">
        <f>SUM('ADICIONES  2021'!C790:I790)</f>
        <v>0</v>
      </c>
      <c r="F790" s="130"/>
      <c r="G790" s="130">
        <f t="shared" ref="G790:J790" si="952">+G791</f>
        <v>0</v>
      </c>
      <c r="H790" s="130">
        <f t="shared" si="952"/>
        <v>0</v>
      </c>
      <c r="I790" s="130">
        <f t="shared" si="952"/>
        <v>0</v>
      </c>
      <c r="J790" s="130">
        <f t="shared" si="952"/>
        <v>0</v>
      </c>
      <c r="K790" s="78">
        <f t="shared" si="929"/>
        <v>7092000000</v>
      </c>
      <c r="L790" s="130">
        <f t="shared" ref="L790:Q790" si="953">+L791</f>
        <v>978466605</v>
      </c>
      <c r="M790" s="130">
        <f t="shared" si="953"/>
        <v>346208735</v>
      </c>
      <c r="N790" s="130">
        <f t="shared" si="953"/>
        <v>654264045</v>
      </c>
      <c r="O790" s="130">
        <f t="shared" si="953"/>
        <v>478782534</v>
      </c>
      <c r="P790" s="130">
        <f t="shared" si="953"/>
        <v>474244328</v>
      </c>
      <c r="Q790" s="423">
        <f t="shared" si="953"/>
        <v>378323582</v>
      </c>
      <c r="R790" s="78">
        <f t="shared" si="926"/>
        <v>3310289829</v>
      </c>
      <c r="S790" s="130">
        <f t="shared" ref="S790:Z790" si="954">+S791</f>
        <v>657268445.94000006</v>
      </c>
      <c r="T790" s="130">
        <f t="shared" si="954"/>
        <v>0</v>
      </c>
      <c r="U790" s="130">
        <f t="shared" si="954"/>
        <v>0</v>
      </c>
      <c r="V790" s="130">
        <f t="shared" si="954"/>
        <v>0</v>
      </c>
      <c r="W790" s="130">
        <f t="shared" si="954"/>
        <v>0</v>
      </c>
      <c r="X790" s="130">
        <f t="shared" si="954"/>
        <v>0</v>
      </c>
      <c r="Y790" s="130">
        <f t="shared" si="954"/>
        <v>0</v>
      </c>
      <c r="Z790" s="130">
        <f t="shared" si="954"/>
        <v>0</v>
      </c>
      <c r="AA790" s="78">
        <f t="shared" si="927"/>
        <v>657268445.94000006</v>
      </c>
      <c r="AB790" s="78">
        <f t="shared" si="912"/>
        <v>3967558274.9400001</v>
      </c>
      <c r="AC790" s="174">
        <f t="shared" si="913"/>
        <v>0.55944138112521147</v>
      </c>
    </row>
    <row r="791" spans="1:29" s="63" customFormat="1" ht="47.25" x14ac:dyDescent="0.2">
      <c r="A791" s="397"/>
      <c r="B791" s="81" t="s">
        <v>442</v>
      </c>
      <c r="C791" s="79" t="s">
        <v>991</v>
      </c>
      <c r="D791" s="339">
        <f>SUM(D792:D794)</f>
        <v>7092000000</v>
      </c>
      <c r="E791" s="187">
        <f>SUM('ADICIONES  2021'!C791:I791)</f>
        <v>0</v>
      </c>
      <c r="F791" s="130"/>
      <c r="G791" s="130">
        <f t="shared" ref="G791:J791" si="955">SUM(G792:G794)</f>
        <v>0</v>
      </c>
      <c r="H791" s="130">
        <f t="shared" si="955"/>
        <v>0</v>
      </c>
      <c r="I791" s="130">
        <f t="shared" si="955"/>
        <v>0</v>
      </c>
      <c r="J791" s="130">
        <f t="shared" si="955"/>
        <v>0</v>
      </c>
      <c r="K791" s="78">
        <f t="shared" si="929"/>
        <v>7092000000</v>
      </c>
      <c r="L791" s="130">
        <f t="shared" ref="L791:Q791" si="956">SUM(L792:L794)</f>
        <v>978466605</v>
      </c>
      <c r="M791" s="130">
        <f t="shared" si="956"/>
        <v>346208735</v>
      </c>
      <c r="N791" s="130">
        <f t="shared" si="956"/>
        <v>654264045</v>
      </c>
      <c r="O791" s="130">
        <f t="shared" si="956"/>
        <v>478782534</v>
      </c>
      <c r="P791" s="130">
        <f t="shared" si="956"/>
        <v>474244328</v>
      </c>
      <c r="Q791" s="423">
        <f t="shared" si="956"/>
        <v>378323582</v>
      </c>
      <c r="R791" s="78">
        <f t="shared" si="926"/>
        <v>3310289829</v>
      </c>
      <c r="S791" s="130">
        <f t="shared" ref="S791:Z791" si="957">SUM(S792:S794)</f>
        <v>657268445.94000006</v>
      </c>
      <c r="T791" s="130">
        <f t="shared" si="957"/>
        <v>0</v>
      </c>
      <c r="U791" s="130">
        <f t="shared" si="957"/>
        <v>0</v>
      </c>
      <c r="V791" s="130">
        <f t="shared" si="957"/>
        <v>0</v>
      </c>
      <c r="W791" s="130">
        <f t="shared" si="957"/>
        <v>0</v>
      </c>
      <c r="X791" s="130">
        <f t="shared" si="957"/>
        <v>0</v>
      </c>
      <c r="Y791" s="130">
        <f t="shared" si="957"/>
        <v>0</v>
      </c>
      <c r="Z791" s="130">
        <f t="shared" si="957"/>
        <v>0</v>
      </c>
      <c r="AA791" s="78">
        <f t="shared" si="927"/>
        <v>657268445.94000006</v>
      </c>
      <c r="AB791" s="78">
        <f t="shared" si="912"/>
        <v>3967558274.9400001</v>
      </c>
      <c r="AC791" s="174">
        <f t="shared" si="913"/>
        <v>0.55944138112521147</v>
      </c>
    </row>
    <row r="792" spans="1:29" ht="28.5" x14ac:dyDescent="0.2">
      <c r="B792" s="76" t="s">
        <v>444</v>
      </c>
      <c r="C792" s="77" t="s">
        <v>375</v>
      </c>
      <c r="D792" s="340">
        <f>+D793</f>
        <v>1773000000</v>
      </c>
      <c r="E792" s="188">
        <f>SUM('ADICIONES  2021'!C792:I792)</f>
        <v>0</v>
      </c>
      <c r="F792" s="131"/>
      <c r="G792" s="131"/>
      <c r="H792" s="131"/>
      <c r="I792" s="131"/>
      <c r="J792" s="131"/>
      <c r="K792" s="128">
        <f t="shared" si="929"/>
        <v>1773000000</v>
      </c>
      <c r="L792" s="131">
        <v>244616651</v>
      </c>
      <c r="M792" s="131">
        <v>86552184</v>
      </c>
      <c r="N792" s="131">
        <v>163619062</v>
      </c>
      <c r="O792" s="131">
        <v>119695600</v>
      </c>
      <c r="P792" s="131">
        <v>118561000</v>
      </c>
      <c r="Q792" s="424">
        <v>94584130</v>
      </c>
      <c r="R792" s="128">
        <f t="shared" si="926"/>
        <v>827628627</v>
      </c>
      <c r="S792" s="131">
        <v>163093650</v>
      </c>
      <c r="T792" s="131"/>
      <c r="U792" s="131"/>
      <c r="V792" s="131"/>
      <c r="W792" s="131"/>
      <c r="X792" s="131"/>
      <c r="Y792" s="131"/>
      <c r="Z792" s="131"/>
      <c r="AA792" s="128">
        <f t="shared" si="927"/>
        <v>163093650</v>
      </c>
      <c r="AB792" s="128">
        <f t="shared" si="912"/>
        <v>990722277</v>
      </c>
      <c r="AC792" s="175">
        <f t="shared" si="913"/>
        <v>0.55878301015228427</v>
      </c>
    </row>
    <row r="793" spans="1:29" ht="28.5" x14ac:dyDescent="0.2">
      <c r="B793" s="76" t="s">
        <v>445</v>
      </c>
      <c r="C793" s="77" t="s">
        <v>376</v>
      </c>
      <c r="D793" s="340">
        <v>1773000000</v>
      </c>
      <c r="E793" s="188">
        <f>SUM('ADICIONES  2021'!C793:I793)</f>
        <v>0</v>
      </c>
      <c r="F793" s="131"/>
      <c r="G793" s="131"/>
      <c r="H793" s="131"/>
      <c r="I793" s="131"/>
      <c r="J793" s="131"/>
      <c r="K793" s="128">
        <f t="shared" si="929"/>
        <v>1773000000</v>
      </c>
      <c r="L793" s="131">
        <v>244616651</v>
      </c>
      <c r="M793" s="131">
        <v>86552184</v>
      </c>
      <c r="N793" s="131">
        <v>163619062</v>
      </c>
      <c r="O793" s="131">
        <v>119695600</v>
      </c>
      <c r="P793" s="131">
        <v>118561000</v>
      </c>
      <c r="Q793" s="424">
        <v>94584130</v>
      </c>
      <c r="R793" s="128">
        <f t="shared" si="926"/>
        <v>827628627</v>
      </c>
      <c r="S793" s="131">
        <v>163093650</v>
      </c>
      <c r="T793" s="131"/>
      <c r="U793" s="131"/>
      <c r="V793" s="131"/>
      <c r="W793" s="131"/>
      <c r="X793" s="131"/>
      <c r="Y793" s="131"/>
      <c r="Z793" s="131"/>
      <c r="AA793" s="128">
        <f t="shared" si="927"/>
        <v>163093650</v>
      </c>
      <c r="AB793" s="128">
        <f t="shared" si="912"/>
        <v>990722277</v>
      </c>
      <c r="AC793" s="175">
        <f t="shared" si="913"/>
        <v>0.55878301015228427</v>
      </c>
    </row>
    <row r="794" spans="1:29" s="63" customFormat="1" ht="30" x14ac:dyDescent="0.2">
      <c r="A794" s="397"/>
      <c r="B794" s="81" t="s">
        <v>446</v>
      </c>
      <c r="C794" s="194" t="s">
        <v>987</v>
      </c>
      <c r="D794" s="339">
        <f>+D795</f>
        <v>3546000000</v>
      </c>
      <c r="E794" s="187">
        <f>SUM('ADICIONES  2021'!C794:I794)</f>
        <v>0</v>
      </c>
      <c r="F794" s="130"/>
      <c r="G794" s="130">
        <f t="shared" ref="G794:J794" si="958">+G795</f>
        <v>0</v>
      </c>
      <c r="H794" s="130">
        <f t="shared" si="958"/>
        <v>0</v>
      </c>
      <c r="I794" s="130">
        <f t="shared" si="958"/>
        <v>0</v>
      </c>
      <c r="J794" s="130">
        <f t="shared" si="958"/>
        <v>0</v>
      </c>
      <c r="K794" s="78">
        <f t="shared" si="929"/>
        <v>3546000000</v>
      </c>
      <c r="L794" s="130">
        <f t="shared" ref="L794:Q794" si="959">+L795</f>
        <v>489233303</v>
      </c>
      <c r="M794" s="130">
        <f t="shared" si="959"/>
        <v>173104367</v>
      </c>
      <c r="N794" s="130">
        <f t="shared" si="959"/>
        <v>327025921</v>
      </c>
      <c r="O794" s="130">
        <f t="shared" si="959"/>
        <v>239391334</v>
      </c>
      <c r="P794" s="130">
        <f t="shared" si="959"/>
        <v>237122328</v>
      </c>
      <c r="Q794" s="423">
        <f t="shared" si="959"/>
        <v>189155322</v>
      </c>
      <c r="R794" s="78">
        <f t="shared" si="926"/>
        <v>1655032575</v>
      </c>
      <c r="S794" s="130">
        <f t="shared" ref="S794:Z794" si="960">+S795</f>
        <v>331081145.94</v>
      </c>
      <c r="T794" s="130">
        <f t="shared" si="960"/>
        <v>0</v>
      </c>
      <c r="U794" s="130">
        <f t="shared" si="960"/>
        <v>0</v>
      </c>
      <c r="V794" s="130">
        <f t="shared" si="960"/>
        <v>0</v>
      </c>
      <c r="W794" s="130">
        <f t="shared" si="960"/>
        <v>0</v>
      </c>
      <c r="X794" s="130">
        <f t="shared" si="960"/>
        <v>0</v>
      </c>
      <c r="Y794" s="130">
        <f t="shared" si="960"/>
        <v>0</v>
      </c>
      <c r="Z794" s="130">
        <f t="shared" si="960"/>
        <v>0</v>
      </c>
      <c r="AA794" s="78">
        <f t="shared" si="927"/>
        <v>331081145.94</v>
      </c>
      <c r="AB794" s="78">
        <f t="shared" si="912"/>
        <v>1986113720.9400001</v>
      </c>
      <c r="AC794" s="174">
        <f t="shared" si="913"/>
        <v>0.56009975209813878</v>
      </c>
    </row>
    <row r="795" spans="1:29" ht="14.25" x14ac:dyDescent="0.2">
      <c r="B795" s="76" t="s">
        <v>992</v>
      </c>
      <c r="C795" s="77" t="s">
        <v>378</v>
      </c>
      <c r="D795" s="340">
        <v>3546000000</v>
      </c>
      <c r="E795" s="188">
        <f>SUM('ADICIONES  2021'!C795:I795)</f>
        <v>0</v>
      </c>
      <c r="F795" s="131"/>
      <c r="G795" s="131"/>
      <c r="H795" s="131"/>
      <c r="I795" s="131"/>
      <c r="J795" s="131"/>
      <c r="K795" s="128">
        <f t="shared" si="929"/>
        <v>3546000000</v>
      </c>
      <c r="L795" s="131">
        <v>489233303</v>
      </c>
      <c r="M795" s="131">
        <v>173104367</v>
      </c>
      <c r="N795" s="131">
        <v>327025921</v>
      </c>
      <c r="O795" s="131">
        <v>239391334</v>
      </c>
      <c r="P795" s="131">
        <v>237122328</v>
      </c>
      <c r="Q795" s="424">
        <v>189155322</v>
      </c>
      <c r="R795" s="128">
        <f t="shared" si="926"/>
        <v>1655032575</v>
      </c>
      <c r="S795" s="131">
        <v>331081145.94</v>
      </c>
      <c r="T795" s="131"/>
      <c r="U795" s="131"/>
      <c r="V795" s="131"/>
      <c r="W795" s="131"/>
      <c r="X795" s="131"/>
      <c r="Y795" s="131"/>
      <c r="Z795" s="131"/>
      <c r="AA795" s="128">
        <f t="shared" si="927"/>
        <v>331081145.94</v>
      </c>
      <c r="AB795" s="128">
        <f t="shared" si="912"/>
        <v>1986113720.9400001</v>
      </c>
      <c r="AC795" s="175">
        <f t="shared" si="913"/>
        <v>0.56009975209813878</v>
      </c>
    </row>
    <row r="796" spans="1:29" s="63" customFormat="1" ht="31.5" x14ac:dyDescent="0.2">
      <c r="A796" s="397">
        <v>1</v>
      </c>
      <c r="B796" s="81" t="s">
        <v>449</v>
      </c>
      <c r="C796" s="79" t="s">
        <v>993</v>
      </c>
      <c r="D796" s="339">
        <f>+D797+D802</f>
        <v>8082707593.5100002</v>
      </c>
      <c r="E796" s="187">
        <f>SUM('ADICIONES  2021'!C796:I796)</f>
        <v>0</v>
      </c>
      <c r="F796" s="130"/>
      <c r="G796" s="130">
        <f t="shared" ref="G796:J796" si="961">+G797+G802</f>
        <v>0</v>
      </c>
      <c r="H796" s="130">
        <f t="shared" si="961"/>
        <v>0</v>
      </c>
      <c r="I796" s="130">
        <f t="shared" si="961"/>
        <v>0</v>
      </c>
      <c r="J796" s="130">
        <f t="shared" si="961"/>
        <v>0</v>
      </c>
      <c r="K796" s="78">
        <f t="shared" si="929"/>
        <v>8082707593.5100002</v>
      </c>
      <c r="L796" s="130">
        <f t="shared" ref="L796:Q796" si="962">+L797+L802</f>
        <v>1226463413</v>
      </c>
      <c r="M796" s="130">
        <f t="shared" si="962"/>
        <v>423548274</v>
      </c>
      <c r="N796" s="130">
        <f t="shared" si="962"/>
        <v>1381530069</v>
      </c>
      <c r="O796" s="130">
        <f t="shared" si="962"/>
        <v>266060453</v>
      </c>
      <c r="P796" s="130">
        <f t="shared" si="962"/>
        <v>487565235</v>
      </c>
      <c r="Q796" s="423">
        <f t="shared" si="962"/>
        <v>435181210</v>
      </c>
      <c r="R796" s="78">
        <f t="shared" si="926"/>
        <v>4220348654</v>
      </c>
      <c r="S796" s="130">
        <f t="shared" ref="S796:Z796" si="963">+S797+S802</f>
        <v>1490016968.4299998</v>
      </c>
      <c r="T796" s="130">
        <f t="shared" si="963"/>
        <v>0</v>
      </c>
      <c r="U796" s="130">
        <f t="shared" si="963"/>
        <v>0</v>
      </c>
      <c r="V796" s="130">
        <f t="shared" si="963"/>
        <v>0</v>
      </c>
      <c r="W796" s="130">
        <f t="shared" si="963"/>
        <v>0</v>
      </c>
      <c r="X796" s="130">
        <f t="shared" si="963"/>
        <v>0</v>
      </c>
      <c r="Y796" s="130">
        <f t="shared" si="963"/>
        <v>0</v>
      </c>
      <c r="Z796" s="130">
        <f t="shared" si="963"/>
        <v>0</v>
      </c>
      <c r="AA796" s="78">
        <f t="shared" si="927"/>
        <v>1490016968.4299998</v>
      </c>
      <c r="AB796" s="78">
        <f t="shared" si="912"/>
        <v>5710365622.4300003</v>
      </c>
      <c r="AC796" s="174">
        <f t="shared" si="913"/>
        <v>0.70649167452440453</v>
      </c>
    </row>
    <row r="797" spans="1:29" s="5" customFormat="1" ht="47.25" x14ac:dyDescent="0.2">
      <c r="A797" s="100">
        <v>1</v>
      </c>
      <c r="B797" s="81" t="s">
        <v>451</v>
      </c>
      <c r="C797" s="79" t="s">
        <v>994</v>
      </c>
      <c r="D797" s="339">
        <f>SUM(D798:D800)</f>
        <v>6082707593.5100002</v>
      </c>
      <c r="E797" s="187">
        <f>SUM('ADICIONES  2021'!C797:I797)</f>
        <v>0</v>
      </c>
      <c r="F797" s="130"/>
      <c r="G797" s="130">
        <f t="shared" ref="G797:J797" si="964">SUM(G798:G800)</f>
        <v>0</v>
      </c>
      <c r="H797" s="130">
        <f t="shared" si="964"/>
        <v>0</v>
      </c>
      <c r="I797" s="130">
        <f t="shared" si="964"/>
        <v>0</v>
      </c>
      <c r="J797" s="130">
        <f t="shared" si="964"/>
        <v>0</v>
      </c>
      <c r="K797" s="78">
        <f t="shared" si="929"/>
        <v>6082707593.5100002</v>
      </c>
      <c r="L797" s="130">
        <f t="shared" ref="L797:Q797" si="965">SUM(L798:L800)</f>
        <v>830024548</v>
      </c>
      <c r="M797" s="130">
        <f t="shared" si="965"/>
        <v>251139589</v>
      </c>
      <c r="N797" s="130">
        <f t="shared" si="965"/>
        <v>1140121455</v>
      </c>
      <c r="O797" s="130">
        <f t="shared" si="965"/>
        <v>120077160</v>
      </c>
      <c r="P797" s="130">
        <f t="shared" si="965"/>
        <v>339176780</v>
      </c>
      <c r="Q797" s="423">
        <f t="shared" si="965"/>
        <v>211317730</v>
      </c>
      <c r="R797" s="78">
        <f t="shared" si="926"/>
        <v>2891857262</v>
      </c>
      <c r="S797" s="130">
        <f t="shared" ref="S797:Z797" si="966">SUM(S798:S800)</f>
        <v>1249131210.1799998</v>
      </c>
      <c r="T797" s="130">
        <f t="shared" si="966"/>
        <v>0</v>
      </c>
      <c r="U797" s="130">
        <f t="shared" si="966"/>
        <v>0</v>
      </c>
      <c r="V797" s="130">
        <f t="shared" si="966"/>
        <v>0</v>
      </c>
      <c r="W797" s="130">
        <f t="shared" si="966"/>
        <v>0</v>
      </c>
      <c r="X797" s="130">
        <f t="shared" si="966"/>
        <v>0</v>
      </c>
      <c r="Y797" s="130">
        <f t="shared" si="966"/>
        <v>0</v>
      </c>
      <c r="Z797" s="130">
        <f t="shared" si="966"/>
        <v>0</v>
      </c>
      <c r="AA797" s="78">
        <f t="shared" si="927"/>
        <v>1249131210.1799998</v>
      </c>
      <c r="AB797" s="78">
        <f t="shared" si="912"/>
        <v>4140988472.1799998</v>
      </c>
      <c r="AC797" s="174">
        <f t="shared" si="913"/>
        <v>0.68078045977391133</v>
      </c>
    </row>
    <row r="798" spans="1:29" ht="28.5" x14ac:dyDescent="0.2">
      <c r="B798" s="76" t="s">
        <v>453</v>
      </c>
      <c r="C798" s="77" t="s">
        <v>375</v>
      </c>
      <c r="D798" s="340">
        <v>1520676898.3800001</v>
      </c>
      <c r="E798" s="188">
        <f>SUM('ADICIONES  2021'!C798:I798)</f>
        <v>0</v>
      </c>
      <c r="F798" s="131"/>
      <c r="G798" s="131"/>
      <c r="H798" s="131"/>
      <c r="I798" s="131"/>
      <c r="J798" s="131"/>
      <c r="K798" s="128">
        <f t="shared" si="929"/>
        <v>1520676898.3800001</v>
      </c>
      <c r="L798" s="131">
        <v>207506137</v>
      </c>
      <c r="M798" s="131">
        <v>62784897.5</v>
      </c>
      <c r="N798" s="131">
        <v>285030363.75</v>
      </c>
      <c r="O798" s="131">
        <v>30019290</v>
      </c>
      <c r="P798" s="131">
        <v>84794195</v>
      </c>
      <c r="Q798" s="424">
        <v>52829432.5</v>
      </c>
      <c r="R798" s="128">
        <f t="shared" si="926"/>
        <v>722964315.75</v>
      </c>
      <c r="S798" s="131">
        <v>310925892.5</v>
      </c>
      <c r="T798" s="131"/>
      <c r="U798" s="131"/>
      <c r="V798" s="131"/>
      <c r="W798" s="131"/>
      <c r="X798" s="131"/>
      <c r="Y798" s="131"/>
      <c r="Z798" s="131"/>
      <c r="AA798" s="128">
        <f t="shared" si="927"/>
        <v>310925892.5</v>
      </c>
      <c r="AB798" s="128">
        <f t="shared" si="912"/>
        <v>1033890208.25</v>
      </c>
      <c r="AC798" s="175">
        <f t="shared" si="913"/>
        <v>0.67988815332923036</v>
      </c>
    </row>
    <row r="799" spans="1:29" ht="28.5" x14ac:dyDescent="0.2">
      <c r="B799" s="76" t="s">
        <v>454</v>
      </c>
      <c r="C799" s="77" t="s">
        <v>376</v>
      </c>
      <c r="D799" s="340">
        <v>1520676898.3800001</v>
      </c>
      <c r="E799" s="188">
        <f>SUM('ADICIONES  2021'!C799:I799)</f>
        <v>0</v>
      </c>
      <c r="F799" s="131"/>
      <c r="G799" s="131"/>
      <c r="H799" s="131"/>
      <c r="I799" s="131"/>
      <c r="J799" s="131"/>
      <c r="K799" s="128">
        <f t="shared" si="929"/>
        <v>1520676898.3800001</v>
      </c>
      <c r="L799" s="131">
        <v>207506137</v>
      </c>
      <c r="M799" s="131">
        <v>62784897.5</v>
      </c>
      <c r="N799" s="131">
        <v>285030363.75</v>
      </c>
      <c r="O799" s="131">
        <v>30019290</v>
      </c>
      <c r="P799" s="131">
        <v>84794195</v>
      </c>
      <c r="Q799" s="424">
        <v>52829432.5</v>
      </c>
      <c r="R799" s="128">
        <f t="shared" si="926"/>
        <v>722964315.75</v>
      </c>
      <c r="S799" s="131">
        <v>310925892.5</v>
      </c>
      <c r="T799" s="131"/>
      <c r="U799" s="131"/>
      <c r="V799" s="131"/>
      <c r="W799" s="131"/>
      <c r="X799" s="131"/>
      <c r="Y799" s="131"/>
      <c r="Z799" s="131"/>
      <c r="AA799" s="128">
        <f t="shared" si="927"/>
        <v>310925892.5</v>
      </c>
      <c r="AB799" s="128">
        <f t="shared" si="912"/>
        <v>1033890208.25</v>
      </c>
      <c r="AC799" s="175">
        <f t="shared" si="913"/>
        <v>0.67988815332923036</v>
      </c>
    </row>
    <row r="800" spans="1:29" s="63" customFormat="1" ht="30" x14ac:dyDescent="0.2">
      <c r="A800" s="397"/>
      <c r="B800" s="81" t="s">
        <v>455</v>
      </c>
      <c r="C800" s="194" t="s">
        <v>987</v>
      </c>
      <c r="D800" s="339">
        <f>+D801</f>
        <v>3041353796.75</v>
      </c>
      <c r="E800" s="187">
        <f>SUM('ADICIONES  2021'!C800:I800)</f>
        <v>0</v>
      </c>
      <c r="F800" s="130"/>
      <c r="G800" s="130">
        <f t="shared" ref="G800:J800" si="967">+G801</f>
        <v>0</v>
      </c>
      <c r="H800" s="130">
        <f t="shared" si="967"/>
        <v>0</v>
      </c>
      <c r="I800" s="130">
        <f t="shared" si="967"/>
        <v>0</v>
      </c>
      <c r="J800" s="130">
        <f t="shared" si="967"/>
        <v>0</v>
      </c>
      <c r="K800" s="78">
        <f t="shared" si="929"/>
        <v>3041353796.75</v>
      </c>
      <c r="L800" s="130">
        <f t="shared" ref="L800:Q800" si="968">+L801</f>
        <v>415012274</v>
      </c>
      <c r="M800" s="130">
        <f t="shared" si="968"/>
        <v>125569794</v>
      </c>
      <c r="N800" s="130">
        <f t="shared" si="968"/>
        <v>570060727.5</v>
      </c>
      <c r="O800" s="130">
        <f t="shared" si="968"/>
        <v>60038580</v>
      </c>
      <c r="P800" s="130">
        <f t="shared" si="968"/>
        <v>169588390</v>
      </c>
      <c r="Q800" s="423">
        <f t="shared" si="968"/>
        <v>105658865</v>
      </c>
      <c r="R800" s="78">
        <f t="shared" si="926"/>
        <v>1445928630.5</v>
      </c>
      <c r="S800" s="130">
        <f t="shared" ref="S800:Z800" si="969">+S801</f>
        <v>627279425.17999995</v>
      </c>
      <c r="T800" s="130">
        <f t="shared" si="969"/>
        <v>0</v>
      </c>
      <c r="U800" s="130">
        <f t="shared" si="969"/>
        <v>0</v>
      </c>
      <c r="V800" s="130">
        <f t="shared" si="969"/>
        <v>0</v>
      </c>
      <c r="W800" s="130">
        <f t="shared" si="969"/>
        <v>0</v>
      </c>
      <c r="X800" s="130">
        <f t="shared" si="969"/>
        <v>0</v>
      </c>
      <c r="Y800" s="130">
        <f t="shared" si="969"/>
        <v>0</v>
      </c>
      <c r="Z800" s="130">
        <f t="shared" si="969"/>
        <v>0</v>
      </c>
      <c r="AA800" s="78">
        <f t="shared" ref="AA800:AA802" si="970">SUM(S800:Z800)</f>
        <v>627279425.17999995</v>
      </c>
      <c r="AB800" s="78">
        <f t="shared" si="912"/>
        <v>2073208055.6799998</v>
      </c>
      <c r="AC800" s="174">
        <f t="shared" si="913"/>
        <v>0.68167276621859529</v>
      </c>
    </row>
    <row r="801" spans="1:29" ht="14.25" x14ac:dyDescent="0.2">
      <c r="B801" s="76" t="s">
        <v>995</v>
      </c>
      <c r="C801" s="77" t="s">
        <v>378</v>
      </c>
      <c r="D801" s="340">
        <v>3041353796.75</v>
      </c>
      <c r="E801" s="188">
        <f>SUM('ADICIONES  2021'!C801:I801)</f>
        <v>0</v>
      </c>
      <c r="F801" s="131"/>
      <c r="G801" s="131"/>
      <c r="H801" s="131"/>
      <c r="I801" s="131"/>
      <c r="J801" s="131"/>
      <c r="K801" s="128">
        <f t="shared" si="929"/>
        <v>3041353796.75</v>
      </c>
      <c r="L801" s="131">
        <v>415012274</v>
      </c>
      <c r="M801" s="131">
        <v>125569794</v>
      </c>
      <c r="N801" s="131">
        <v>570060727.5</v>
      </c>
      <c r="O801" s="131">
        <v>60038580</v>
      </c>
      <c r="P801" s="131">
        <v>169588390</v>
      </c>
      <c r="Q801" s="424">
        <v>105658865</v>
      </c>
      <c r="R801" s="128">
        <f t="shared" si="926"/>
        <v>1445928630.5</v>
      </c>
      <c r="S801" s="131">
        <v>627279425.17999995</v>
      </c>
      <c r="T801" s="131"/>
      <c r="U801" s="131"/>
      <c r="V801" s="131"/>
      <c r="W801" s="131"/>
      <c r="X801" s="131"/>
      <c r="Y801" s="131"/>
      <c r="Z801" s="131"/>
      <c r="AA801" s="128">
        <f t="shared" si="970"/>
        <v>627279425.17999995</v>
      </c>
      <c r="AB801" s="128">
        <f t="shared" si="912"/>
        <v>2073208055.6799998</v>
      </c>
      <c r="AC801" s="175">
        <f t="shared" si="913"/>
        <v>0.68167276621859529</v>
      </c>
    </row>
    <row r="802" spans="1:29" s="63" customFormat="1" ht="47.25" x14ac:dyDescent="0.2">
      <c r="A802" s="397">
        <v>1</v>
      </c>
      <c r="B802" s="81" t="s">
        <v>458</v>
      </c>
      <c r="C802" s="79" t="s">
        <v>996</v>
      </c>
      <c r="D802" s="339">
        <f>SUM(D803:D805)</f>
        <v>2000000000</v>
      </c>
      <c r="E802" s="187">
        <f>SUM('ADICIONES  2021'!C802:I802)</f>
        <v>0</v>
      </c>
      <c r="F802" s="130"/>
      <c r="G802" s="130">
        <f t="shared" ref="G802:J802" si="971">SUM(G803:G805)</f>
        <v>0</v>
      </c>
      <c r="H802" s="130">
        <f t="shared" si="971"/>
        <v>0</v>
      </c>
      <c r="I802" s="130">
        <f t="shared" si="971"/>
        <v>0</v>
      </c>
      <c r="J802" s="130">
        <f t="shared" si="971"/>
        <v>0</v>
      </c>
      <c r="K802" s="78">
        <f t="shared" si="929"/>
        <v>2000000000</v>
      </c>
      <c r="L802" s="130">
        <f t="shared" ref="L802:Q802" si="972">SUM(L803:L805)</f>
        <v>396438865</v>
      </c>
      <c r="M802" s="130">
        <f t="shared" si="972"/>
        <v>172408685</v>
      </c>
      <c r="N802" s="130">
        <f t="shared" si="972"/>
        <v>241408614</v>
      </c>
      <c r="O802" s="130">
        <f t="shared" si="972"/>
        <v>145983293</v>
      </c>
      <c r="P802" s="130">
        <f t="shared" si="972"/>
        <v>148388455</v>
      </c>
      <c r="Q802" s="423">
        <f t="shared" si="972"/>
        <v>223863480</v>
      </c>
      <c r="R802" s="78">
        <f t="shared" si="926"/>
        <v>1328491392</v>
      </c>
      <c r="S802" s="130">
        <f t="shared" ref="S802:Z802" si="973">SUM(S803:S805)</f>
        <v>240885758.25</v>
      </c>
      <c r="T802" s="130">
        <f t="shared" si="973"/>
        <v>0</v>
      </c>
      <c r="U802" s="130">
        <f t="shared" si="973"/>
        <v>0</v>
      </c>
      <c r="V802" s="130">
        <f t="shared" si="973"/>
        <v>0</v>
      </c>
      <c r="W802" s="130">
        <f t="shared" si="973"/>
        <v>0</v>
      </c>
      <c r="X802" s="130">
        <f t="shared" si="973"/>
        <v>0</v>
      </c>
      <c r="Y802" s="130">
        <f t="shared" si="973"/>
        <v>0</v>
      </c>
      <c r="Z802" s="130">
        <f t="shared" si="973"/>
        <v>0</v>
      </c>
      <c r="AA802" s="78">
        <f t="shared" si="970"/>
        <v>240885758.25</v>
      </c>
      <c r="AB802" s="78">
        <f t="shared" si="912"/>
        <v>1569377150.25</v>
      </c>
      <c r="AC802" s="174">
        <f t="shared" si="913"/>
        <v>0.78468857512500001</v>
      </c>
    </row>
    <row r="803" spans="1:29" ht="28.5" x14ac:dyDescent="0.2">
      <c r="B803" s="76" t="s">
        <v>460</v>
      </c>
      <c r="C803" s="77" t="s">
        <v>375</v>
      </c>
      <c r="D803" s="340">
        <v>500000000</v>
      </c>
      <c r="E803" s="188">
        <f>SUM('ADICIONES  2021'!C803:I803)</f>
        <v>0</v>
      </c>
      <c r="F803" s="131"/>
      <c r="G803" s="131"/>
      <c r="H803" s="131"/>
      <c r="I803" s="131"/>
      <c r="J803" s="131"/>
      <c r="K803" s="128">
        <f t="shared" si="929"/>
        <v>500000000</v>
      </c>
      <c r="L803" s="131">
        <v>98983349</v>
      </c>
      <c r="M803" s="131">
        <v>52056041</v>
      </c>
      <c r="N803" s="131">
        <v>60351938</v>
      </c>
      <c r="O803" s="131">
        <v>36495400</v>
      </c>
      <c r="P803" s="131">
        <v>37097000</v>
      </c>
      <c r="Q803" s="424">
        <v>55965870</v>
      </c>
      <c r="R803" s="128">
        <f t="shared" si="926"/>
        <v>340949598</v>
      </c>
      <c r="S803" s="131">
        <v>59650350</v>
      </c>
      <c r="T803" s="131"/>
      <c r="U803" s="131"/>
      <c r="V803" s="131"/>
      <c r="W803" s="131"/>
      <c r="X803" s="131"/>
      <c r="Y803" s="131"/>
      <c r="Z803" s="131"/>
      <c r="AA803" s="128">
        <f t="shared" si="927"/>
        <v>59650350</v>
      </c>
      <c r="AB803" s="128">
        <f t="shared" si="912"/>
        <v>400599948</v>
      </c>
      <c r="AC803" s="175">
        <f t="shared" si="913"/>
        <v>0.80119989599999997</v>
      </c>
    </row>
    <row r="804" spans="1:29" ht="28.5" x14ac:dyDescent="0.2">
      <c r="B804" s="76" t="s">
        <v>461</v>
      </c>
      <c r="C804" s="243" t="s">
        <v>376</v>
      </c>
      <c r="D804" s="340">
        <v>500000000</v>
      </c>
      <c r="E804" s="188">
        <f>SUM('ADICIONES  2021'!C804:I804)</f>
        <v>0</v>
      </c>
      <c r="F804" s="131"/>
      <c r="G804" s="131"/>
      <c r="H804" s="131"/>
      <c r="I804" s="131"/>
      <c r="J804" s="131"/>
      <c r="K804" s="128">
        <f t="shared" si="929"/>
        <v>500000000</v>
      </c>
      <c r="L804" s="131">
        <v>98983349</v>
      </c>
      <c r="M804" s="131">
        <v>52056041</v>
      </c>
      <c r="N804" s="131">
        <v>60351938</v>
      </c>
      <c r="O804" s="131">
        <v>36495400</v>
      </c>
      <c r="P804" s="131">
        <v>37097000</v>
      </c>
      <c r="Q804" s="424">
        <v>55965870</v>
      </c>
      <c r="R804" s="128">
        <f t="shared" si="926"/>
        <v>340949598</v>
      </c>
      <c r="S804" s="131">
        <v>59650350</v>
      </c>
      <c r="T804" s="131"/>
      <c r="U804" s="131"/>
      <c r="V804" s="131"/>
      <c r="W804" s="131"/>
      <c r="X804" s="131"/>
      <c r="Y804" s="131"/>
      <c r="Z804" s="131"/>
      <c r="AA804" s="128">
        <f t="shared" si="927"/>
        <v>59650350</v>
      </c>
      <c r="AB804" s="128">
        <f t="shared" si="912"/>
        <v>400599948</v>
      </c>
      <c r="AC804" s="175">
        <f t="shared" si="913"/>
        <v>0.80119989599999997</v>
      </c>
    </row>
    <row r="805" spans="1:29" s="63" customFormat="1" ht="31.5" x14ac:dyDescent="0.2">
      <c r="A805" s="397"/>
      <c r="B805" s="81" t="s">
        <v>462</v>
      </c>
      <c r="C805" s="79" t="s">
        <v>987</v>
      </c>
      <c r="D805" s="339">
        <f>+D806</f>
        <v>1000000000</v>
      </c>
      <c r="E805" s="187">
        <f>SUM('ADICIONES  2021'!C805:I805)</f>
        <v>0</v>
      </c>
      <c r="F805" s="130"/>
      <c r="G805" s="130">
        <f t="shared" ref="G805:J805" si="974">+G806</f>
        <v>0</v>
      </c>
      <c r="H805" s="130">
        <f t="shared" si="974"/>
        <v>0</v>
      </c>
      <c r="I805" s="130">
        <f t="shared" si="974"/>
        <v>0</v>
      </c>
      <c r="J805" s="130">
        <f t="shared" si="974"/>
        <v>0</v>
      </c>
      <c r="K805" s="78">
        <f t="shared" si="929"/>
        <v>1000000000</v>
      </c>
      <c r="L805" s="130">
        <f t="shared" ref="L805:Q805" si="975">+L806</f>
        <v>198472167</v>
      </c>
      <c r="M805" s="130">
        <f t="shared" si="975"/>
        <v>68296603</v>
      </c>
      <c r="N805" s="130">
        <f t="shared" si="975"/>
        <v>120704738</v>
      </c>
      <c r="O805" s="130">
        <f t="shared" si="975"/>
        <v>72992493</v>
      </c>
      <c r="P805" s="130">
        <f t="shared" si="975"/>
        <v>74194455</v>
      </c>
      <c r="Q805" s="423">
        <f t="shared" si="975"/>
        <v>111931740</v>
      </c>
      <c r="R805" s="78">
        <f t="shared" si="926"/>
        <v>646592196</v>
      </c>
      <c r="S805" s="130">
        <f t="shared" ref="S805:Z805" si="976">+S806</f>
        <v>121585058.25</v>
      </c>
      <c r="T805" s="130">
        <f t="shared" si="976"/>
        <v>0</v>
      </c>
      <c r="U805" s="130">
        <f t="shared" si="976"/>
        <v>0</v>
      </c>
      <c r="V805" s="130">
        <f t="shared" si="976"/>
        <v>0</v>
      </c>
      <c r="W805" s="130">
        <f t="shared" si="976"/>
        <v>0</v>
      </c>
      <c r="X805" s="130">
        <f t="shared" si="976"/>
        <v>0</v>
      </c>
      <c r="Y805" s="130">
        <f t="shared" si="976"/>
        <v>0</v>
      </c>
      <c r="Z805" s="130">
        <f t="shared" si="976"/>
        <v>0</v>
      </c>
      <c r="AA805" s="78">
        <f t="shared" si="927"/>
        <v>121585058.25</v>
      </c>
      <c r="AB805" s="78">
        <f t="shared" si="912"/>
        <v>768177254.25</v>
      </c>
      <c r="AC805" s="174">
        <f t="shared" si="913"/>
        <v>0.76817725425000005</v>
      </c>
    </row>
    <row r="806" spans="1:29" ht="14.25" x14ac:dyDescent="0.2">
      <c r="B806" s="76" t="s">
        <v>997</v>
      </c>
      <c r="C806" s="77" t="s">
        <v>378</v>
      </c>
      <c r="D806" s="340">
        <v>1000000000</v>
      </c>
      <c r="E806" s="188">
        <f>SUM('ADICIONES  2021'!C806:I806)</f>
        <v>0</v>
      </c>
      <c r="F806" s="131"/>
      <c r="G806" s="131"/>
      <c r="H806" s="131"/>
      <c r="I806" s="131"/>
      <c r="J806" s="131"/>
      <c r="K806" s="128">
        <f t="shared" si="929"/>
        <v>1000000000</v>
      </c>
      <c r="L806" s="131">
        <v>198472167</v>
      </c>
      <c r="M806" s="131">
        <v>68296603</v>
      </c>
      <c r="N806" s="131">
        <v>120704738</v>
      </c>
      <c r="O806" s="131">
        <v>72992493</v>
      </c>
      <c r="P806" s="131">
        <v>74194455</v>
      </c>
      <c r="Q806" s="424">
        <v>111931740</v>
      </c>
      <c r="R806" s="128">
        <f t="shared" si="926"/>
        <v>646592196</v>
      </c>
      <c r="S806" s="131">
        <v>121585058.25</v>
      </c>
      <c r="T806" s="131"/>
      <c r="U806" s="131"/>
      <c r="V806" s="131"/>
      <c r="W806" s="131"/>
      <c r="X806" s="131"/>
      <c r="Y806" s="131"/>
      <c r="Z806" s="131"/>
      <c r="AA806" s="128">
        <f t="shared" si="927"/>
        <v>121585058.25</v>
      </c>
      <c r="AB806" s="128">
        <f t="shared" si="912"/>
        <v>768177254.25</v>
      </c>
      <c r="AC806" s="175">
        <f t="shared" si="913"/>
        <v>0.76817725425000005</v>
      </c>
    </row>
    <row r="807" spans="1:29" s="63" customFormat="1" ht="31.5" x14ac:dyDescent="0.2">
      <c r="A807" s="397">
        <v>1</v>
      </c>
      <c r="B807" s="81" t="s">
        <v>465</v>
      </c>
      <c r="C807" s="79" t="s">
        <v>998</v>
      </c>
      <c r="D807" s="339">
        <f>+D808+D813</f>
        <v>25800000000</v>
      </c>
      <c r="E807" s="187">
        <f>SUM('ADICIONES  2021'!C807:I807)</f>
        <v>0</v>
      </c>
      <c r="F807" s="130"/>
      <c r="G807" s="130">
        <f t="shared" ref="G807:J807" si="977">+G808+G813</f>
        <v>0</v>
      </c>
      <c r="H807" s="130">
        <f t="shared" si="977"/>
        <v>0</v>
      </c>
      <c r="I807" s="130">
        <f t="shared" si="977"/>
        <v>0</v>
      </c>
      <c r="J807" s="130">
        <f t="shared" si="977"/>
        <v>0</v>
      </c>
      <c r="K807" s="78">
        <f t="shared" si="929"/>
        <v>25800000000</v>
      </c>
      <c r="L807" s="130">
        <f t="shared" ref="L807:Q807" si="978">+L808+L813</f>
        <v>3025966900</v>
      </c>
      <c r="M807" s="130">
        <f t="shared" si="978"/>
        <v>2648887721</v>
      </c>
      <c r="N807" s="130">
        <f t="shared" si="978"/>
        <v>2095466780</v>
      </c>
      <c r="O807" s="130">
        <f t="shared" si="978"/>
        <v>2180051261</v>
      </c>
      <c r="P807" s="130">
        <f t="shared" si="978"/>
        <v>2256631679</v>
      </c>
      <c r="Q807" s="423">
        <f t="shared" si="978"/>
        <v>2100205076</v>
      </c>
      <c r="R807" s="78">
        <f t="shared" si="926"/>
        <v>14307209417</v>
      </c>
      <c r="S807" s="130">
        <f t="shared" ref="S807:Z807" si="979">+S808+S813</f>
        <v>1916805034</v>
      </c>
      <c r="T807" s="130">
        <f t="shared" si="979"/>
        <v>0</v>
      </c>
      <c r="U807" s="130">
        <f t="shared" si="979"/>
        <v>0</v>
      </c>
      <c r="V807" s="130">
        <f t="shared" si="979"/>
        <v>0</v>
      </c>
      <c r="W807" s="130">
        <f t="shared" si="979"/>
        <v>0</v>
      </c>
      <c r="X807" s="130">
        <f t="shared" si="979"/>
        <v>0</v>
      </c>
      <c r="Y807" s="130">
        <f t="shared" si="979"/>
        <v>0</v>
      </c>
      <c r="Z807" s="130">
        <f t="shared" si="979"/>
        <v>0</v>
      </c>
      <c r="AA807" s="78">
        <f t="shared" si="927"/>
        <v>1916805034</v>
      </c>
      <c r="AB807" s="78">
        <f t="shared" si="912"/>
        <v>16224014451</v>
      </c>
      <c r="AC807" s="174">
        <f t="shared" si="913"/>
        <v>0.6288377694186047</v>
      </c>
    </row>
    <row r="808" spans="1:29" s="63" customFormat="1" ht="47.25" x14ac:dyDescent="0.2">
      <c r="A808" s="397">
        <v>1</v>
      </c>
      <c r="B808" s="81" t="s">
        <v>999</v>
      </c>
      <c r="C808" s="79" t="s">
        <v>1000</v>
      </c>
      <c r="D808" s="339">
        <f>SUM(D809:D811)</f>
        <v>24830592091</v>
      </c>
      <c r="E808" s="187">
        <f>SUM('ADICIONES  2021'!C808:I808)</f>
        <v>0</v>
      </c>
      <c r="F808" s="130"/>
      <c r="G808" s="130">
        <f t="shared" ref="G808:J808" si="980">SUM(G809:G811)</f>
        <v>0</v>
      </c>
      <c r="H808" s="130">
        <f t="shared" si="980"/>
        <v>0</v>
      </c>
      <c r="I808" s="130">
        <f t="shared" si="980"/>
        <v>0</v>
      </c>
      <c r="J808" s="130">
        <f t="shared" si="980"/>
        <v>0</v>
      </c>
      <c r="K808" s="78">
        <f t="shared" si="929"/>
        <v>24830592091</v>
      </c>
      <c r="L808" s="130">
        <f t="shared" ref="L808:Q808" si="981">SUM(L809:L811)</f>
        <v>2998827000</v>
      </c>
      <c r="M808" s="130">
        <f t="shared" si="981"/>
        <v>2621013000</v>
      </c>
      <c r="N808" s="130">
        <f t="shared" si="981"/>
        <v>2043878000</v>
      </c>
      <c r="O808" s="130">
        <f t="shared" si="981"/>
        <v>2162047000</v>
      </c>
      <c r="P808" s="130">
        <f t="shared" si="981"/>
        <v>2235484000</v>
      </c>
      <c r="Q808" s="423">
        <f t="shared" si="981"/>
        <v>2081017000</v>
      </c>
      <c r="R808" s="78">
        <f t="shared" si="926"/>
        <v>14142266000</v>
      </c>
      <c r="S808" s="130">
        <f t="shared" ref="S808:Z808" si="982">SUM(S809:S811)</f>
        <v>1905340815.49</v>
      </c>
      <c r="T808" s="130">
        <f t="shared" si="982"/>
        <v>0</v>
      </c>
      <c r="U808" s="130">
        <f t="shared" si="982"/>
        <v>0</v>
      </c>
      <c r="V808" s="130">
        <f t="shared" si="982"/>
        <v>0</v>
      </c>
      <c r="W808" s="130">
        <f t="shared" si="982"/>
        <v>0</v>
      </c>
      <c r="X808" s="130">
        <f t="shared" si="982"/>
        <v>0</v>
      </c>
      <c r="Y808" s="130">
        <f t="shared" si="982"/>
        <v>0</v>
      </c>
      <c r="Z808" s="130">
        <f t="shared" si="982"/>
        <v>0</v>
      </c>
      <c r="AA808" s="78">
        <f t="shared" si="927"/>
        <v>1905340815.49</v>
      </c>
      <c r="AB808" s="78">
        <f t="shared" si="912"/>
        <v>16047606815.49</v>
      </c>
      <c r="AC808" s="174">
        <f t="shared" si="913"/>
        <v>0.64628369539792618</v>
      </c>
    </row>
    <row r="809" spans="1:29" ht="28.5" x14ac:dyDescent="0.2">
      <c r="B809" s="76" t="s">
        <v>1001</v>
      </c>
      <c r="C809" s="77" t="s">
        <v>375</v>
      </c>
      <c r="D809" s="340">
        <v>6207648022.75</v>
      </c>
      <c r="E809" s="188">
        <f>SUM('ADICIONES  2021'!C809:I809)</f>
        <v>0</v>
      </c>
      <c r="F809" s="131"/>
      <c r="G809" s="131"/>
      <c r="H809" s="131"/>
      <c r="I809" s="131"/>
      <c r="J809" s="131"/>
      <c r="K809" s="128">
        <f t="shared" si="929"/>
        <v>6207648022.75</v>
      </c>
      <c r="L809" s="131">
        <v>749706750</v>
      </c>
      <c r="M809" s="131">
        <v>655253250</v>
      </c>
      <c r="N809" s="131">
        <v>510969500</v>
      </c>
      <c r="O809" s="131">
        <v>540511750</v>
      </c>
      <c r="P809" s="131">
        <v>558871000</v>
      </c>
      <c r="Q809" s="424">
        <v>520254250</v>
      </c>
      <c r="R809" s="128">
        <f t="shared" si="926"/>
        <v>3535566500</v>
      </c>
      <c r="S809" s="131">
        <v>472671750</v>
      </c>
      <c r="T809" s="131"/>
      <c r="U809" s="131"/>
      <c r="V809" s="131"/>
      <c r="W809" s="131"/>
      <c r="X809" s="131"/>
      <c r="Y809" s="131"/>
      <c r="Z809" s="131"/>
      <c r="AA809" s="128">
        <f t="shared" si="927"/>
        <v>472671750</v>
      </c>
      <c r="AB809" s="128">
        <f t="shared" si="912"/>
        <v>4008238250</v>
      </c>
      <c r="AC809" s="175">
        <f t="shared" si="913"/>
        <v>0.64569354372388255</v>
      </c>
    </row>
    <row r="810" spans="1:29" ht="28.5" x14ac:dyDescent="0.2">
      <c r="B810" s="76" t="s">
        <v>1002</v>
      </c>
      <c r="C810" s="77" t="s">
        <v>376</v>
      </c>
      <c r="D810" s="340">
        <v>6207648022.75</v>
      </c>
      <c r="E810" s="188">
        <f>SUM('ADICIONES  2021'!C810:I810)</f>
        <v>0</v>
      </c>
      <c r="F810" s="131"/>
      <c r="G810" s="131"/>
      <c r="H810" s="131"/>
      <c r="I810" s="131"/>
      <c r="J810" s="131"/>
      <c r="K810" s="128">
        <f t="shared" si="929"/>
        <v>6207648022.75</v>
      </c>
      <c r="L810" s="131">
        <v>749706750</v>
      </c>
      <c r="M810" s="131">
        <v>655253250</v>
      </c>
      <c r="N810" s="131">
        <v>510969500</v>
      </c>
      <c r="O810" s="131">
        <v>540511750</v>
      </c>
      <c r="P810" s="131">
        <v>558871000</v>
      </c>
      <c r="Q810" s="424">
        <v>520254250</v>
      </c>
      <c r="R810" s="128">
        <f t="shared" si="926"/>
        <v>3535566500</v>
      </c>
      <c r="S810" s="131">
        <v>472671750</v>
      </c>
      <c r="T810" s="131"/>
      <c r="U810" s="131"/>
      <c r="V810" s="131"/>
      <c r="W810" s="131"/>
      <c r="X810" s="131"/>
      <c r="Y810" s="131"/>
      <c r="Z810" s="131"/>
      <c r="AA810" s="128">
        <f t="shared" si="927"/>
        <v>472671750</v>
      </c>
      <c r="AB810" s="128">
        <f t="shared" si="912"/>
        <v>4008238250</v>
      </c>
      <c r="AC810" s="175">
        <f t="shared" si="913"/>
        <v>0.64569354372388255</v>
      </c>
    </row>
    <row r="811" spans="1:29" s="63" customFormat="1" ht="30" x14ac:dyDescent="0.2">
      <c r="A811" s="397"/>
      <c r="B811" s="81" t="s">
        <v>1003</v>
      </c>
      <c r="C811" s="194" t="s">
        <v>987</v>
      </c>
      <c r="D811" s="339">
        <f>+D812</f>
        <v>12415296045.5</v>
      </c>
      <c r="E811" s="187">
        <f>SUM('ADICIONES  2021'!C811:I811)</f>
        <v>0</v>
      </c>
      <c r="F811" s="130"/>
      <c r="G811" s="130">
        <f t="shared" ref="G811:J811" si="983">+G812</f>
        <v>0</v>
      </c>
      <c r="H811" s="130">
        <f t="shared" si="983"/>
        <v>0</v>
      </c>
      <c r="I811" s="130">
        <f t="shared" si="983"/>
        <v>0</v>
      </c>
      <c r="J811" s="130">
        <f t="shared" si="983"/>
        <v>0</v>
      </c>
      <c r="K811" s="78">
        <f t="shared" si="929"/>
        <v>12415296045.5</v>
      </c>
      <c r="L811" s="130">
        <f t="shared" ref="L811:Q811" si="984">+L812</f>
        <v>1499413500</v>
      </c>
      <c r="M811" s="130">
        <f t="shared" si="984"/>
        <v>1310506500</v>
      </c>
      <c r="N811" s="130">
        <f t="shared" si="984"/>
        <v>1021939000</v>
      </c>
      <c r="O811" s="130">
        <f t="shared" si="984"/>
        <v>1081023500</v>
      </c>
      <c r="P811" s="130">
        <f t="shared" si="984"/>
        <v>1117742000</v>
      </c>
      <c r="Q811" s="423">
        <f t="shared" si="984"/>
        <v>1040508500</v>
      </c>
      <c r="R811" s="78">
        <f t="shared" si="926"/>
        <v>7071133000</v>
      </c>
      <c r="S811" s="130">
        <f t="shared" ref="S811:Z811" si="985">+S812</f>
        <v>959997315.49000001</v>
      </c>
      <c r="T811" s="130">
        <f t="shared" si="985"/>
        <v>0</v>
      </c>
      <c r="U811" s="130">
        <f t="shared" si="985"/>
        <v>0</v>
      </c>
      <c r="V811" s="130">
        <f t="shared" si="985"/>
        <v>0</v>
      </c>
      <c r="W811" s="130">
        <f t="shared" si="985"/>
        <v>0</v>
      </c>
      <c r="X811" s="130">
        <f t="shared" si="985"/>
        <v>0</v>
      </c>
      <c r="Y811" s="130">
        <f t="shared" si="985"/>
        <v>0</v>
      </c>
      <c r="Z811" s="130">
        <f t="shared" si="985"/>
        <v>0</v>
      </c>
      <c r="AA811" s="78">
        <f t="shared" si="927"/>
        <v>959997315.49000001</v>
      </c>
      <c r="AB811" s="78">
        <f t="shared" si="912"/>
        <v>8031130315.4899998</v>
      </c>
      <c r="AC811" s="174">
        <f t="shared" si="913"/>
        <v>0.64687384707196993</v>
      </c>
    </row>
    <row r="812" spans="1:29" ht="14.25" x14ac:dyDescent="0.2">
      <c r="B812" s="76" t="s">
        <v>1004</v>
      </c>
      <c r="C812" s="77" t="s">
        <v>378</v>
      </c>
      <c r="D812" s="340">
        <v>12415296045.5</v>
      </c>
      <c r="E812" s="188">
        <f>SUM('ADICIONES  2021'!C812:I812)</f>
        <v>0</v>
      </c>
      <c r="F812" s="131"/>
      <c r="G812" s="131"/>
      <c r="H812" s="131"/>
      <c r="I812" s="131"/>
      <c r="J812" s="131"/>
      <c r="K812" s="128">
        <f t="shared" si="929"/>
        <v>12415296045.5</v>
      </c>
      <c r="L812" s="131">
        <v>1499413500</v>
      </c>
      <c r="M812" s="131">
        <v>1310506500</v>
      </c>
      <c r="N812" s="131">
        <v>1021939000</v>
      </c>
      <c r="O812" s="131">
        <v>1081023500</v>
      </c>
      <c r="P812" s="131">
        <v>1117742000</v>
      </c>
      <c r="Q812" s="424">
        <v>1040508500</v>
      </c>
      <c r="R812" s="128">
        <f t="shared" si="926"/>
        <v>7071133000</v>
      </c>
      <c r="S812" s="131">
        <v>959997315.49000001</v>
      </c>
      <c r="T812" s="131"/>
      <c r="U812" s="131"/>
      <c r="V812" s="131"/>
      <c r="W812" s="131"/>
      <c r="X812" s="131"/>
      <c r="Y812" s="131"/>
      <c r="Z812" s="131"/>
      <c r="AA812" s="128">
        <f t="shared" si="927"/>
        <v>959997315.49000001</v>
      </c>
      <c r="AB812" s="128">
        <f t="shared" si="912"/>
        <v>8031130315.4899998</v>
      </c>
      <c r="AC812" s="175">
        <f t="shared" si="913"/>
        <v>0.64687384707196993</v>
      </c>
    </row>
    <row r="813" spans="1:29" s="63" customFormat="1" ht="47.25" x14ac:dyDescent="0.2">
      <c r="A813" s="397">
        <v>1</v>
      </c>
      <c r="B813" s="81" t="s">
        <v>467</v>
      </c>
      <c r="C813" s="79" t="s">
        <v>1005</v>
      </c>
      <c r="D813" s="339">
        <f>SUM(D814:D816)</f>
        <v>969407909</v>
      </c>
      <c r="E813" s="187">
        <f>SUM('ADICIONES  2021'!C813:I813)</f>
        <v>0</v>
      </c>
      <c r="F813" s="130"/>
      <c r="G813" s="130">
        <f t="shared" ref="G813:J813" si="986">SUM(G814:G816)</f>
        <v>0</v>
      </c>
      <c r="H813" s="130">
        <f t="shared" si="986"/>
        <v>0</v>
      </c>
      <c r="I813" s="130">
        <f t="shared" si="986"/>
        <v>0</v>
      </c>
      <c r="J813" s="130">
        <f t="shared" si="986"/>
        <v>0</v>
      </c>
      <c r="K813" s="78">
        <f t="shared" si="929"/>
        <v>969407909</v>
      </c>
      <c r="L813" s="130">
        <f t="shared" ref="L813:Q813" si="987">SUM(L814:L816)</f>
        <v>27139900</v>
      </c>
      <c r="M813" s="130">
        <f t="shared" si="987"/>
        <v>27874721</v>
      </c>
      <c r="N813" s="130">
        <f t="shared" si="987"/>
        <v>51588780</v>
      </c>
      <c r="O813" s="130">
        <f t="shared" si="987"/>
        <v>18004261</v>
      </c>
      <c r="P813" s="130">
        <f t="shared" si="987"/>
        <v>21147679</v>
      </c>
      <c r="Q813" s="423">
        <f t="shared" si="987"/>
        <v>19188076</v>
      </c>
      <c r="R813" s="78">
        <f t="shared" si="926"/>
        <v>164943417</v>
      </c>
      <c r="S813" s="130">
        <f t="shared" ref="S813:Z813" si="988">SUM(S814:S816)</f>
        <v>11464218.51</v>
      </c>
      <c r="T813" s="130">
        <f t="shared" si="988"/>
        <v>0</v>
      </c>
      <c r="U813" s="130">
        <f t="shared" si="988"/>
        <v>0</v>
      </c>
      <c r="V813" s="130">
        <f t="shared" si="988"/>
        <v>0</v>
      </c>
      <c r="W813" s="130">
        <f t="shared" si="988"/>
        <v>0</v>
      </c>
      <c r="X813" s="130">
        <f t="shared" si="988"/>
        <v>0</v>
      </c>
      <c r="Y813" s="130">
        <f t="shared" si="988"/>
        <v>0</v>
      </c>
      <c r="Z813" s="130">
        <f t="shared" si="988"/>
        <v>0</v>
      </c>
      <c r="AA813" s="78">
        <f t="shared" si="927"/>
        <v>11464218.51</v>
      </c>
      <c r="AB813" s="78">
        <f t="shared" si="912"/>
        <v>176407635.50999999</v>
      </c>
      <c r="AC813" s="174">
        <f t="shared" si="913"/>
        <v>0.18197461963351899</v>
      </c>
    </row>
    <row r="814" spans="1:29" ht="28.5" x14ac:dyDescent="0.2">
      <c r="B814" s="76" t="s">
        <v>469</v>
      </c>
      <c r="C814" s="77" t="s">
        <v>375</v>
      </c>
      <c r="D814" s="340">
        <v>242351977.25</v>
      </c>
      <c r="E814" s="188">
        <f>SUM('ADICIONES  2021'!C814:I814)</f>
        <v>0</v>
      </c>
      <c r="F814" s="131"/>
      <c r="G814" s="131"/>
      <c r="H814" s="131"/>
      <c r="I814" s="131"/>
      <c r="J814" s="131"/>
      <c r="K814" s="128">
        <f t="shared" si="929"/>
        <v>242351977.25</v>
      </c>
      <c r="L814" s="131">
        <v>6785000</v>
      </c>
      <c r="M814" s="131">
        <v>7248852</v>
      </c>
      <c r="N814" s="131">
        <v>12897000</v>
      </c>
      <c r="O814" s="131">
        <v>4501000</v>
      </c>
      <c r="P814" s="131">
        <v>5287000</v>
      </c>
      <c r="Q814" s="424">
        <v>4797000</v>
      </c>
      <c r="R814" s="128">
        <f t="shared" si="926"/>
        <v>41515852</v>
      </c>
      <c r="S814" s="131">
        <v>2832000</v>
      </c>
      <c r="T814" s="131"/>
      <c r="U814" s="131"/>
      <c r="V814" s="131"/>
      <c r="W814" s="131"/>
      <c r="X814" s="131"/>
      <c r="Y814" s="131"/>
      <c r="Z814" s="131"/>
      <c r="AA814" s="128">
        <f t="shared" si="927"/>
        <v>2832000</v>
      </c>
      <c r="AB814" s="128">
        <f t="shared" si="912"/>
        <v>44347852</v>
      </c>
      <c r="AC814" s="175">
        <f t="shared" si="913"/>
        <v>0.1829894375247974</v>
      </c>
    </row>
    <row r="815" spans="1:29" ht="28.5" x14ac:dyDescent="0.2">
      <c r="B815" s="76" t="s">
        <v>470</v>
      </c>
      <c r="C815" s="77" t="s">
        <v>376</v>
      </c>
      <c r="D815" s="340">
        <v>242351977.25</v>
      </c>
      <c r="E815" s="188">
        <f>SUM('ADICIONES  2021'!C815:I815)</f>
        <v>0</v>
      </c>
      <c r="F815" s="131"/>
      <c r="G815" s="131"/>
      <c r="H815" s="131"/>
      <c r="I815" s="131"/>
      <c r="J815" s="131"/>
      <c r="K815" s="128">
        <f t="shared" si="929"/>
        <v>242351977.25</v>
      </c>
      <c r="L815" s="131">
        <v>6785000</v>
      </c>
      <c r="M815" s="131">
        <v>7248852</v>
      </c>
      <c r="N815" s="131">
        <v>12897000</v>
      </c>
      <c r="O815" s="131">
        <v>4501000</v>
      </c>
      <c r="P815" s="131">
        <v>5287000</v>
      </c>
      <c r="Q815" s="424">
        <v>4797000</v>
      </c>
      <c r="R815" s="128">
        <f t="shared" si="926"/>
        <v>41515852</v>
      </c>
      <c r="S815" s="131">
        <v>2832000</v>
      </c>
      <c r="T815" s="131"/>
      <c r="U815" s="131"/>
      <c r="V815" s="131"/>
      <c r="W815" s="131"/>
      <c r="X815" s="131"/>
      <c r="Y815" s="131"/>
      <c r="Z815" s="131"/>
      <c r="AA815" s="128">
        <f t="shared" si="927"/>
        <v>2832000</v>
      </c>
      <c r="AB815" s="128">
        <f t="shared" si="912"/>
        <v>44347852</v>
      </c>
      <c r="AC815" s="175">
        <f t="shared" si="913"/>
        <v>0.1829894375247974</v>
      </c>
    </row>
    <row r="816" spans="1:29" s="63" customFormat="1" ht="30" x14ac:dyDescent="0.2">
      <c r="A816" s="397"/>
      <c r="B816" s="81" t="s">
        <v>471</v>
      </c>
      <c r="C816" s="194" t="s">
        <v>987</v>
      </c>
      <c r="D816" s="339">
        <f>+D817</f>
        <v>484703954.5</v>
      </c>
      <c r="E816" s="187">
        <f>SUM('ADICIONES  2021'!C816:I816)</f>
        <v>0</v>
      </c>
      <c r="F816" s="130"/>
      <c r="G816" s="130">
        <f t="shared" ref="G816:J816" si="989">+G817</f>
        <v>0</v>
      </c>
      <c r="H816" s="130">
        <f t="shared" si="989"/>
        <v>0</v>
      </c>
      <c r="I816" s="130">
        <f t="shared" si="989"/>
        <v>0</v>
      </c>
      <c r="J816" s="130">
        <f t="shared" si="989"/>
        <v>0</v>
      </c>
      <c r="K816" s="78">
        <f t="shared" si="929"/>
        <v>484703954.5</v>
      </c>
      <c r="L816" s="130">
        <f t="shared" ref="L816:Q816" si="990">+L817</f>
        <v>13569900</v>
      </c>
      <c r="M816" s="130">
        <f t="shared" si="990"/>
        <v>13377017</v>
      </c>
      <c r="N816" s="130">
        <f t="shared" si="990"/>
        <v>25794780</v>
      </c>
      <c r="O816" s="130">
        <f t="shared" si="990"/>
        <v>9002261</v>
      </c>
      <c r="P816" s="130">
        <f t="shared" si="990"/>
        <v>10573679</v>
      </c>
      <c r="Q816" s="423">
        <f t="shared" si="990"/>
        <v>9594076</v>
      </c>
      <c r="R816" s="78">
        <f t="shared" si="926"/>
        <v>81911713</v>
      </c>
      <c r="S816" s="130">
        <f t="shared" ref="S816:Z816" si="991">+S817</f>
        <v>5800218.5099999998</v>
      </c>
      <c r="T816" s="130">
        <f t="shared" si="991"/>
        <v>0</v>
      </c>
      <c r="U816" s="130">
        <f t="shared" si="991"/>
        <v>0</v>
      </c>
      <c r="V816" s="130">
        <f t="shared" si="991"/>
        <v>0</v>
      </c>
      <c r="W816" s="130">
        <f t="shared" si="991"/>
        <v>0</v>
      </c>
      <c r="X816" s="130">
        <f t="shared" si="991"/>
        <v>0</v>
      </c>
      <c r="Y816" s="130">
        <f t="shared" si="991"/>
        <v>0</v>
      </c>
      <c r="Z816" s="130">
        <f t="shared" si="991"/>
        <v>0</v>
      </c>
      <c r="AA816" s="78">
        <f t="shared" si="927"/>
        <v>5800218.5099999998</v>
      </c>
      <c r="AB816" s="78">
        <f t="shared" si="912"/>
        <v>87711931.510000005</v>
      </c>
      <c r="AC816" s="174">
        <f t="shared" si="913"/>
        <v>0.18095980174224061</v>
      </c>
    </row>
    <row r="817" spans="1:29" ht="14.25" x14ac:dyDescent="0.2">
      <c r="B817" s="76" t="s">
        <v>1006</v>
      </c>
      <c r="C817" s="77" t="s">
        <v>378</v>
      </c>
      <c r="D817" s="340">
        <v>484703954.5</v>
      </c>
      <c r="E817" s="188">
        <f>SUM('ADICIONES  2021'!C817:I817)</f>
        <v>0</v>
      </c>
      <c r="F817" s="131"/>
      <c r="G817" s="131"/>
      <c r="H817" s="131"/>
      <c r="I817" s="131"/>
      <c r="J817" s="131"/>
      <c r="K817" s="128">
        <f t="shared" si="929"/>
        <v>484703954.5</v>
      </c>
      <c r="L817" s="131">
        <v>13569900</v>
      </c>
      <c r="M817" s="131">
        <v>13377017</v>
      </c>
      <c r="N817" s="131">
        <v>25794780</v>
      </c>
      <c r="O817" s="131">
        <v>9002261</v>
      </c>
      <c r="P817" s="131">
        <v>10573679</v>
      </c>
      <c r="Q817" s="424">
        <v>9594076</v>
      </c>
      <c r="R817" s="128">
        <f t="shared" si="926"/>
        <v>81911713</v>
      </c>
      <c r="S817" s="131">
        <v>5800218.5099999998</v>
      </c>
      <c r="T817" s="131"/>
      <c r="U817" s="131"/>
      <c r="V817" s="131"/>
      <c r="W817" s="131"/>
      <c r="X817" s="131"/>
      <c r="Y817" s="131"/>
      <c r="Z817" s="131"/>
      <c r="AA817" s="128">
        <f t="shared" si="927"/>
        <v>5800218.5099999998</v>
      </c>
      <c r="AB817" s="128">
        <f t="shared" si="912"/>
        <v>87711931.510000005</v>
      </c>
      <c r="AC817" s="175">
        <f t="shared" si="913"/>
        <v>0.18095980174224061</v>
      </c>
    </row>
    <row r="818" spans="1:29" s="63" customFormat="1" ht="31.5" x14ac:dyDescent="0.2">
      <c r="A818" s="397">
        <v>1</v>
      </c>
      <c r="B818" s="81" t="s">
        <v>474</v>
      </c>
      <c r="C818" s="79" t="s">
        <v>1007</v>
      </c>
      <c r="D818" s="339">
        <f>+D819</f>
        <v>8371129322.3100004</v>
      </c>
      <c r="E818" s="187">
        <f>SUM('ADICIONES  2021'!C818:I818)</f>
        <v>0</v>
      </c>
      <c r="F818" s="130"/>
      <c r="G818" s="130">
        <f t="shared" ref="G818:J818" si="992">+G819</f>
        <v>0</v>
      </c>
      <c r="H818" s="130">
        <f t="shared" si="992"/>
        <v>0</v>
      </c>
      <c r="I818" s="130">
        <f t="shared" si="992"/>
        <v>0</v>
      </c>
      <c r="J818" s="130">
        <f t="shared" si="992"/>
        <v>0</v>
      </c>
      <c r="K818" s="78">
        <f t="shared" si="929"/>
        <v>8371129322.3100004</v>
      </c>
      <c r="L818" s="130">
        <f t="shared" ref="L818:Q818" si="993">+L819</f>
        <v>785407808</v>
      </c>
      <c r="M818" s="130">
        <f t="shared" si="993"/>
        <v>509996365</v>
      </c>
      <c r="N818" s="130">
        <f t="shared" si="993"/>
        <v>1732651064</v>
      </c>
      <c r="O818" s="130">
        <f t="shared" si="993"/>
        <v>828877149</v>
      </c>
      <c r="P818" s="130">
        <f t="shared" si="993"/>
        <v>983893160</v>
      </c>
      <c r="Q818" s="423">
        <f t="shared" si="993"/>
        <v>1067793950</v>
      </c>
      <c r="R818" s="78">
        <f t="shared" si="926"/>
        <v>5908619496</v>
      </c>
      <c r="S818" s="130">
        <f t="shared" ref="S818:Z818" si="994">+S819</f>
        <v>1089855071.51</v>
      </c>
      <c r="T818" s="130">
        <f t="shared" si="994"/>
        <v>0</v>
      </c>
      <c r="U818" s="130">
        <f t="shared" si="994"/>
        <v>0</v>
      </c>
      <c r="V818" s="130">
        <f t="shared" si="994"/>
        <v>0</v>
      </c>
      <c r="W818" s="130">
        <f t="shared" si="994"/>
        <v>0</v>
      </c>
      <c r="X818" s="130">
        <f t="shared" si="994"/>
        <v>0</v>
      </c>
      <c r="Y818" s="130">
        <f t="shared" si="994"/>
        <v>0</v>
      </c>
      <c r="Z818" s="130">
        <f t="shared" si="994"/>
        <v>0</v>
      </c>
      <c r="AA818" s="78">
        <f t="shared" si="927"/>
        <v>1089855071.51</v>
      </c>
      <c r="AB818" s="78">
        <f t="shared" si="912"/>
        <v>6998474567.5100002</v>
      </c>
      <c r="AC818" s="174">
        <f t="shared" si="913"/>
        <v>0.8360251404620257</v>
      </c>
    </row>
    <row r="819" spans="1:29" s="63" customFormat="1" ht="63" x14ac:dyDescent="0.2">
      <c r="A819" s="397"/>
      <c r="B819" s="81" t="s">
        <v>1008</v>
      </c>
      <c r="C819" s="79" t="s">
        <v>1009</v>
      </c>
      <c r="D819" s="339">
        <f>+D820+D822</f>
        <v>8371129322.3100004</v>
      </c>
      <c r="E819" s="187">
        <f>SUM('ADICIONES  2021'!C819:I819)</f>
        <v>0</v>
      </c>
      <c r="F819" s="130"/>
      <c r="G819" s="130">
        <f t="shared" ref="G819:J819" si="995">+G820+G822</f>
        <v>0</v>
      </c>
      <c r="H819" s="130">
        <f t="shared" si="995"/>
        <v>0</v>
      </c>
      <c r="I819" s="130">
        <f t="shared" si="995"/>
        <v>0</v>
      </c>
      <c r="J819" s="130">
        <f t="shared" si="995"/>
        <v>0</v>
      </c>
      <c r="K819" s="78">
        <f t="shared" si="929"/>
        <v>8371129322.3100004</v>
      </c>
      <c r="L819" s="130">
        <f t="shared" ref="L819:Q819" si="996">+L820+L822</f>
        <v>785407808</v>
      </c>
      <c r="M819" s="130">
        <f t="shared" si="996"/>
        <v>509996365</v>
      </c>
      <c r="N819" s="130">
        <f t="shared" si="996"/>
        <v>1732651064</v>
      </c>
      <c r="O819" s="130">
        <f t="shared" si="996"/>
        <v>828877149</v>
      </c>
      <c r="P819" s="130">
        <f t="shared" si="996"/>
        <v>983893160</v>
      </c>
      <c r="Q819" s="423">
        <f t="shared" si="996"/>
        <v>1067793950</v>
      </c>
      <c r="R819" s="78">
        <f t="shared" si="926"/>
        <v>5908619496</v>
      </c>
      <c r="S819" s="130">
        <f t="shared" ref="S819:Z819" si="997">+S820+S822</f>
        <v>1089855071.51</v>
      </c>
      <c r="T819" s="130">
        <f t="shared" si="997"/>
        <v>0</v>
      </c>
      <c r="U819" s="130">
        <f t="shared" si="997"/>
        <v>0</v>
      </c>
      <c r="V819" s="130">
        <f t="shared" si="997"/>
        <v>0</v>
      </c>
      <c r="W819" s="130">
        <f t="shared" si="997"/>
        <v>0</v>
      </c>
      <c r="X819" s="130">
        <f t="shared" si="997"/>
        <v>0</v>
      </c>
      <c r="Y819" s="130">
        <f t="shared" si="997"/>
        <v>0</v>
      </c>
      <c r="Z819" s="130">
        <f t="shared" si="997"/>
        <v>0</v>
      </c>
      <c r="AA819" s="78">
        <f t="shared" si="927"/>
        <v>1089855071.51</v>
      </c>
      <c r="AB819" s="78">
        <f t="shared" si="912"/>
        <v>6998474567.5100002</v>
      </c>
      <c r="AC819" s="174">
        <f t="shared" si="913"/>
        <v>0.8360251404620257</v>
      </c>
    </row>
    <row r="820" spans="1:29" s="63" customFormat="1" ht="63" x14ac:dyDescent="0.2">
      <c r="A820" s="397">
        <v>1</v>
      </c>
      <c r="B820" s="81" t="s">
        <v>1010</v>
      </c>
      <c r="C820" s="79" t="s">
        <v>1011</v>
      </c>
      <c r="D820" s="339">
        <f>+D821</f>
        <v>656122480</v>
      </c>
      <c r="E820" s="187">
        <f>SUM('ADICIONES  2021'!C820:I820)</f>
        <v>0</v>
      </c>
      <c r="F820" s="130"/>
      <c r="G820" s="130">
        <f t="shared" ref="G820:J820" si="998">+G821</f>
        <v>0</v>
      </c>
      <c r="H820" s="130">
        <f t="shared" si="998"/>
        <v>0</v>
      </c>
      <c r="I820" s="130">
        <f t="shared" si="998"/>
        <v>0</v>
      </c>
      <c r="J820" s="130">
        <f t="shared" si="998"/>
        <v>0</v>
      </c>
      <c r="K820" s="78">
        <f t="shared" si="929"/>
        <v>656122480</v>
      </c>
      <c r="L820" s="130">
        <f t="shared" ref="L820:Q820" si="999">+L821</f>
        <v>0</v>
      </c>
      <c r="M820" s="130">
        <f t="shared" si="999"/>
        <v>0</v>
      </c>
      <c r="N820" s="130">
        <f t="shared" si="999"/>
        <v>0</v>
      </c>
      <c r="O820" s="130">
        <f t="shared" si="999"/>
        <v>0</v>
      </c>
      <c r="P820" s="130">
        <f t="shared" si="999"/>
        <v>0</v>
      </c>
      <c r="Q820" s="423">
        <f t="shared" si="999"/>
        <v>0</v>
      </c>
      <c r="R820" s="78">
        <f t="shared" si="926"/>
        <v>0</v>
      </c>
      <c r="S820" s="130">
        <f t="shared" ref="S820:Z820" si="1000">+S821</f>
        <v>0</v>
      </c>
      <c r="T820" s="130">
        <f t="shared" si="1000"/>
        <v>0</v>
      </c>
      <c r="U820" s="130">
        <f t="shared" si="1000"/>
        <v>0</v>
      </c>
      <c r="V820" s="130">
        <f t="shared" si="1000"/>
        <v>0</v>
      </c>
      <c r="W820" s="130">
        <f t="shared" si="1000"/>
        <v>0</v>
      </c>
      <c r="X820" s="130">
        <f t="shared" si="1000"/>
        <v>0</v>
      </c>
      <c r="Y820" s="130">
        <f t="shared" si="1000"/>
        <v>0</v>
      </c>
      <c r="Z820" s="130">
        <f t="shared" si="1000"/>
        <v>0</v>
      </c>
      <c r="AA820" s="78">
        <f t="shared" ref="AA820" si="1001">SUM(S820:Z820)</f>
        <v>0</v>
      </c>
      <c r="AB820" s="78">
        <f t="shared" si="912"/>
        <v>0</v>
      </c>
      <c r="AC820" s="174">
        <f t="shared" si="913"/>
        <v>0</v>
      </c>
    </row>
    <row r="821" spans="1:29" ht="14.25" x14ac:dyDescent="0.2">
      <c r="B821" s="76" t="s">
        <v>1012</v>
      </c>
      <c r="C821" s="77" t="s">
        <v>378</v>
      </c>
      <c r="D821" s="340">
        <v>656122480</v>
      </c>
      <c r="E821" s="188">
        <f>SUM('ADICIONES  2021'!C821:I821)</f>
        <v>0</v>
      </c>
      <c r="F821" s="131"/>
      <c r="G821" s="131"/>
      <c r="H821" s="131"/>
      <c r="I821" s="131"/>
      <c r="J821" s="131"/>
      <c r="K821" s="128">
        <f t="shared" si="929"/>
        <v>656122480</v>
      </c>
      <c r="L821" s="131">
        <v>0</v>
      </c>
      <c r="M821" s="131">
        <v>0</v>
      </c>
      <c r="N821" s="131">
        <v>0</v>
      </c>
      <c r="O821" s="131">
        <v>0</v>
      </c>
      <c r="P821" s="131"/>
      <c r="Q821" s="424">
        <v>0</v>
      </c>
      <c r="R821" s="128">
        <f t="shared" si="926"/>
        <v>0</v>
      </c>
      <c r="S821" s="131"/>
      <c r="T821" s="131"/>
      <c r="U821" s="131"/>
      <c r="V821" s="131"/>
      <c r="W821" s="131"/>
      <c r="X821" s="131"/>
      <c r="Y821" s="131"/>
      <c r="Z821" s="131"/>
      <c r="AA821" s="128">
        <f t="shared" si="927"/>
        <v>0</v>
      </c>
      <c r="AB821" s="128">
        <f t="shared" si="912"/>
        <v>0</v>
      </c>
      <c r="AC821" s="175">
        <f t="shared" si="913"/>
        <v>0</v>
      </c>
    </row>
    <row r="822" spans="1:29" s="63" customFormat="1" ht="63" x14ac:dyDescent="0.2">
      <c r="A822" s="397">
        <v>1</v>
      </c>
      <c r="B822" s="81" t="s">
        <v>1013</v>
      </c>
      <c r="C822" s="79" t="s">
        <v>1014</v>
      </c>
      <c r="D822" s="339">
        <f>+D823</f>
        <v>7715006842.3100004</v>
      </c>
      <c r="E822" s="187">
        <f>SUM('ADICIONES  2021'!C822:I822)</f>
        <v>0</v>
      </c>
      <c r="F822" s="130"/>
      <c r="G822" s="130">
        <f t="shared" ref="G822:J822" si="1002">+G823</f>
        <v>0</v>
      </c>
      <c r="H822" s="130">
        <f t="shared" si="1002"/>
        <v>0</v>
      </c>
      <c r="I822" s="130">
        <f t="shared" si="1002"/>
        <v>0</v>
      </c>
      <c r="J822" s="130">
        <f t="shared" si="1002"/>
        <v>0</v>
      </c>
      <c r="K822" s="78">
        <f t="shared" si="929"/>
        <v>7715006842.3100004</v>
      </c>
      <c r="L822" s="130">
        <f t="shared" ref="L822:Q822" si="1003">+L823</f>
        <v>785407808</v>
      </c>
      <c r="M822" s="130">
        <f t="shared" si="1003"/>
        <v>509996365</v>
      </c>
      <c r="N822" s="130">
        <f t="shared" si="1003"/>
        <v>1732651064</v>
      </c>
      <c r="O822" s="130">
        <f t="shared" si="1003"/>
        <v>828877149</v>
      </c>
      <c r="P822" s="130">
        <f t="shared" si="1003"/>
        <v>983893160</v>
      </c>
      <c r="Q822" s="423">
        <f t="shared" si="1003"/>
        <v>1067793950</v>
      </c>
      <c r="R822" s="78">
        <f t="shared" si="926"/>
        <v>5908619496</v>
      </c>
      <c r="S822" s="130">
        <f t="shared" ref="S822:Z822" si="1004">+S823</f>
        <v>1089855071.51</v>
      </c>
      <c r="T822" s="130">
        <f t="shared" si="1004"/>
        <v>0</v>
      </c>
      <c r="U822" s="130">
        <f t="shared" si="1004"/>
        <v>0</v>
      </c>
      <c r="V822" s="130">
        <f t="shared" si="1004"/>
        <v>0</v>
      </c>
      <c r="W822" s="130">
        <f t="shared" si="1004"/>
        <v>0</v>
      </c>
      <c r="X822" s="130">
        <f t="shared" si="1004"/>
        <v>0</v>
      </c>
      <c r="Y822" s="130">
        <f t="shared" si="1004"/>
        <v>0</v>
      </c>
      <c r="Z822" s="130">
        <f t="shared" si="1004"/>
        <v>0</v>
      </c>
      <c r="AA822" s="78">
        <f t="shared" si="927"/>
        <v>1089855071.51</v>
      </c>
      <c r="AB822" s="78">
        <f t="shared" si="912"/>
        <v>6998474567.5100002</v>
      </c>
      <c r="AC822" s="174">
        <f t="shared" si="913"/>
        <v>0.9071248685263047</v>
      </c>
    </row>
    <row r="823" spans="1:29" ht="14.25" x14ac:dyDescent="0.2">
      <c r="B823" s="76" t="s">
        <v>1015</v>
      </c>
      <c r="C823" s="77" t="s">
        <v>378</v>
      </c>
      <c r="D823" s="340">
        <v>7715006842.3100004</v>
      </c>
      <c r="E823" s="188">
        <f>SUM('ADICIONES  2021'!C823:I823)</f>
        <v>0</v>
      </c>
      <c r="F823" s="131"/>
      <c r="G823" s="131"/>
      <c r="H823" s="131"/>
      <c r="I823" s="131"/>
      <c r="J823" s="131"/>
      <c r="K823" s="128">
        <f t="shared" si="929"/>
        <v>7715006842.3100004</v>
      </c>
      <c r="L823" s="131">
        <v>785407808</v>
      </c>
      <c r="M823" s="131">
        <v>509996365</v>
      </c>
      <c r="N823" s="131">
        <v>1732651064</v>
      </c>
      <c r="O823" s="131">
        <v>828877149</v>
      </c>
      <c r="P823" s="131">
        <v>983893160</v>
      </c>
      <c r="Q823" s="424">
        <v>1067793950</v>
      </c>
      <c r="R823" s="128">
        <f t="shared" si="926"/>
        <v>5908619496</v>
      </c>
      <c r="S823" s="131">
        <v>1089855071.51</v>
      </c>
      <c r="T823" s="131"/>
      <c r="U823" s="131"/>
      <c r="V823" s="131"/>
      <c r="W823" s="131"/>
      <c r="X823" s="131"/>
      <c r="Y823" s="131"/>
      <c r="Z823" s="131"/>
      <c r="AA823" s="128">
        <f t="shared" si="927"/>
        <v>1089855071.51</v>
      </c>
      <c r="AB823" s="128">
        <f t="shared" si="912"/>
        <v>6998474567.5100002</v>
      </c>
      <c r="AC823" s="175">
        <f t="shared" si="913"/>
        <v>0.9071248685263047</v>
      </c>
    </row>
    <row r="824" spans="1:29" s="214" customFormat="1" ht="19.5" x14ac:dyDescent="0.2">
      <c r="A824" s="211">
        <v>1</v>
      </c>
      <c r="B824" s="212" t="s">
        <v>535</v>
      </c>
      <c r="C824" s="213" t="s">
        <v>211</v>
      </c>
      <c r="D824" s="341">
        <f>+D825+D831+D835+D872</f>
        <v>75497971256.809998</v>
      </c>
      <c r="E824" s="306">
        <f>SUM('ADICIONES  2021'!C824:I824)</f>
        <v>16886111434.870001</v>
      </c>
      <c r="F824" s="236"/>
      <c r="G824" s="236">
        <f>+G825+G831+G835+G872</f>
        <v>2500000000</v>
      </c>
      <c r="H824" s="236">
        <f>+H825+H831+H835+H872</f>
        <v>350000000</v>
      </c>
      <c r="I824" s="236">
        <f>+I825+I831+I835+I872</f>
        <v>0</v>
      </c>
      <c r="J824" s="236">
        <f>+J825+J831+J835+J872</f>
        <v>0</v>
      </c>
      <c r="K824" s="206">
        <f t="shared" si="929"/>
        <v>94534082691.679993</v>
      </c>
      <c r="L824" s="236">
        <f t="shared" ref="L824:Q824" si="1005">+L825+L831+L835+L872</f>
        <v>7913795786.4992008</v>
      </c>
      <c r="M824" s="236">
        <f t="shared" si="1005"/>
        <v>4175360519.2983999</v>
      </c>
      <c r="N824" s="236">
        <f t="shared" si="1005"/>
        <v>8611672717.3661995</v>
      </c>
      <c r="O824" s="236">
        <f t="shared" si="1005"/>
        <v>9618170460.1716003</v>
      </c>
      <c r="P824" s="236">
        <f t="shared" si="1005"/>
        <v>16431035349.454802</v>
      </c>
      <c r="Q824" s="425">
        <f t="shared" si="1005"/>
        <v>6475180211.7431993</v>
      </c>
      <c r="R824" s="206">
        <f t="shared" si="926"/>
        <v>53225215044.533401</v>
      </c>
      <c r="S824" s="236">
        <f t="shared" ref="S824:Z824" si="1006">+S825+S831+S835+S872</f>
        <v>9258852449.5408001</v>
      </c>
      <c r="T824" s="236">
        <f t="shared" si="1006"/>
        <v>0</v>
      </c>
      <c r="U824" s="236">
        <f t="shared" si="1006"/>
        <v>0</v>
      </c>
      <c r="V824" s="236">
        <f t="shared" si="1006"/>
        <v>0</v>
      </c>
      <c r="W824" s="236">
        <f t="shared" si="1006"/>
        <v>0</v>
      </c>
      <c r="X824" s="236">
        <f t="shared" si="1006"/>
        <v>0</v>
      </c>
      <c r="Y824" s="236">
        <f t="shared" si="1006"/>
        <v>0</v>
      </c>
      <c r="Z824" s="236">
        <f t="shared" si="1006"/>
        <v>0</v>
      </c>
      <c r="AA824" s="206">
        <f t="shared" si="927"/>
        <v>9258852449.5408001</v>
      </c>
      <c r="AB824" s="206">
        <f t="shared" si="912"/>
        <v>62484067494.074203</v>
      </c>
      <c r="AC824" s="207">
        <f t="shared" si="913"/>
        <v>0.66096867621664102</v>
      </c>
    </row>
    <row r="825" spans="1:29" s="63" customFormat="1" ht="31.5" x14ac:dyDescent="0.2">
      <c r="A825" s="397">
        <v>1</v>
      </c>
      <c r="B825" s="81" t="s">
        <v>1016</v>
      </c>
      <c r="C825" s="79" t="s">
        <v>1017</v>
      </c>
      <c r="D825" s="339">
        <f>+D826</f>
        <v>946682539</v>
      </c>
      <c r="E825" s="187">
        <f>SUM('ADICIONES  2021'!C825:I825)</f>
        <v>0</v>
      </c>
      <c r="F825" s="130"/>
      <c r="G825" s="130">
        <f t="shared" ref="G825:J825" si="1007">+G826</f>
        <v>0</v>
      </c>
      <c r="H825" s="130">
        <f t="shared" si="1007"/>
        <v>0</v>
      </c>
      <c r="I825" s="130">
        <f t="shared" si="1007"/>
        <v>0</v>
      </c>
      <c r="J825" s="130">
        <f t="shared" si="1007"/>
        <v>0</v>
      </c>
      <c r="K825" s="78">
        <f t="shared" si="929"/>
        <v>946682539</v>
      </c>
      <c r="L825" s="130">
        <f t="shared" ref="L825:Q825" si="1008">+L826</f>
        <v>142810989.59999999</v>
      </c>
      <c r="M825" s="130">
        <f t="shared" si="1008"/>
        <v>119753997.64</v>
      </c>
      <c r="N825" s="130">
        <f t="shared" si="1008"/>
        <v>117907040.40000001</v>
      </c>
      <c r="O825" s="130">
        <f t="shared" si="1008"/>
        <v>106693304.59999999</v>
      </c>
      <c r="P825" s="130">
        <f t="shared" si="1008"/>
        <v>154730333.44</v>
      </c>
      <c r="Q825" s="423">
        <f t="shared" si="1008"/>
        <v>112025652.2</v>
      </c>
      <c r="R825" s="78">
        <f t="shared" si="926"/>
        <v>753921317.88000011</v>
      </c>
      <c r="S825" s="130">
        <f t="shared" ref="S825:Z825" si="1009">+S826</f>
        <v>166139403.5</v>
      </c>
      <c r="T825" s="130">
        <f t="shared" si="1009"/>
        <v>0</v>
      </c>
      <c r="U825" s="130">
        <f t="shared" si="1009"/>
        <v>0</v>
      </c>
      <c r="V825" s="130">
        <f t="shared" si="1009"/>
        <v>0</v>
      </c>
      <c r="W825" s="130">
        <f t="shared" si="1009"/>
        <v>0</v>
      </c>
      <c r="X825" s="130">
        <f t="shared" si="1009"/>
        <v>0</v>
      </c>
      <c r="Y825" s="130">
        <f t="shared" si="1009"/>
        <v>0</v>
      </c>
      <c r="Z825" s="130">
        <f t="shared" si="1009"/>
        <v>0</v>
      </c>
      <c r="AA825" s="78">
        <f t="shared" si="927"/>
        <v>166139403.5</v>
      </c>
      <c r="AB825" s="78">
        <f t="shared" si="912"/>
        <v>920060721.38000011</v>
      </c>
      <c r="AC825" s="174">
        <f t="shared" si="913"/>
        <v>0.97187883316394419</v>
      </c>
    </row>
    <row r="826" spans="1:29" s="63" customFormat="1" ht="47.25" x14ac:dyDescent="0.2">
      <c r="A826" s="397"/>
      <c r="B826" s="81" t="s">
        <v>1018</v>
      </c>
      <c r="C826" s="79" t="s">
        <v>1019</v>
      </c>
      <c r="D826" s="339">
        <f>SUM(D827:D830)</f>
        <v>946682539</v>
      </c>
      <c r="E826" s="187">
        <f>SUM('ADICIONES  2021'!C826:I826)</f>
        <v>0</v>
      </c>
      <c r="F826" s="130"/>
      <c r="G826" s="130">
        <f t="shared" ref="G826:J826" si="1010">SUM(G827:G830)</f>
        <v>0</v>
      </c>
      <c r="H826" s="130">
        <f t="shared" si="1010"/>
        <v>0</v>
      </c>
      <c r="I826" s="130">
        <f t="shared" si="1010"/>
        <v>0</v>
      </c>
      <c r="J826" s="130">
        <f t="shared" si="1010"/>
        <v>0</v>
      </c>
      <c r="K826" s="78">
        <f t="shared" si="929"/>
        <v>946682539</v>
      </c>
      <c r="L826" s="130">
        <f t="shared" ref="L826:Q826" si="1011">SUM(L827:L830)</f>
        <v>142810989.59999999</v>
      </c>
      <c r="M826" s="130">
        <f t="shared" si="1011"/>
        <v>119753997.64</v>
      </c>
      <c r="N826" s="130">
        <f t="shared" si="1011"/>
        <v>117907040.40000001</v>
      </c>
      <c r="O826" s="130">
        <f t="shared" si="1011"/>
        <v>106693304.59999999</v>
      </c>
      <c r="P826" s="130">
        <f t="shared" si="1011"/>
        <v>154730333.44</v>
      </c>
      <c r="Q826" s="423">
        <f t="shared" si="1011"/>
        <v>112025652.2</v>
      </c>
      <c r="R826" s="78">
        <f t="shared" si="926"/>
        <v>753921317.88000011</v>
      </c>
      <c r="S826" s="130">
        <f t="shared" ref="S826:Z826" si="1012">SUM(S827:S830)</f>
        <v>166139403.5</v>
      </c>
      <c r="T826" s="130">
        <f t="shared" si="1012"/>
        <v>0</v>
      </c>
      <c r="U826" s="130">
        <f t="shared" si="1012"/>
        <v>0</v>
      </c>
      <c r="V826" s="130">
        <f t="shared" si="1012"/>
        <v>0</v>
      </c>
      <c r="W826" s="130">
        <f t="shared" si="1012"/>
        <v>0</v>
      </c>
      <c r="X826" s="130">
        <f t="shared" si="1012"/>
        <v>0</v>
      </c>
      <c r="Y826" s="130">
        <f t="shared" si="1012"/>
        <v>0</v>
      </c>
      <c r="Z826" s="130">
        <f t="shared" si="1012"/>
        <v>0</v>
      </c>
      <c r="AA826" s="78">
        <f t="shared" si="927"/>
        <v>166139403.5</v>
      </c>
      <c r="AB826" s="78">
        <f t="shared" si="912"/>
        <v>920060721.38000011</v>
      </c>
      <c r="AC826" s="174">
        <f t="shared" si="913"/>
        <v>0.97187883316394419</v>
      </c>
    </row>
    <row r="827" spans="1:29" ht="14.25" x14ac:dyDescent="0.2">
      <c r="B827" s="76" t="s">
        <v>1020</v>
      </c>
      <c r="C827" s="77" t="s">
        <v>1021</v>
      </c>
      <c r="D827" s="340">
        <v>848349668</v>
      </c>
      <c r="E827" s="188">
        <f>SUM('ADICIONES  2021'!C827:I827)</f>
        <v>0</v>
      </c>
      <c r="F827" s="131"/>
      <c r="G827" s="131"/>
      <c r="H827" s="131"/>
      <c r="I827" s="131"/>
      <c r="J827" s="131"/>
      <c r="K827" s="128">
        <f t="shared" si="929"/>
        <v>848349668</v>
      </c>
      <c r="L827" s="131">
        <v>139008885.59999999</v>
      </c>
      <c r="M827" s="131">
        <v>108304390.64</v>
      </c>
      <c r="N827" s="131">
        <v>111269057.40000001</v>
      </c>
      <c r="O827" s="131">
        <v>96710773.599999994</v>
      </c>
      <c r="P827" s="131">
        <v>147659036.44</v>
      </c>
      <c r="Q827" s="424">
        <v>106752838.2</v>
      </c>
      <c r="R827" s="128">
        <f t="shared" si="926"/>
        <v>709704981.88000011</v>
      </c>
      <c r="S827" s="131">
        <v>158095190.69999999</v>
      </c>
      <c r="T827" s="131"/>
      <c r="U827" s="131"/>
      <c r="V827" s="131"/>
      <c r="W827" s="131"/>
      <c r="X827" s="131"/>
      <c r="Y827" s="131"/>
      <c r="Z827" s="131"/>
      <c r="AA827" s="128">
        <f t="shared" si="927"/>
        <v>158095190.69999999</v>
      </c>
      <c r="AB827" s="128">
        <f t="shared" si="912"/>
        <v>867800172.58000016</v>
      </c>
      <c r="AC827" s="175">
        <f t="shared" si="913"/>
        <v>1.0229274617692197</v>
      </c>
    </row>
    <row r="828" spans="1:29" ht="14.25" x14ac:dyDescent="0.2">
      <c r="B828" s="76" t="s">
        <v>1022</v>
      </c>
      <c r="C828" s="77" t="s">
        <v>105</v>
      </c>
      <c r="D828" s="340">
        <v>1316000</v>
      </c>
      <c r="E828" s="188">
        <f>SUM('ADICIONES  2021'!C828:I828)</f>
        <v>0</v>
      </c>
      <c r="F828" s="131"/>
      <c r="G828" s="131"/>
      <c r="H828" s="131"/>
      <c r="I828" s="131"/>
      <c r="J828" s="131"/>
      <c r="K828" s="128">
        <f t="shared" si="929"/>
        <v>1316000</v>
      </c>
      <c r="L828" s="131">
        <v>211989</v>
      </c>
      <c r="M828" s="131">
        <v>0</v>
      </c>
      <c r="N828" s="131">
        <v>0</v>
      </c>
      <c r="O828" s="131">
        <v>272559</v>
      </c>
      <c r="P828" s="131">
        <v>0</v>
      </c>
      <c r="Q828" s="424">
        <v>90853</v>
      </c>
      <c r="R828" s="128">
        <f t="shared" si="926"/>
        <v>575401</v>
      </c>
      <c r="S828" s="131">
        <v>363412</v>
      </c>
      <c r="T828" s="131"/>
      <c r="U828" s="131"/>
      <c r="V828" s="131"/>
      <c r="W828" s="131"/>
      <c r="X828" s="131"/>
      <c r="Y828" s="131"/>
      <c r="Z828" s="131"/>
      <c r="AA828" s="128">
        <f t="shared" si="927"/>
        <v>363412</v>
      </c>
      <c r="AB828" s="128">
        <f t="shared" si="912"/>
        <v>938813</v>
      </c>
      <c r="AC828" s="175">
        <f t="shared" si="913"/>
        <v>0.71338373860182369</v>
      </c>
    </row>
    <row r="829" spans="1:29" ht="14.25" x14ac:dyDescent="0.2">
      <c r="B829" s="76" t="s">
        <v>1023</v>
      </c>
      <c r="C829" s="77" t="s">
        <v>106</v>
      </c>
      <c r="D829" s="340">
        <v>77259500</v>
      </c>
      <c r="E829" s="188">
        <f>SUM('ADICIONES  2021'!C829:I829)</f>
        <v>0</v>
      </c>
      <c r="F829" s="131"/>
      <c r="G829" s="131"/>
      <c r="H829" s="131"/>
      <c r="I829" s="131"/>
      <c r="J829" s="131"/>
      <c r="K829" s="128">
        <f t="shared" si="929"/>
        <v>77259500</v>
      </c>
      <c r="L829" s="131">
        <v>2060000</v>
      </c>
      <c r="M829" s="131">
        <v>9360000</v>
      </c>
      <c r="N829" s="131">
        <v>6320000</v>
      </c>
      <c r="O829" s="131">
        <v>9180000</v>
      </c>
      <c r="P829" s="131">
        <v>5420000</v>
      </c>
      <c r="Q829" s="424">
        <v>4440000</v>
      </c>
      <c r="R829" s="128">
        <f t="shared" si="926"/>
        <v>36780000</v>
      </c>
      <c r="S829" s="131">
        <v>5197498.8</v>
      </c>
      <c r="T829" s="131"/>
      <c r="U829" s="131"/>
      <c r="V829" s="131"/>
      <c r="W829" s="131"/>
      <c r="X829" s="131"/>
      <c r="Y829" s="131"/>
      <c r="Z829" s="131"/>
      <c r="AA829" s="128">
        <f t="shared" si="927"/>
        <v>5197498.8</v>
      </c>
      <c r="AB829" s="128">
        <f t="shared" si="912"/>
        <v>41977498.799999997</v>
      </c>
      <c r="AC829" s="175">
        <f t="shared" si="913"/>
        <v>0.5433312252862107</v>
      </c>
    </row>
    <row r="830" spans="1:29" ht="28.5" x14ac:dyDescent="0.2">
      <c r="B830" s="76" t="s">
        <v>1024</v>
      </c>
      <c r="C830" s="77" t="s">
        <v>107</v>
      </c>
      <c r="D830" s="340">
        <v>19757371</v>
      </c>
      <c r="E830" s="188">
        <f>SUM('ADICIONES  2021'!C830:I830)</f>
        <v>0</v>
      </c>
      <c r="F830" s="131"/>
      <c r="G830" s="131"/>
      <c r="H830" s="131"/>
      <c r="I830" s="131"/>
      <c r="J830" s="131"/>
      <c r="K830" s="128">
        <f t="shared" si="929"/>
        <v>19757371</v>
      </c>
      <c r="L830" s="131">
        <v>1530115</v>
      </c>
      <c r="M830" s="131">
        <v>2089607</v>
      </c>
      <c r="N830" s="131">
        <v>317983</v>
      </c>
      <c r="O830" s="131">
        <v>529972</v>
      </c>
      <c r="P830" s="131">
        <v>1651297</v>
      </c>
      <c r="Q830" s="424">
        <v>741961</v>
      </c>
      <c r="R830" s="128">
        <f t="shared" si="926"/>
        <v>6860935</v>
      </c>
      <c r="S830" s="131">
        <v>2483302</v>
      </c>
      <c r="T830" s="131"/>
      <c r="U830" s="131"/>
      <c r="V830" s="131"/>
      <c r="W830" s="131"/>
      <c r="X830" s="131"/>
      <c r="Y830" s="131"/>
      <c r="Z830" s="131"/>
      <c r="AA830" s="128">
        <f t="shared" si="927"/>
        <v>2483302</v>
      </c>
      <c r="AB830" s="128">
        <f t="shared" si="912"/>
        <v>9344237</v>
      </c>
      <c r="AC830" s="175">
        <f t="shared" si="913"/>
        <v>0.47294941214597835</v>
      </c>
    </row>
    <row r="831" spans="1:29" s="63" customFormat="1" ht="15.75" x14ac:dyDescent="0.2">
      <c r="A831" s="397">
        <v>1</v>
      </c>
      <c r="B831" s="81" t="s">
        <v>588</v>
      </c>
      <c r="C831" s="79" t="s">
        <v>104</v>
      </c>
      <c r="D831" s="339">
        <f>+D832</f>
        <v>232126203</v>
      </c>
      <c r="E831" s="187">
        <f>SUM('ADICIONES  2021'!C831:I831)</f>
        <v>0</v>
      </c>
      <c r="F831" s="130"/>
      <c r="G831" s="130">
        <f t="shared" ref="G831:J833" si="1013">+G832</f>
        <v>0</v>
      </c>
      <c r="H831" s="130">
        <f t="shared" si="1013"/>
        <v>0</v>
      </c>
      <c r="I831" s="130">
        <f t="shared" si="1013"/>
        <v>0</v>
      </c>
      <c r="J831" s="130">
        <f t="shared" si="1013"/>
        <v>0</v>
      </c>
      <c r="K831" s="78">
        <f t="shared" si="929"/>
        <v>232126203</v>
      </c>
      <c r="L831" s="130">
        <f t="shared" ref="L831:Q833" si="1014">+L832</f>
        <v>240000</v>
      </c>
      <c r="M831" s="130">
        <f t="shared" si="1014"/>
        <v>120000</v>
      </c>
      <c r="N831" s="130">
        <f t="shared" si="1014"/>
        <v>120000</v>
      </c>
      <c r="O831" s="130">
        <f t="shared" si="1014"/>
        <v>360000</v>
      </c>
      <c r="P831" s="130">
        <f t="shared" si="1014"/>
        <v>120000</v>
      </c>
      <c r="Q831" s="423">
        <f t="shared" si="1014"/>
        <v>120000</v>
      </c>
      <c r="R831" s="78">
        <f t="shared" si="926"/>
        <v>1080000</v>
      </c>
      <c r="S831" s="130">
        <f t="shared" ref="S831:Z833" si="1015">+S832</f>
        <v>360000</v>
      </c>
      <c r="T831" s="130">
        <f t="shared" si="1015"/>
        <v>0</v>
      </c>
      <c r="U831" s="130">
        <f t="shared" si="1015"/>
        <v>0</v>
      </c>
      <c r="V831" s="130">
        <f t="shared" si="1015"/>
        <v>0</v>
      </c>
      <c r="W831" s="130">
        <f t="shared" si="1015"/>
        <v>0</v>
      </c>
      <c r="X831" s="130">
        <f t="shared" si="1015"/>
        <v>0</v>
      </c>
      <c r="Y831" s="130">
        <f t="shared" si="1015"/>
        <v>0</v>
      </c>
      <c r="Z831" s="130">
        <f t="shared" si="1015"/>
        <v>0</v>
      </c>
      <c r="AA831" s="78">
        <f t="shared" si="927"/>
        <v>360000</v>
      </c>
      <c r="AB831" s="78">
        <f t="shared" si="912"/>
        <v>1440000</v>
      </c>
      <c r="AC831" s="174">
        <f t="shared" si="913"/>
        <v>6.2035219694693408E-3</v>
      </c>
    </row>
    <row r="832" spans="1:29" s="63" customFormat="1" ht="31.5" x14ac:dyDescent="0.2">
      <c r="A832" s="397"/>
      <c r="B832" s="81" t="s">
        <v>1025</v>
      </c>
      <c r="C832" s="79" t="s">
        <v>1026</v>
      </c>
      <c r="D832" s="339">
        <f>+D833</f>
        <v>232126203</v>
      </c>
      <c r="E832" s="187">
        <f>SUM('ADICIONES  2021'!C832:I832)</f>
        <v>0</v>
      </c>
      <c r="F832" s="130"/>
      <c r="G832" s="130">
        <f t="shared" si="1013"/>
        <v>0</v>
      </c>
      <c r="H832" s="130">
        <f t="shared" si="1013"/>
        <v>0</v>
      </c>
      <c r="I832" s="130">
        <f t="shared" si="1013"/>
        <v>0</v>
      </c>
      <c r="J832" s="130">
        <f t="shared" si="1013"/>
        <v>0</v>
      </c>
      <c r="K832" s="78">
        <f t="shared" si="929"/>
        <v>232126203</v>
      </c>
      <c r="L832" s="130">
        <f t="shared" si="1014"/>
        <v>240000</v>
      </c>
      <c r="M832" s="130">
        <f t="shared" si="1014"/>
        <v>120000</v>
      </c>
      <c r="N832" s="130">
        <f t="shared" si="1014"/>
        <v>120000</v>
      </c>
      <c r="O832" s="130">
        <f t="shared" si="1014"/>
        <v>360000</v>
      </c>
      <c r="P832" s="130">
        <f t="shared" si="1014"/>
        <v>120000</v>
      </c>
      <c r="Q832" s="423">
        <f t="shared" si="1014"/>
        <v>120000</v>
      </c>
      <c r="R832" s="78">
        <f t="shared" si="926"/>
        <v>1080000</v>
      </c>
      <c r="S832" s="130">
        <f t="shared" si="1015"/>
        <v>360000</v>
      </c>
      <c r="T832" s="130">
        <f t="shared" si="1015"/>
        <v>0</v>
      </c>
      <c r="U832" s="130">
        <f t="shared" si="1015"/>
        <v>0</v>
      </c>
      <c r="V832" s="130">
        <f t="shared" si="1015"/>
        <v>0</v>
      </c>
      <c r="W832" s="130">
        <f t="shared" si="1015"/>
        <v>0</v>
      </c>
      <c r="X832" s="130">
        <f t="shared" si="1015"/>
        <v>0</v>
      </c>
      <c r="Y832" s="130">
        <f t="shared" si="1015"/>
        <v>0</v>
      </c>
      <c r="Z832" s="130">
        <f t="shared" si="1015"/>
        <v>0</v>
      </c>
      <c r="AA832" s="78">
        <f t="shared" si="927"/>
        <v>360000</v>
      </c>
      <c r="AB832" s="78">
        <f t="shared" si="912"/>
        <v>1440000</v>
      </c>
      <c r="AC832" s="174">
        <f t="shared" si="913"/>
        <v>6.2035219694693408E-3</v>
      </c>
    </row>
    <row r="833" spans="1:29" s="63" customFormat="1" ht="15.75" x14ac:dyDescent="0.2">
      <c r="A833" s="397"/>
      <c r="B833" s="81" t="s">
        <v>1027</v>
      </c>
      <c r="C833" s="79" t="s">
        <v>1028</v>
      </c>
      <c r="D833" s="339">
        <f>+D834</f>
        <v>232126203</v>
      </c>
      <c r="E833" s="187">
        <f>SUM('ADICIONES  2021'!C833:I833)</f>
        <v>0</v>
      </c>
      <c r="F833" s="130"/>
      <c r="G833" s="130">
        <f t="shared" si="1013"/>
        <v>0</v>
      </c>
      <c r="H833" s="130">
        <f t="shared" si="1013"/>
        <v>0</v>
      </c>
      <c r="I833" s="130">
        <f t="shared" si="1013"/>
        <v>0</v>
      </c>
      <c r="J833" s="130">
        <f t="shared" si="1013"/>
        <v>0</v>
      </c>
      <c r="K833" s="78">
        <f t="shared" si="929"/>
        <v>232126203</v>
      </c>
      <c r="L833" s="130">
        <f t="shared" si="1014"/>
        <v>240000</v>
      </c>
      <c r="M833" s="130">
        <f t="shared" si="1014"/>
        <v>120000</v>
      </c>
      <c r="N833" s="130">
        <f t="shared" si="1014"/>
        <v>120000</v>
      </c>
      <c r="O833" s="130">
        <f t="shared" si="1014"/>
        <v>360000</v>
      </c>
      <c r="P833" s="130">
        <f t="shared" si="1014"/>
        <v>120000</v>
      </c>
      <c r="Q833" s="423">
        <f t="shared" si="1014"/>
        <v>120000</v>
      </c>
      <c r="R833" s="78">
        <f t="shared" si="926"/>
        <v>1080000</v>
      </c>
      <c r="S833" s="130">
        <f t="shared" si="1015"/>
        <v>360000</v>
      </c>
      <c r="T833" s="130">
        <f t="shared" si="1015"/>
        <v>0</v>
      </c>
      <c r="U833" s="130">
        <f t="shared" si="1015"/>
        <v>0</v>
      </c>
      <c r="V833" s="130">
        <f t="shared" si="1015"/>
        <v>0</v>
      </c>
      <c r="W833" s="130">
        <f t="shared" si="1015"/>
        <v>0</v>
      </c>
      <c r="X833" s="130">
        <f t="shared" si="1015"/>
        <v>0</v>
      </c>
      <c r="Y833" s="130">
        <f t="shared" si="1015"/>
        <v>0</v>
      </c>
      <c r="Z833" s="130">
        <f t="shared" si="1015"/>
        <v>0</v>
      </c>
      <c r="AA833" s="78">
        <f t="shared" si="927"/>
        <v>360000</v>
      </c>
      <c r="AB833" s="78">
        <f t="shared" si="912"/>
        <v>1440000</v>
      </c>
      <c r="AC833" s="174">
        <f t="shared" si="913"/>
        <v>6.2035219694693408E-3</v>
      </c>
    </row>
    <row r="834" spans="1:29" ht="14.25" x14ac:dyDescent="0.2">
      <c r="B834" s="76" t="s">
        <v>1029</v>
      </c>
      <c r="C834" s="77" t="s">
        <v>1030</v>
      </c>
      <c r="D834" s="340">
        <v>232126203</v>
      </c>
      <c r="E834" s="188">
        <f>SUM('ADICIONES  2021'!C834:I834)</f>
        <v>0</v>
      </c>
      <c r="F834" s="131"/>
      <c r="G834" s="131"/>
      <c r="H834" s="131"/>
      <c r="I834" s="131"/>
      <c r="J834" s="131"/>
      <c r="K834" s="128">
        <f t="shared" si="929"/>
        <v>232126203</v>
      </c>
      <c r="L834" s="131">
        <v>240000</v>
      </c>
      <c r="M834" s="131">
        <v>120000</v>
      </c>
      <c r="N834" s="131">
        <v>120000</v>
      </c>
      <c r="O834" s="131">
        <v>360000</v>
      </c>
      <c r="P834" s="131">
        <v>120000</v>
      </c>
      <c r="Q834" s="424">
        <v>120000</v>
      </c>
      <c r="R834" s="128">
        <f t="shared" si="926"/>
        <v>1080000</v>
      </c>
      <c r="S834" s="131">
        <v>360000</v>
      </c>
      <c r="T834" s="131"/>
      <c r="U834" s="131"/>
      <c r="V834" s="131"/>
      <c r="W834" s="131"/>
      <c r="X834" s="131"/>
      <c r="Y834" s="131"/>
      <c r="Z834" s="131"/>
      <c r="AA834" s="128">
        <f t="shared" si="927"/>
        <v>360000</v>
      </c>
      <c r="AB834" s="128">
        <f t="shared" si="912"/>
        <v>1440000</v>
      </c>
      <c r="AC834" s="175">
        <f t="shared" si="913"/>
        <v>6.2035219694693408E-3</v>
      </c>
    </row>
    <row r="835" spans="1:29" s="63" customFormat="1" ht="15.75" x14ac:dyDescent="0.2">
      <c r="A835" s="397">
        <v>1</v>
      </c>
      <c r="B835" s="81" t="s">
        <v>608</v>
      </c>
      <c r="C835" s="79" t="s">
        <v>1031</v>
      </c>
      <c r="D835" s="339">
        <f>+D836+D842+D868</f>
        <v>62551399804.150002</v>
      </c>
      <c r="E835" s="187">
        <f>SUM('ADICIONES  2021'!C835:I835)</f>
        <v>16886111434.870001</v>
      </c>
      <c r="F835" s="339">
        <f t="shared" ref="F835:J835" si="1016">+F836+F842+F868</f>
        <v>0</v>
      </c>
      <c r="G835" s="339">
        <f t="shared" si="1016"/>
        <v>2500000000</v>
      </c>
      <c r="H835" s="339">
        <f t="shared" si="1016"/>
        <v>350000000</v>
      </c>
      <c r="I835" s="339">
        <f t="shared" si="1016"/>
        <v>0</v>
      </c>
      <c r="J835" s="339">
        <f t="shared" si="1016"/>
        <v>0</v>
      </c>
      <c r="K835" s="78">
        <f t="shared" si="929"/>
        <v>81587511239.020004</v>
      </c>
      <c r="L835" s="339">
        <f t="shared" ref="L835:Q835" si="1017">+L836+L842+L868</f>
        <v>6582521004.8992004</v>
      </c>
      <c r="M835" s="339">
        <f t="shared" si="1017"/>
        <v>3179980547.1784</v>
      </c>
      <c r="N835" s="339">
        <f t="shared" si="1017"/>
        <v>7562907784.9661999</v>
      </c>
      <c r="O835" s="339">
        <f t="shared" si="1017"/>
        <v>8513936975.5716</v>
      </c>
      <c r="P835" s="339">
        <f t="shared" si="1017"/>
        <v>15265919873.014801</v>
      </c>
      <c r="Q835" s="426">
        <f t="shared" si="1017"/>
        <v>5524870299.5431995</v>
      </c>
      <c r="R835" s="78">
        <f t="shared" si="926"/>
        <v>46630136485.173401</v>
      </c>
      <c r="S835" s="339">
        <f t="shared" ref="S835:Z835" si="1018">+S836+S842+S868</f>
        <v>8190969017.7407999</v>
      </c>
      <c r="T835" s="339">
        <f t="shared" si="1018"/>
        <v>0</v>
      </c>
      <c r="U835" s="339">
        <f t="shared" si="1018"/>
        <v>0</v>
      </c>
      <c r="V835" s="339">
        <f t="shared" si="1018"/>
        <v>0</v>
      </c>
      <c r="W835" s="339">
        <f t="shared" si="1018"/>
        <v>0</v>
      </c>
      <c r="X835" s="339">
        <f t="shared" si="1018"/>
        <v>0</v>
      </c>
      <c r="Y835" s="339">
        <f t="shared" si="1018"/>
        <v>0</v>
      </c>
      <c r="Z835" s="339">
        <f t="shared" si="1018"/>
        <v>0</v>
      </c>
      <c r="AA835" s="78">
        <f t="shared" si="927"/>
        <v>8190969017.7407999</v>
      </c>
      <c r="AB835" s="78">
        <f t="shared" si="912"/>
        <v>54821105502.9142</v>
      </c>
      <c r="AC835" s="174">
        <f t="shared" si="913"/>
        <v>0.67193011124349</v>
      </c>
    </row>
    <row r="836" spans="1:29" s="63" customFormat="1" ht="15.75" x14ac:dyDescent="0.2">
      <c r="A836" s="397">
        <v>1</v>
      </c>
      <c r="B836" s="81" t="s">
        <v>610</v>
      </c>
      <c r="C836" s="79" t="s">
        <v>1032</v>
      </c>
      <c r="D836" s="339">
        <f>+D837</f>
        <v>22909078896</v>
      </c>
      <c r="E836" s="187">
        <f>SUM('ADICIONES  2021'!C836:I836)</f>
        <v>4981448737</v>
      </c>
      <c r="F836" s="130"/>
      <c r="G836" s="130">
        <f t="shared" ref="G836:J836" si="1019">+G837</f>
        <v>0</v>
      </c>
      <c r="H836" s="130">
        <f t="shared" si="1019"/>
        <v>0</v>
      </c>
      <c r="I836" s="130">
        <f t="shared" si="1019"/>
        <v>0</v>
      </c>
      <c r="J836" s="130">
        <f t="shared" si="1019"/>
        <v>0</v>
      </c>
      <c r="K836" s="78">
        <f t="shared" si="929"/>
        <v>27890527633</v>
      </c>
      <c r="L836" s="130">
        <f t="shared" ref="L836:Q836" si="1020">+L837</f>
        <v>2348122163</v>
      </c>
      <c r="M836" s="130">
        <f t="shared" si="1020"/>
        <v>0</v>
      </c>
      <c r="N836" s="130">
        <f t="shared" si="1020"/>
        <v>4644073722</v>
      </c>
      <c r="O836" s="130">
        <f t="shared" si="1020"/>
        <v>2322036861</v>
      </c>
      <c r="P836" s="130">
        <f t="shared" si="1020"/>
        <v>2322036861</v>
      </c>
      <c r="Q836" s="423">
        <f t="shared" si="1020"/>
        <v>2322036861</v>
      </c>
      <c r="R836" s="78">
        <f t="shared" si="926"/>
        <v>13958306468</v>
      </c>
      <c r="S836" s="130">
        <f t="shared" ref="S836:Z836" si="1021">+S837</f>
        <v>2322036861</v>
      </c>
      <c r="T836" s="130">
        <f t="shared" si="1021"/>
        <v>0</v>
      </c>
      <c r="U836" s="130">
        <f t="shared" si="1021"/>
        <v>0</v>
      </c>
      <c r="V836" s="130">
        <f t="shared" si="1021"/>
        <v>0</v>
      </c>
      <c r="W836" s="130">
        <f t="shared" si="1021"/>
        <v>0</v>
      </c>
      <c r="X836" s="130">
        <f t="shared" si="1021"/>
        <v>0</v>
      </c>
      <c r="Y836" s="130">
        <f t="shared" si="1021"/>
        <v>0</v>
      </c>
      <c r="Z836" s="130">
        <f t="shared" si="1021"/>
        <v>0</v>
      </c>
      <c r="AA836" s="78">
        <f t="shared" si="927"/>
        <v>2322036861</v>
      </c>
      <c r="AB836" s="78">
        <f t="shared" si="912"/>
        <v>16280343329</v>
      </c>
      <c r="AC836" s="174">
        <f t="shared" si="913"/>
        <v>0.58372303110311685</v>
      </c>
    </row>
    <row r="837" spans="1:29" s="63" customFormat="1" ht="15.75" x14ac:dyDescent="0.2">
      <c r="A837" s="397"/>
      <c r="B837" s="81" t="s">
        <v>1033</v>
      </c>
      <c r="C837" s="79" t="s">
        <v>1034</v>
      </c>
      <c r="D837" s="339">
        <f>SUM(D838:D841)</f>
        <v>22909078896</v>
      </c>
      <c r="E837" s="187">
        <f>SUM('ADICIONES  2021'!C837:I837)</f>
        <v>4981448737</v>
      </c>
      <c r="F837" s="130">
        <f t="shared" ref="F837:J837" si="1022">SUM(F838:F841)</f>
        <v>0</v>
      </c>
      <c r="G837" s="130">
        <f t="shared" si="1022"/>
        <v>0</v>
      </c>
      <c r="H837" s="130">
        <f t="shared" si="1022"/>
        <v>0</v>
      </c>
      <c r="I837" s="130">
        <f t="shared" si="1022"/>
        <v>0</v>
      </c>
      <c r="J837" s="130">
        <f t="shared" si="1022"/>
        <v>0</v>
      </c>
      <c r="K837" s="78">
        <f t="shared" si="929"/>
        <v>27890527633</v>
      </c>
      <c r="L837" s="130">
        <f t="shared" ref="L837:Q837" si="1023">SUM(L838:L841)</f>
        <v>2348122163</v>
      </c>
      <c r="M837" s="130">
        <f t="shared" si="1023"/>
        <v>0</v>
      </c>
      <c r="N837" s="130">
        <f t="shared" si="1023"/>
        <v>4644073722</v>
      </c>
      <c r="O837" s="130">
        <f t="shared" si="1023"/>
        <v>2322036861</v>
      </c>
      <c r="P837" s="130">
        <f t="shared" si="1023"/>
        <v>2322036861</v>
      </c>
      <c r="Q837" s="423">
        <f t="shared" si="1023"/>
        <v>2322036861</v>
      </c>
      <c r="R837" s="78">
        <f t="shared" si="926"/>
        <v>13958306468</v>
      </c>
      <c r="S837" s="130">
        <f t="shared" ref="S837:Z837" si="1024">SUM(S838:S841)</f>
        <v>2322036861</v>
      </c>
      <c r="T837" s="130">
        <f t="shared" si="1024"/>
        <v>0</v>
      </c>
      <c r="U837" s="130">
        <f t="shared" si="1024"/>
        <v>0</v>
      </c>
      <c r="V837" s="130">
        <f t="shared" si="1024"/>
        <v>0</v>
      </c>
      <c r="W837" s="130">
        <f t="shared" si="1024"/>
        <v>0</v>
      </c>
      <c r="X837" s="130">
        <f t="shared" si="1024"/>
        <v>0</v>
      </c>
      <c r="Y837" s="130">
        <f t="shared" si="1024"/>
        <v>0</v>
      </c>
      <c r="Z837" s="130">
        <f t="shared" si="1024"/>
        <v>0</v>
      </c>
      <c r="AA837" s="78">
        <f t="shared" si="927"/>
        <v>2322036861</v>
      </c>
      <c r="AB837" s="78">
        <f t="shared" ref="AB837:AB914" si="1025">+R837+AA837</f>
        <v>16280343329</v>
      </c>
      <c r="AC837" s="174">
        <f t="shared" ref="AC837:AC914" si="1026">+AB837/K837</f>
        <v>0.58372303110311685</v>
      </c>
    </row>
    <row r="838" spans="1:29" ht="14.25" x14ac:dyDescent="0.2">
      <c r="B838" s="76" t="s">
        <v>1035</v>
      </c>
      <c r="C838" s="77" t="s">
        <v>1036</v>
      </c>
      <c r="D838" s="340">
        <v>17248664388</v>
      </c>
      <c r="E838" s="188">
        <f>SUM('ADICIONES  2021'!C838:I838)</f>
        <v>0</v>
      </c>
      <c r="F838" s="131"/>
      <c r="G838" s="131"/>
      <c r="H838" s="131"/>
      <c r="I838" s="131"/>
      <c r="J838" s="131"/>
      <c r="K838" s="128">
        <f t="shared" si="929"/>
        <v>17248664388</v>
      </c>
      <c r="L838" s="131">
        <v>1817561055</v>
      </c>
      <c r="M838" s="131">
        <v>0</v>
      </c>
      <c r="N838" s="131">
        <v>3555573918</v>
      </c>
      <c r="O838" s="131">
        <v>1777786959</v>
      </c>
      <c r="P838" s="131">
        <v>1777786959</v>
      </c>
      <c r="Q838" s="424">
        <v>1777786959</v>
      </c>
      <c r="R838" s="128">
        <f t="shared" si="926"/>
        <v>10706495850</v>
      </c>
      <c r="S838" s="131">
        <v>1777786959</v>
      </c>
      <c r="T838" s="131"/>
      <c r="U838" s="131"/>
      <c r="V838" s="131"/>
      <c r="W838" s="131"/>
      <c r="X838" s="131"/>
      <c r="Y838" s="131"/>
      <c r="Z838" s="131"/>
      <c r="AA838" s="128">
        <f t="shared" si="927"/>
        <v>1777786959</v>
      </c>
      <c r="AB838" s="128">
        <f t="shared" si="1025"/>
        <v>12484282809</v>
      </c>
      <c r="AC838" s="175">
        <f t="shared" si="1026"/>
        <v>0.72378257980863669</v>
      </c>
    </row>
    <row r="839" spans="1:29" ht="14.25" x14ac:dyDescent="0.2">
      <c r="B839" s="76" t="s">
        <v>1035</v>
      </c>
      <c r="C839" s="77" t="s">
        <v>1036</v>
      </c>
      <c r="D839" s="340"/>
      <c r="E839" s="188">
        <f>SUM('ADICIONES  2021'!C839:I839)</f>
        <v>4124553211</v>
      </c>
      <c r="F839" s="131"/>
      <c r="G839" s="131"/>
      <c r="H839" s="131"/>
      <c r="I839" s="131"/>
      <c r="J839" s="131"/>
      <c r="K839" s="128">
        <f t="shared" si="929"/>
        <v>4124553211</v>
      </c>
      <c r="L839" s="131"/>
      <c r="M839" s="131"/>
      <c r="N839" s="131"/>
      <c r="O839" s="131">
        <v>0</v>
      </c>
      <c r="P839" s="131">
        <v>0</v>
      </c>
      <c r="Q839" s="424">
        <v>0</v>
      </c>
      <c r="R839" s="128">
        <f t="shared" si="926"/>
        <v>0</v>
      </c>
      <c r="S839" s="131">
        <v>0</v>
      </c>
      <c r="T839" s="131"/>
      <c r="U839" s="131"/>
      <c r="V839" s="131"/>
      <c r="W839" s="131"/>
      <c r="X839" s="131"/>
      <c r="Y839" s="131"/>
      <c r="Z839" s="131"/>
      <c r="AA839" s="128">
        <f t="shared" ref="AA839:AA841" si="1027">SUM(S839:Z839)</f>
        <v>0</v>
      </c>
      <c r="AB839" s="128">
        <f t="shared" si="1025"/>
        <v>0</v>
      </c>
      <c r="AC839" s="175">
        <f t="shared" si="1026"/>
        <v>0</v>
      </c>
    </row>
    <row r="840" spans="1:29" ht="42.75" x14ac:dyDescent="0.2">
      <c r="B840" s="76" t="s">
        <v>1037</v>
      </c>
      <c r="C840" s="77" t="s">
        <v>1038</v>
      </c>
      <c r="D840" s="340">
        <v>5660414508</v>
      </c>
      <c r="E840" s="188">
        <f>SUM('ADICIONES  2021'!C840:I840)</f>
        <v>0</v>
      </c>
      <c r="F840" s="131"/>
      <c r="G840" s="131"/>
      <c r="H840" s="131"/>
      <c r="I840" s="131"/>
      <c r="J840" s="131"/>
      <c r="K840" s="128">
        <f t="shared" si="929"/>
        <v>5660414508</v>
      </c>
      <c r="L840" s="131">
        <v>530561108</v>
      </c>
      <c r="M840" s="131">
        <v>0</v>
      </c>
      <c r="N840" s="131">
        <v>1088499804</v>
      </c>
      <c r="O840" s="131">
        <v>544249902</v>
      </c>
      <c r="P840" s="131">
        <v>544249902</v>
      </c>
      <c r="Q840" s="424">
        <v>544249902</v>
      </c>
      <c r="R840" s="128">
        <f t="shared" si="926"/>
        <v>3251810618</v>
      </c>
      <c r="S840" s="131">
        <v>544249902</v>
      </c>
      <c r="T840" s="131"/>
      <c r="U840" s="131"/>
      <c r="V840" s="131"/>
      <c r="W840" s="131"/>
      <c r="X840" s="131"/>
      <c r="Y840" s="131"/>
      <c r="Z840" s="131"/>
      <c r="AA840" s="128">
        <f t="shared" si="1027"/>
        <v>544249902</v>
      </c>
      <c r="AB840" s="128">
        <f t="shared" si="1025"/>
        <v>3796060520</v>
      </c>
      <c r="AC840" s="175">
        <f t="shared" si="1026"/>
        <v>0.67063295711558513</v>
      </c>
    </row>
    <row r="841" spans="1:29" ht="42.75" x14ac:dyDescent="0.2">
      <c r="B841" s="76" t="s">
        <v>1037</v>
      </c>
      <c r="C841" s="77" t="s">
        <v>1038</v>
      </c>
      <c r="D841" s="340"/>
      <c r="E841" s="188">
        <f>SUM('ADICIONES  2021'!C841:I841)</f>
        <v>856895526</v>
      </c>
      <c r="F841" s="131"/>
      <c r="G841" s="131"/>
      <c r="H841" s="131"/>
      <c r="I841" s="131"/>
      <c r="J841" s="131"/>
      <c r="K841" s="128">
        <f t="shared" si="929"/>
        <v>856895526</v>
      </c>
      <c r="L841" s="131"/>
      <c r="M841" s="131"/>
      <c r="N841" s="131"/>
      <c r="O841" s="131">
        <v>0</v>
      </c>
      <c r="P841" s="131">
        <v>0</v>
      </c>
      <c r="Q841" s="424">
        <v>0</v>
      </c>
      <c r="R841" s="128">
        <f t="shared" si="926"/>
        <v>0</v>
      </c>
      <c r="S841" s="131">
        <v>0</v>
      </c>
      <c r="T841" s="131"/>
      <c r="U841" s="131"/>
      <c r="V841" s="131"/>
      <c r="W841" s="131"/>
      <c r="X841" s="131"/>
      <c r="Y841" s="131"/>
      <c r="Z841" s="131"/>
      <c r="AA841" s="128">
        <f t="shared" si="1027"/>
        <v>0</v>
      </c>
      <c r="AB841" s="128">
        <f t="shared" si="1025"/>
        <v>0</v>
      </c>
      <c r="AC841" s="175">
        <f t="shared" si="1026"/>
        <v>0</v>
      </c>
    </row>
    <row r="842" spans="1:29" s="63" customFormat="1" ht="31.5" x14ac:dyDescent="0.2">
      <c r="A842" s="397">
        <v>1</v>
      </c>
      <c r="B842" s="81" t="s">
        <v>634</v>
      </c>
      <c r="C842" s="79" t="s">
        <v>1039</v>
      </c>
      <c r="D842" s="339">
        <f>+D843+D859</f>
        <v>39642320908.150002</v>
      </c>
      <c r="E842" s="187">
        <f>SUM('ADICIONES  2021'!C842:I842)</f>
        <v>8452572414.4300003</v>
      </c>
      <c r="F842" s="130"/>
      <c r="G842" s="130">
        <f>+G843+G859</f>
        <v>2500000000</v>
      </c>
      <c r="H842" s="130">
        <f>+H843+H859</f>
        <v>350000000</v>
      </c>
      <c r="I842" s="130">
        <f>+I843+I859</f>
        <v>0</v>
      </c>
      <c r="J842" s="130">
        <f>+J843+J859</f>
        <v>0</v>
      </c>
      <c r="K842" s="78">
        <f t="shared" si="929"/>
        <v>50244893322.580002</v>
      </c>
      <c r="L842" s="130">
        <f t="shared" ref="L842:Q842" si="1028">+L843+L859</f>
        <v>4234398841.8992</v>
      </c>
      <c r="M842" s="130">
        <f t="shared" si="1028"/>
        <v>3179980547.1784</v>
      </c>
      <c r="N842" s="130">
        <f t="shared" si="1028"/>
        <v>2918834062.9661999</v>
      </c>
      <c r="O842" s="130">
        <f t="shared" si="1028"/>
        <v>6191900114.5716</v>
      </c>
      <c r="P842" s="130">
        <f t="shared" si="1028"/>
        <v>9491792728.5748005</v>
      </c>
      <c r="Q842" s="423">
        <f t="shared" si="1028"/>
        <v>3202833438.5432</v>
      </c>
      <c r="R842" s="78">
        <f t="shared" si="926"/>
        <v>29219739733.733402</v>
      </c>
      <c r="S842" s="130">
        <f t="shared" ref="S842:Z842" si="1029">+S843+S859</f>
        <v>5848185678.6308002</v>
      </c>
      <c r="T842" s="130">
        <f t="shared" si="1029"/>
        <v>0</v>
      </c>
      <c r="U842" s="130">
        <f t="shared" si="1029"/>
        <v>0</v>
      </c>
      <c r="V842" s="130">
        <f t="shared" si="1029"/>
        <v>0</v>
      </c>
      <c r="W842" s="130">
        <f t="shared" si="1029"/>
        <v>0</v>
      </c>
      <c r="X842" s="130">
        <f t="shared" si="1029"/>
        <v>0</v>
      </c>
      <c r="Y842" s="130">
        <f t="shared" si="1029"/>
        <v>0</v>
      </c>
      <c r="Z842" s="130">
        <f t="shared" si="1029"/>
        <v>0</v>
      </c>
      <c r="AA842" s="78">
        <f t="shared" si="927"/>
        <v>5848185678.6308002</v>
      </c>
      <c r="AB842" s="78">
        <f t="shared" si="1025"/>
        <v>35067925412.364204</v>
      </c>
      <c r="AC842" s="174">
        <f t="shared" si="1026"/>
        <v>0.69794009089088294</v>
      </c>
    </row>
    <row r="843" spans="1:29" s="63" customFormat="1" ht="15.75" x14ac:dyDescent="0.2">
      <c r="A843" s="397">
        <v>1</v>
      </c>
      <c r="B843" s="81" t="s">
        <v>1040</v>
      </c>
      <c r="C843" s="79" t="s">
        <v>1041</v>
      </c>
      <c r="D843" s="339">
        <f>+D844+D848+D852+D857</f>
        <v>5000045908.1499996</v>
      </c>
      <c r="E843" s="188">
        <f>SUM('ADICIONES  2021'!C843:I843)</f>
        <v>8452572414.4300003</v>
      </c>
      <c r="F843" s="130">
        <f t="shared" ref="F843:J843" si="1030">+F844+F848+F852+F857</f>
        <v>0</v>
      </c>
      <c r="G843" s="130">
        <f t="shared" si="1030"/>
        <v>0</v>
      </c>
      <c r="H843" s="130">
        <f t="shared" si="1030"/>
        <v>0</v>
      </c>
      <c r="I843" s="130">
        <f t="shared" si="1030"/>
        <v>0</v>
      </c>
      <c r="J843" s="130">
        <f t="shared" si="1030"/>
        <v>0</v>
      </c>
      <c r="K843" s="78">
        <f t="shared" si="929"/>
        <v>13452618322.58</v>
      </c>
      <c r="L843" s="130">
        <f t="shared" ref="L843:Q843" si="1031">+L844+L848+L852+L857</f>
        <v>246145912</v>
      </c>
      <c r="M843" s="130">
        <f t="shared" si="1031"/>
        <v>1744556000</v>
      </c>
      <c r="N843" s="130">
        <f t="shared" si="1031"/>
        <v>637912007</v>
      </c>
      <c r="O843" s="130">
        <f t="shared" si="1031"/>
        <v>264932609</v>
      </c>
      <c r="P843" s="130">
        <f t="shared" si="1031"/>
        <v>8531602299.4300003</v>
      </c>
      <c r="Q843" s="423">
        <f t="shared" si="1031"/>
        <v>396864936</v>
      </c>
      <c r="R843" s="78">
        <f t="shared" si="926"/>
        <v>11822013763.43</v>
      </c>
      <c r="S843" s="130">
        <f t="shared" ref="S843:Z843" si="1032">+S844+S848+S852+S857</f>
        <v>1175658325</v>
      </c>
      <c r="T843" s="130">
        <f t="shared" si="1032"/>
        <v>0</v>
      </c>
      <c r="U843" s="130">
        <f t="shared" si="1032"/>
        <v>0</v>
      </c>
      <c r="V843" s="130">
        <f t="shared" si="1032"/>
        <v>0</v>
      </c>
      <c r="W843" s="130">
        <f t="shared" si="1032"/>
        <v>0</v>
      </c>
      <c r="X843" s="130">
        <f t="shared" si="1032"/>
        <v>0</v>
      </c>
      <c r="Y843" s="130">
        <f t="shared" si="1032"/>
        <v>0</v>
      </c>
      <c r="Z843" s="130">
        <f t="shared" si="1032"/>
        <v>0</v>
      </c>
      <c r="AA843" s="78">
        <f t="shared" si="927"/>
        <v>1175658325</v>
      </c>
      <c r="AB843" s="78">
        <f t="shared" si="1025"/>
        <v>12997672088.43</v>
      </c>
      <c r="AC843" s="174">
        <f t="shared" si="1026"/>
        <v>0.96618158463721671</v>
      </c>
    </row>
    <row r="844" spans="1:29" s="63" customFormat="1" ht="47.25" x14ac:dyDescent="0.2">
      <c r="A844" s="397"/>
      <c r="B844" s="81" t="s">
        <v>1042</v>
      </c>
      <c r="C844" s="79" t="s">
        <v>1043</v>
      </c>
      <c r="D844" s="339">
        <f>SUM(D845:D847)</f>
        <v>2082947768</v>
      </c>
      <c r="E844" s="187">
        <f>SUM('ADICIONES  2021'!C844:I844)</f>
        <v>0</v>
      </c>
      <c r="F844" s="130"/>
      <c r="G844" s="130">
        <f t="shared" ref="G844:J844" si="1033">SUM(G845:G847)</f>
        <v>0</v>
      </c>
      <c r="H844" s="130">
        <f t="shared" si="1033"/>
        <v>0</v>
      </c>
      <c r="I844" s="130">
        <f t="shared" si="1033"/>
        <v>0</v>
      </c>
      <c r="J844" s="130">
        <f t="shared" si="1033"/>
        <v>0</v>
      </c>
      <c r="K844" s="78">
        <f t="shared" si="929"/>
        <v>2082947768</v>
      </c>
      <c r="L844" s="130">
        <f t="shared" ref="L844:Q844" si="1034">SUM(L845:L847)</f>
        <v>0</v>
      </c>
      <c r="M844" s="130">
        <f t="shared" si="1034"/>
        <v>0</v>
      </c>
      <c r="N844" s="130">
        <f t="shared" si="1034"/>
        <v>362999420</v>
      </c>
      <c r="O844" s="130">
        <f t="shared" si="1034"/>
        <v>121554219</v>
      </c>
      <c r="P844" s="130">
        <f t="shared" si="1034"/>
        <v>399152972</v>
      </c>
      <c r="Q844" s="423">
        <f t="shared" si="1034"/>
        <v>396864936</v>
      </c>
      <c r="R844" s="78">
        <f t="shared" si="926"/>
        <v>1280571547</v>
      </c>
      <c r="S844" s="130">
        <f t="shared" ref="S844:Z844" si="1035">SUM(S845:S847)</f>
        <v>99788242</v>
      </c>
      <c r="T844" s="130">
        <f t="shared" si="1035"/>
        <v>0</v>
      </c>
      <c r="U844" s="130">
        <f t="shared" si="1035"/>
        <v>0</v>
      </c>
      <c r="V844" s="130">
        <f t="shared" si="1035"/>
        <v>0</v>
      </c>
      <c r="W844" s="130">
        <f t="shared" si="1035"/>
        <v>0</v>
      </c>
      <c r="X844" s="130">
        <f t="shared" si="1035"/>
        <v>0</v>
      </c>
      <c r="Y844" s="130">
        <f t="shared" si="1035"/>
        <v>0</v>
      </c>
      <c r="Z844" s="130">
        <f t="shared" si="1035"/>
        <v>0</v>
      </c>
      <c r="AA844" s="78">
        <f t="shared" si="927"/>
        <v>99788242</v>
      </c>
      <c r="AB844" s="78">
        <f t="shared" si="1025"/>
        <v>1380359789</v>
      </c>
      <c r="AC844" s="174">
        <f t="shared" si="1026"/>
        <v>0.66269534464869984</v>
      </c>
    </row>
    <row r="845" spans="1:29" x14ac:dyDescent="0.2">
      <c r="B845" s="76" t="s">
        <v>1044</v>
      </c>
      <c r="C845" s="77" t="s">
        <v>1045</v>
      </c>
      <c r="D845" s="340">
        <v>1591355036</v>
      </c>
      <c r="E845" s="188">
        <f>SUM('ADICIONES  2021'!C845:I845)</f>
        <v>0</v>
      </c>
      <c r="F845" s="132"/>
      <c r="G845" s="131"/>
      <c r="H845" s="131"/>
      <c r="I845" s="131"/>
      <c r="J845" s="131"/>
      <c r="K845" s="128">
        <f t="shared" si="929"/>
        <v>1591355036</v>
      </c>
      <c r="L845" s="132"/>
      <c r="M845" s="132"/>
      <c r="N845" s="132">
        <v>0</v>
      </c>
      <c r="O845" s="132">
        <v>0</v>
      </c>
      <c r="P845" s="132">
        <v>399152972</v>
      </c>
      <c r="Q845" s="424">
        <v>396864936</v>
      </c>
      <c r="R845" s="128">
        <f t="shared" ref="R845:R919" si="1036">SUM(L845:Q845)</f>
        <v>796017908</v>
      </c>
      <c r="S845" s="132">
        <v>99788242</v>
      </c>
      <c r="T845" s="132"/>
      <c r="U845" s="132"/>
      <c r="V845" s="132"/>
      <c r="W845" s="132"/>
      <c r="X845" s="132"/>
      <c r="Y845" s="132"/>
      <c r="Z845" s="132"/>
      <c r="AA845" s="128">
        <f t="shared" ref="AA845:AA911" si="1037">SUM(S845:Z845)</f>
        <v>99788242</v>
      </c>
      <c r="AB845" s="128">
        <f t="shared" si="1025"/>
        <v>895806150</v>
      </c>
      <c r="AC845" s="175">
        <f t="shared" si="1026"/>
        <v>0.56292036015525582</v>
      </c>
    </row>
    <row r="846" spans="1:29" x14ac:dyDescent="0.2">
      <c r="B846" s="76" t="s">
        <v>1046</v>
      </c>
      <c r="C846" s="77" t="s">
        <v>1047</v>
      </c>
      <c r="D846" s="340">
        <v>123846146</v>
      </c>
      <c r="E846" s="188">
        <f>SUM('ADICIONES  2021'!C846:I846)</f>
        <v>0</v>
      </c>
      <c r="F846" s="132"/>
      <c r="G846" s="131"/>
      <c r="H846" s="131"/>
      <c r="I846" s="131"/>
      <c r="J846" s="131"/>
      <c r="K846" s="128">
        <f t="shared" ref="K846:K919" si="1038">+D846+E846-F846+G846-H846</f>
        <v>123846146</v>
      </c>
      <c r="L846" s="132"/>
      <c r="M846" s="132"/>
      <c r="N846" s="132">
        <v>0</v>
      </c>
      <c r="O846" s="132">
        <v>121554219</v>
      </c>
      <c r="P846" s="132">
        <v>0</v>
      </c>
      <c r="Q846" s="424">
        <v>0</v>
      </c>
      <c r="R846" s="128">
        <f t="shared" si="1036"/>
        <v>121554219</v>
      </c>
      <c r="S846" s="132">
        <v>0</v>
      </c>
      <c r="T846" s="132"/>
      <c r="U846" s="132"/>
      <c r="V846" s="132"/>
      <c r="W846" s="132"/>
      <c r="X846" s="132"/>
      <c r="Y846" s="132"/>
      <c r="Z846" s="132"/>
      <c r="AA846" s="128">
        <f t="shared" si="1037"/>
        <v>0</v>
      </c>
      <c r="AB846" s="128">
        <f t="shared" si="1025"/>
        <v>121554219</v>
      </c>
      <c r="AC846" s="175">
        <f t="shared" si="1026"/>
        <v>0.98149375597041189</v>
      </c>
    </row>
    <row r="847" spans="1:29" x14ac:dyDescent="0.2">
      <c r="B847" s="76" t="s">
        <v>1048</v>
      </c>
      <c r="C847" s="77" t="s">
        <v>1049</v>
      </c>
      <c r="D847" s="340">
        <v>367746586</v>
      </c>
      <c r="E847" s="188">
        <f>SUM('ADICIONES  2021'!C847:I847)</f>
        <v>0</v>
      </c>
      <c r="F847" s="132"/>
      <c r="G847" s="131"/>
      <c r="H847" s="131"/>
      <c r="I847" s="131"/>
      <c r="J847" s="131"/>
      <c r="K847" s="128">
        <f t="shared" si="1038"/>
        <v>367746586</v>
      </c>
      <c r="L847" s="132"/>
      <c r="M847" s="132"/>
      <c r="N847" s="132">
        <v>362999420</v>
      </c>
      <c r="O847" s="132">
        <v>0</v>
      </c>
      <c r="P847" s="132">
        <v>0</v>
      </c>
      <c r="Q847" s="424">
        <v>0</v>
      </c>
      <c r="R847" s="128">
        <f t="shared" si="1036"/>
        <v>362999420</v>
      </c>
      <c r="S847" s="132">
        <v>0</v>
      </c>
      <c r="T847" s="132"/>
      <c r="U847" s="132"/>
      <c r="V847" s="132"/>
      <c r="W847" s="132"/>
      <c r="X847" s="132"/>
      <c r="Y847" s="132"/>
      <c r="Z847" s="132"/>
      <c r="AA847" s="128">
        <f t="shared" si="1037"/>
        <v>0</v>
      </c>
      <c r="AB847" s="128">
        <f t="shared" si="1025"/>
        <v>362999420</v>
      </c>
      <c r="AC847" s="175">
        <f t="shared" si="1026"/>
        <v>0.98709120307101916</v>
      </c>
    </row>
    <row r="848" spans="1:29" s="63" customFormat="1" ht="63" x14ac:dyDescent="0.2">
      <c r="A848" s="397"/>
      <c r="B848" s="81" t="s">
        <v>1248</v>
      </c>
      <c r="C848" s="79" t="s">
        <v>1057</v>
      </c>
      <c r="D848" s="339">
        <f>+D849+D850+D851</f>
        <v>1699345500</v>
      </c>
      <c r="E848" s="187">
        <f>SUM('ADICIONES  2021'!C848:I848)</f>
        <v>8177659827.4300003</v>
      </c>
      <c r="F848" s="339">
        <f t="shared" ref="F848:J848" si="1039">+F849+F850+F851</f>
        <v>0</v>
      </c>
      <c r="G848" s="339">
        <f t="shared" si="1039"/>
        <v>0</v>
      </c>
      <c r="H848" s="339">
        <f t="shared" si="1039"/>
        <v>0</v>
      </c>
      <c r="I848" s="339">
        <f t="shared" si="1039"/>
        <v>0</v>
      </c>
      <c r="J848" s="339">
        <f t="shared" si="1039"/>
        <v>0</v>
      </c>
      <c r="K848" s="78">
        <f t="shared" si="1038"/>
        <v>9877005327.4300003</v>
      </c>
      <c r="L848" s="339">
        <f t="shared" ref="L848:Q848" si="1040">+L849+L850+L851</f>
        <v>0</v>
      </c>
      <c r="M848" s="339">
        <f t="shared" si="1040"/>
        <v>1744556000</v>
      </c>
      <c r="N848" s="339">
        <f t="shared" si="1040"/>
        <v>0</v>
      </c>
      <c r="O848" s="339">
        <f t="shared" si="1040"/>
        <v>0</v>
      </c>
      <c r="P848" s="339">
        <f t="shared" si="1040"/>
        <v>8132449327.4300003</v>
      </c>
      <c r="Q848" s="426">
        <f t="shared" si="1040"/>
        <v>0</v>
      </c>
      <c r="R848" s="78">
        <f t="shared" si="1036"/>
        <v>9877005327.4300003</v>
      </c>
      <c r="S848" s="339">
        <f t="shared" ref="S848:Z848" si="1041">+S849+S850+S851</f>
        <v>0</v>
      </c>
      <c r="T848" s="339">
        <f t="shared" si="1041"/>
        <v>0</v>
      </c>
      <c r="U848" s="339">
        <f t="shared" si="1041"/>
        <v>0</v>
      </c>
      <c r="V848" s="339">
        <f t="shared" si="1041"/>
        <v>0</v>
      </c>
      <c r="W848" s="339">
        <f t="shared" si="1041"/>
        <v>0</v>
      </c>
      <c r="X848" s="339">
        <f t="shared" si="1041"/>
        <v>0</v>
      </c>
      <c r="Y848" s="339">
        <f t="shared" si="1041"/>
        <v>0</v>
      </c>
      <c r="Z848" s="339">
        <f t="shared" si="1041"/>
        <v>0</v>
      </c>
      <c r="AA848" s="78">
        <f t="shared" ref="AA848:AA859" si="1042">SUM(S848:Z848)</f>
        <v>0</v>
      </c>
      <c r="AB848" s="78">
        <f t="shared" si="1025"/>
        <v>9877005327.4300003</v>
      </c>
      <c r="AC848" s="174">
        <f t="shared" si="1026"/>
        <v>1</v>
      </c>
    </row>
    <row r="849" spans="1:29" ht="28.5" x14ac:dyDescent="0.2">
      <c r="B849" s="76" t="s">
        <v>1249</v>
      </c>
      <c r="C849" s="77" t="s">
        <v>1058</v>
      </c>
      <c r="D849" s="340">
        <v>1699345500</v>
      </c>
      <c r="E849" s="188">
        <f>SUM('ADICIONES  2021'!C849:I849)</f>
        <v>0</v>
      </c>
      <c r="F849" s="131"/>
      <c r="G849" s="131"/>
      <c r="H849" s="131"/>
      <c r="I849" s="131"/>
      <c r="J849" s="131"/>
      <c r="K849" s="128">
        <f t="shared" si="1038"/>
        <v>1699345500</v>
      </c>
      <c r="L849" s="131"/>
      <c r="M849" s="131">
        <v>1744556000</v>
      </c>
      <c r="N849" s="131"/>
      <c r="O849" s="131">
        <v>0</v>
      </c>
      <c r="P849" s="131">
        <v>-45210500</v>
      </c>
      <c r="Q849" s="424"/>
      <c r="R849" s="128">
        <f t="shared" si="1036"/>
        <v>1699345500</v>
      </c>
      <c r="S849" s="131">
        <v>0</v>
      </c>
      <c r="T849" s="131"/>
      <c r="U849" s="131"/>
      <c r="V849" s="131"/>
      <c r="W849" s="131"/>
      <c r="X849" s="131"/>
      <c r="Y849" s="131"/>
      <c r="Z849" s="131"/>
      <c r="AA849" s="128">
        <f t="shared" si="1042"/>
        <v>0</v>
      </c>
      <c r="AB849" s="128">
        <f t="shared" si="1025"/>
        <v>1699345500</v>
      </c>
      <c r="AC849" s="175">
        <f t="shared" si="1026"/>
        <v>1</v>
      </c>
    </row>
    <row r="850" spans="1:29" ht="28.5" x14ac:dyDescent="0.2">
      <c r="B850" s="76" t="s">
        <v>1249</v>
      </c>
      <c r="C850" s="77" t="s">
        <v>1058</v>
      </c>
      <c r="D850" s="340"/>
      <c r="E850" s="188">
        <f>SUM('ADICIONES  2021'!C850:I850)</f>
        <v>45210500</v>
      </c>
      <c r="F850" s="131"/>
      <c r="G850" s="131"/>
      <c r="H850" s="131"/>
      <c r="I850" s="131"/>
      <c r="J850" s="131"/>
      <c r="K850" s="128">
        <f t="shared" si="1038"/>
        <v>45210500</v>
      </c>
      <c r="L850" s="131"/>
      <c r="M850" s="131"/>
      <c r="N850" s="131"/>
      <c r="O850" s="131">
        <v>0</v>
      </c>
      <c r="P850" s="131">
        <v>45210500</v>
      </c>
      <c r="Q850" s="424"/>
      <c r="R850" s="128">
        <f t="shared" si="1036"/>
        <v>45210500</v>
      </c>
      <c r="S850" s="131">
        <v>0</v>
      </c>
      <c r="T850" s="131"/>
      <c r="U850" s="131"/>
      <c r="V850" s="131"/>
      <c r="W850" s="131"/>
      <c r="X850" s="131"/>
      <c r="Y850" s="131"/>
      <c r="Z850" s="131"/>
      <c r="AA850" s="128">
        <f t="shared" si="1042"/>
        <v>0</v>
      </c>
      <c r="AB850" s="128">
        <f t="shared" si="1025"/>
        <v>45210500</v>
      </c>
      <c r="AC850" s="175">
        <f t="shared" si="1026"/>
        <v>1</v>
      </c>
    </row>
    <row r="851" spans="1:29" ht="14.25" x14ac:dyDescent="0.2">
      <c r="B851" s="76" t="s">
        <v>1871</v>
      </c>
      <c r="C851" s="77" t="s">
        <v>1872</v>
      </c>
      <c r="D851" s="340"/>
      <c r="E851" s="188">
        <f>SUM('ADICIONES  2021'!C851:I851)</f>
        <v>8132449327.4300003</v>
      </c>
      <c r="F851" s="131"/>
      <c r="G851" s="131"/>
      <c r="H851" s="131"/>
      <c r="I851" s="131"/>
      <c r="J851" s="131"/>
      <c r="K851" s="128">
        <f t="shared" si="1038"/>
        <v>8132449327.4300003</v>
      </c>
      <c r="L851" s="131"/>
      <c r="M851" s="131"/>
      <c r="N851" s="131"/>
      <c r="O851" s="131"/>
      <c r="P851" s="131">
        <v>8132449327.4300003</v>
      </c>
      <c r="Q851" s="424"/>
      <c r="R851" s="128">
        <f t="shared" si="1036"/>
        <v>8132449327.4300003</v>
      </c>
      <c r="S851" s="131">
        <v>0</v>
      </c>
      <c r="T851" s="131"/>
      <c r="U851" s="131"/>
      <c r="V851" s="131"/>
      <c r="W851" s="131"/>
      <c r="X851" s="131"/>
      <c r="Y851" s="131"/>
      <c r="Z851" s="131"/>
      <c r="AA851" s="128">
        <f t="shared" ref="AA851" si="1043">SUM(S851:Z851)</f>
        <v>0</v>
      </c>
      <c r="AB851" s="128">
        <f t="shared" si="1025"/>
        <v>8132449327.4300003</v>
      </c>
      <c r="AC851" s="175">
        <v>0</v>
      </c>
    </row>
    <row r="852" spans="1:29" s="63" customFormat="1" ht="31.5" x14ac:dyDescent="0.2">
      <c r="A852" s="397"/>
      <c r="B852" s="81" t="s">
        <v>1250</v>
      </c>
      <c r="C852" s="79" t="s">
        <v>377</v>
      </c>
      <c r="D852" s="339">
        <f>+D853+D855+D856</f>
        <v>910253281.14999998</v>
      </c>
      <c r="E852" s="187">
        <f>SUM('ADICIONES  2021'!C852:I852)</f>
        <v>274912587</v>
      </c>
      <c r="F852" s="130">
        <f t="shared" ref="F852:J852" si="1044">+F853+F855+F856</f>
        <v>0</v>
      </c>
      <c r="G852" s="130">
        <f t="shared" si="1044"/>
        <v>0</v>
      </c>
      <c r="H852" s="130">
        <f t="shared" si="1044"/>
        <v>0</v>
      </c>
      <c r="I852" s="130">
        <f t="shared" si="1044"/>
        <v>0</v>
      </c>
      <c r="J852" s="130">
        <f t="shared" si="1044"/>
        <v>0</v>
      </c>
      <c r="K852" s="78">
        <f t="shared" si="1038"/>
        <v>1185165868.1500001</v>
      </c>
      <c r="L852" s="130">
        <f t="shared" ref="L852:Q852" si="1045">+L853+L855+L856</f>
        <v>184609434</v>
      </c>
      <c r="M852" s="130">
        <f t="shared" si="1045"/>
        <v>0</v>
      </c>
      <c r="N852" s="130">
        <f t="shared" si="1045"/>
        <v>274912587</v>
      </c>
      <c r="O852" s="130">
        <f t="shared" si="1045"/>
        <v>143378390</v>
      </c>
      <c r="P852" s="130">
        <f t="shared" si="1045"/>
        <v>0</v>
      </c>
      <c r="Q852" s="423">
        <f t="shared" si="1045"/>
        <v>0</v>
      </c>
      <c r="R852" s="78">
        <f t="shared" si="1036"/>
        <v>602900411</v>
      </c>
      <c r="S852" s="130">
        <f t="shared" ref="S852:Z852" si="1046">+S853+S855+S856</f>
        <v>806902562</v>
      </c>
      <c r="T852" s="130">
        <f t="shared" si="1046"/>
        <v>0</v>
      </c>
      <c r="U852" s="130">
        <f t="shared" si="1046"/>
        <v>0</v>
      </c>
      <c r="V852" s="130">
        <f t="shared" si="1046"/>
        <v>0</v>
      </c>
      <c r="W852" s="130">
        <f t="shared" si="1046"/>
        <v>0</v>
      </c>
      <c r="X852" s="130">
        <f t="shared" si="1046"/>
        <v>0</v>
      </c>
      <c r="Y852" s="130">
        <f t="shared" si="1046"/>
        <v>0</v>
      </c>
      <c r="Z852" s="130">
        <f t="shared" si="1046"/>
        <v>0</v>
      </c>
      <c r="AA852" s="78">
        <f t="shared" si="1042"/>
        <v>806902562</v>
      </c>
      <c r="AB852" s="78">
        <f t="shared" si="1025"/>
        <v>1409802973</v>
      </c>
      <c r="AC852" s="174">
        <f t="shared" si="1026"/>
        <v>1.1895406464925034</v>
      </c>
    </row>
    <row r="853" spans="1:29" s="63" customFormat="1" ht="15.75" x14ac:dyDescent="0.2">
      <c r="A853" s="397"/>
      <c r="B853" s="81" t="s">
        <v>1251</v>
      </c>
      <c r="C853" s="79" t="s">
        <v>378</v>
      </c>
      <c r="D853" s="339">
        <f>+D854</f>
        <v>910253281.14999998</v>
      </c>
      <c r="E853" s="187">
        <f>SUM('ADICIONES  2021'!C853:I853)</f>
        <v>0</v>
      </c>
      <c r="F853" s="130">
        <f t="shared" ref="F853:J853" si="1047">+F854</f>
        <v>0</v>
      </c>
      <c r="G853" s="130">
        <f t="shared" si="1047"/>
        <v>0</v>
      </c>
      <c r="H853" s="130">
        <f t="shared" si="1047"/>
        <v>0</v>
      </c>
      <c r="I853" s="130">
        <f t="shared" si="1047"/>
        <v>0</v>
      </c>
      <c r="J853" s="130">
        <f t="shared" si="1047"/>
        <v>0</v>
      </c>
      <c r="K853" s="78">
        <f t="shared" si="1038"/>
        <v>910253281.14999998</v>
      </c>
      <c r="L853" s="130">
        <f t="shared" ref="L853:Q853" si="1048">+L854</f>
        <v>184609434</v>
      </c>
      <c r="M853" s="130">
        <f t="shared" si="1048"/>
        <v>0</v>
      </c>
      <c r="N853" s="130">
        <f t="shared" si="1048"/>
        <v>0</v>
      </c>
      <c r="O853" s="130">
        <f t="shared" si="1048"/>
        <v>143378390</v>
      </c>
      <c r="P853" s="130">
        <f t="shared" si="1048"/>
        <v>0</v>
      </c>
      <c r="Q853" s="423">
        <f t="shared" si="1048"/>
        <v>0</v>
      </c>
      <c r="R853" s="78">
        <f t="shared" si="1036"/>
        <v>327987824</v>
      </c>
      <c r="S853" s="130">
        <f t="shared" ref="S853:Z853" si="1049">+S854</f>
        <v>806902562</v>
      </c>
      <c r="T853" s="130">
        <f t="shared" si="1049"/>
        <v>0</v>
      </c>
      <c r="U853" s="130">
        <f t="shared" si="1049"/>
        <v>0</v>
      </c>
      <c r="V853" s="130">
        <f t="shared" si="1049"/>
        <v>0</v>
      </c>
      <c r="W853" s="130">
        <f t="shared" si="1049"/>
        <v>0</v>
      </c>
      <c r="X853" s="130">
        <f t="shared" si="1049"/>
        <v>0</v>
      </c>
      <c r="Y853" s="130">
        <f t="shared" si="1049"/>
        <v>0</v>
      </c>
      <c r="Z853" s="130">
        <f t="shared" si="1049"/>
        <v>0</v>
      </c>
      <c r="AA853" s="78">
        <f t="shared" si="1042"/>
        <v>806902562</v>
      </c>
      <c r="AB853" s="78">
        <f t="shared" si="1025"/>
        <v>1134890386</v>
      </c>
      <c r="AC853" s="174">
        <f t="shared" si="1026"/>
        <v>1.2467852733979679</v>
      </c>
    </row>
    <row r="854" spans="1:29" ht="42.75" x14ac:dyDescent="0.2">
      <c r="B854" s="76" t="s">
        <v>1252</v>
      </c>
      <c r="C854" s="77" t="s">
        <v>1059</v>
      </c>
      <c r="D854" s="340">
        <v>910253281.14999998</v>
      </c>
      <c r="E854" s="188">
        <f>SUM('ADICIONES  2021'!C854:I854)</f>
        <v>0</v>
      </c>
      <c r="F854" s="131"/>
      <c r="G854" s="131"/>
      <c r="H854" s="131"/>
      <c r="I854" s="131"/>
      <c r="J854" s="131"/>
      <c r="K854" s="128">
        <f t="shared" si="1038"/>
        <v>910253281.14999998</v>
      </c>
      <c r="L854" s="131">
        <v>184609434</v>
      </c>
      <c r="M854" s="131"/>
      <c r="N854" s="131"/>
      <c r="O854" s="131">
        <v>143378390</v>
      </c>
      <c r="P854" s="131"/>
      <c r="Q854" s="424"/>
      <c r="R854" s="128">
        <f t="shared" si="1036"/>
        <v>327987824</v>
      </c>
      <c r="S854" s="131">
        <v>806902562</v>
      </c>
      <c r="T854" s="131"/>
      <c r="U854" s="131"/>
      <c r="V854" s="131"/>
      <c r="W854" s="131"/>
      <c r="X854" s="131"/>
      <c r="Y854" s="131"/>
      <c r="Z854" s="131"/>
      <c r="AA854" s="128">
        <f t="shared" si="1042"/>
        <v>806902562</v>
      </c>
      <c r="AB854" s="128">
        <f t="shared" si="1025"/>
        <v>1134890386</v>
      </c>
      <c r="AC854" s="175">
        <f t="shared" si="1026"/>
        <v>1.2467852733979679</v>
      </c>
    </row>
    <row r="855" spans="1:29" ht="28.5" x14ac:dyDescent="0.2">
      <c r="B855" s="76" t="s">
        <v>1253</v>
      </c>
      <c r="C855" s="77" t="s">
        <v>1254</v>
      </c>
      <c r="D855" s="340">
        <v>0</v>
      </c>
      <c r="E855" s="188">
        <f>SUM('ADICIONES  2021'!C855:I855)</f>
        <v>0</v>
      </c>
      <c r="F855" s="131"/>
      <c r="G855" s="131"/>
      <c r="H855" s="131"/>
      <c r="I855" s="131"/>
      <c r="J855" s="131"/>
      <c r="K855" s="128">
        <f t="shared" si="1038"/>
        <v>0</v>
      </c>
      <c r="L855" s="131">
        <v>0</v>
      </c>
      <c r="M855" s="131"/>
      <c r="N855" s="131">
        <v>274912587</v>
      </c>
      <c r="O855" s="131">
        <v>0</v>
      </c>
      <c r="P855" s="131"/>
      <c r="Q855" s="424"/>
      <c r="R855" s="128">
        <f t="shared" si="1036"/>
        <v>274912587</v>
      </c>
      <c r="S855" s="131">
        <v>0</v>
      </c>
      <c r="T855" s="131"/>
      <c r="U855" s="131"/>
      <c r="V855" s="131"/>
      <c r="W855" s="131"/>
      <c r="X855" s="131"/>
      <c r="Y855" s="131"/>
      <c r="Z855" s="131"/>
      <c r="AA855" s="128">
        <f t="shared" si="1042"/>
        <v>0</v>
      </c>
      <c r="AB855" s="128">
        <f t="shared" si="1025"/>
        <v>274912587</v>
      </c>
      <c r="AC855" s="175">
        <v>0</v>
      </c>
    </row>
    <row r="856" spans="1:29" ht="28.5" x14ac:dyDescent="0.2">
      <c r="B856" s="76" t="s">
        <v>1253</v>
      </c>
      <c r="C856" s="77" t="s">
        <v>1254</v>
      </c>
      <c r="D856" s="340"/>
      <c r="E856" s="188">
        <f>SUM('ADICIONES  2021'!C856:I856)</f>
        <v>274912587</v>
      </c>
      <c r="F856" s="131"/>
      <c r="G856" s="131"/>
      <c r="H856" s="131"/>
      <c r="I856" s="131"/>
      <c r="J856" s="131"/>
      <c r="K856" s="128">
        <f t="shared" si="1038"/>
        <v>274912587</v>
      </c>
      <c r="L856" s="131"/>
      <c r="M856" s="131"/>
      <c r="N856" s="131"/>
      <c r="O856" s="131">
        <v>0</v>
      </c>
      <c r="P856" s="131"/>
      <c r="Q856" s="424"/>
      <c r="R856" s="128">
        <f t="shared" si="1036"/>
        <v>0</v>
      </c>
      <c r="S856" s="131">
        <v>0</v>
      </c>
      <c r="T856" s="131"/>
      <c r="U856" s="131"/>
      <c r="V856" s="131"/>
      <c r="W856" s="131"/>
      <c r="X856" s="131"/>
      <c r="Y856" s="131"/>
      <c r="Z856" s="131"/>
      <c r="AA856" s="128">
        <f t="shared" si="1042"/>
        <v>0</v>
      </c>
      <c r="AB856" s="128">
        <f t="shared" si="1025"/>
        <v>0</v>
      </c>
      <c r="AC856" s="175">
        <f t="shared" si="1026"/>
        <v>0</v>
      </c>
    </row>
    <row r="857" spans="1:29" s="63" customFormat="1" ht="31.5" x14ac:dyDescent="0.2">
      <c r="A857" s="397"/>
      <c r="B857" s="81" t="s">
        <v>1255</v>
      </c>
      <c r="C857" s="79" t="s">
        <v>1060</v>
      </c>
      <c r="D857" s="339">
        <f>+D858</f>
        <v>307499359</v>
      </c>
      <c r="E857" s="187">
        <f>SUM('ADICIONES  2021'!C857:I857)</f>
        <v>0</v>
      </c>
      <c r="F857" s="130">
        <f t="shared" ref="F857:J857" si="1050">+F858</f>
        <v>0</v>
      </c>
      <c r="G857" s="130">
        <f t="shared" si="1050"/>
        <v>0</v>
      </c>
      <c r="H857" s="130">
        <f t="shared" si="1050"/>
        <v>0</v>
      </c>
      <c r="I857" s="130">
        <f t="shared" si="1050"/>
        <v>0</v>
      </c>
      <c r="J857" s="130">
        <f t="shared" si="1050"/>
        <v>0</v>
      </c>
      <c r="K857" s="78">
        <f t="shared" si="1038"/>
        <v>307499359</v>
      </c>
      <c r="L857" s="130">
        <f t="shared" ref="L857:Q857" si="1051">+L858</f>
        <v>61536478</v>
      </c>
      <c r="M857" s="130">
        <f t="shared" si="1051"/>
        <v>0</v>
      </c>
      <c r="N857" s="130">
        <f t="shared" si="1051"/>
        <v>0</v>
      </c>
      <c r="O857" s="130">
        <f t="shared" si="1051"/>
        <v>0</v>
      </c>
      <c r="P857" s="130">
        <f t="shared" si="1051"/>
        <v>0</v>
      </c>
      <c r="Q857" s="423">
        <f t="shared" si="1051"/>
        <v>0</v>
      </c>
      <c r="R857" s="78">
        <f t="shared" si="1036"/>
        <v>61536478</v>
      </c>
      <c r="S857" s="130">
        <f t="shared" ref="S857:Z857" si="1052">+S858</f>
        <v>268967521</v>
      </c>
      <c r="T857" s="130">
        <f t="shared" si="1052"/>
        <v>0</v>
      </c>
      <c r="U857" s="130">
        <f t="shared" si="1052"/>
        <v>0</v>
      </c>
      <c r="V857" s="130">
        <f t="shared" si="1052"/>
        <v>0</v>
      </c>
      <c r="W857" s="130">
        <f t="shared" si="1052"/>
        <v>0</v>
      </c>
      <c r="X857" s="130">
        <f t="shared" si="1052"/>
        <v>0</v>
      </c>
      <c r="Y857" s="130">
        <f t="shared" si="1052"/>
        <v>0</v>
      </c>
      <c r="Z857" s="130">
        <f t="shared" si="1052"/>
        <v>0</v>
      </c>
      <c r="AA857" s="78">
        <f t="shared" si="1042"/>
        <v>268967521</v>
      </c>
      <c r="AB857" s="78">
        <f t="shared" si="1025"/>
        <v>330503999</v>
      </c>
      <c r="AC857" s="174">
        <f t="shared" si="1026"/>
        <v>1.0748119933479277</v>
      </c>
    </row>
    <row r="858" spans="1:29" ht="28.5" x14ac:dyDescent="0.2">
      <c r="B858" s="76" t="s">
        <v>1256</v>
      </c>
      <c r="C858" s="77" t="s">
        <v>1061</v>
      </c>
      <c r="D858" s="340">
        <v>307499359</v>
      </c>
      <c r="E858" s="188">
        <f>SUM('ADICIONES  2021'!C858:I858)</f>
        <v>0</v>
      </c>
      <c r="F858" s="132"/>
      <c r="G858" s="131"/>
      <c r="H858" s="131"/>
      <c r="I858" s="131"/>
      <c r="J858" s="131"/>
      <c r="K858" s="128">
        <f t="shared" si="1038"/>
        <v>307499359</v>
      </c>
      <c r="L858" s="132">
        <v>61536478</v>
      </c>
      <c r="M858" s="132"/>
      <c r="N858" s="132">
        <v>0</v>
      </c>
      <c r="O858" s="132"/>
      <c r="P858" s="132"/>
      <c r="Q858" s="424"/>
      <c r="R858" s="128">
        <f t="shared" si="1036"/>
        <v>61536478</v>
      </c>
      <c r="S858" s="132">
        <v>268967521</v>
      </c>
      <c r="T858" s="132"/>
      <c r="U858" s="132"/>
      <c r="V858" s="132"/>
      <c r="W858" s="132"/>
      <c r="X858" s="132"/>
      <c r="Y858" s="132"/>
      <c r="Z858" s="132"/>
      <c r="AA858" s="128">
        <f t="shared" si="1042"/>
        <v>268967521</v>
      </c>
      <c r="AB858" s="128">
        <f t="shared" si="1025"/>
        <v>330503999</v>
      </c>
      <c r="AC858" s="175">
        <f t="shared" si="1026"/>
        <v>1.0748119933479277</v>
      </c>
    </row>
    <row r="859" spans="1:29" s="63" customFormat="1" ht="15.75" x14ac:dyDescent="0.2">
      <c r="A859" s="397"/>
      <c r="B859" s="81" t="s">
        <v>636</v>
      </c>
      <c r="C859" s="79" t="s">
        <v>1050</v>
      </c>
      <c r="D859" s="339">
        <f>+D860</f>
        <v>34642275000</v>
      </c>
      <c r="E859" s="187">
        <f>SUM('ADICIONES  2021'!C859:I859)</f>
        <v>0</v>
      </c>
      <c r="F859" s="130"/>
      <c r="G859" s="130">
        <f t="shared" ref="G859:J859" si="1053">+G860</f>
        <v>2500000000</v>
      </c>
      <c r="H859" s="130">
        <f t="shared" si="1053"/>
        <v>350000000</v>
      </c>
      <c r="I859" s="130">
        <f t="shared" si="1053"/>
        <v>0</v>
      </c>
      <c r="J859" s="130">
        <f t="shared" si="1053"/>
        <v>0</v>
      </c>
      <c r="K859" s="78">
        <f t="shared" si="1038"/>
        <v>36792275000</v>
      </c>
      <c r="L859" s="130">
        <f t="shared" ref="L859:Q859" si="1054">+L860</f>
        <v>3988252929.8992</v>
      </c>
      <c r="M859" s="130">
        <f t="shared" si="1054"/>
        <v>1435424547.1784</v>
      </c>
      <c r="N859" s="130">
        <f t="shared" si="1054"/>
        <v>2280922055.9661999</v>
      </c>
      <c r="O859" s="130">
        <f t="shared" si="1054"/>
        <v>5926967505.5716</v>
      </c>
      <c r="P859" s="130">
        <f t="shared" si="1054"/>
        <v>960190429.14479995</v>
      </c>
      <c r="Q859" s="423">
        <f t="shared" si="1054"/>
        <v>2805968502.5432</v>
      </c>
      <c r="R859" s="78">
        <f t="shared" si="1036"/>
        <v>17397725970.303402</v>
      </c>
      <c r="S859" s="130">
        <f t="shared" ref="S859:Z859" si="1055">+S860</f>
        <v>4672527353.6308002</v>
      </c>
      <c r="T859" s="130">
        <f t="shared" si="1055"/>
        <v>0</v>
      </c>
      <c r="U859" s="130">
        <f t="shared" si="1055"/>
        <v>0</v>
      </c>
      <c r="V859" s="130">
        <f t="shared" si="1055"/>
        <v>0</v>
      </c>
      <c r="W859" s="130">
        <f t="shared" si="1055"/>
        <v>0</v>
      </c>
      <c r="X859" s="130">
        <f t="shared" si="1055"/>
        <v>0</v>
      </c>
      <c r="Y859" s="130">
        <f t="shared" si="1055"/>
        <v>0</v>
      </c>
      <c r="Z859" s="130">
        <f t="shared" si="1055"/>
        <v>0</v>
      </c>
      <c r="AA859" s="78">
        <f t="shared" si="1042"/>
        <v>4672527353.6308002</v>
      </c>
      <c r="AB859" s="78">
        <f t="shared" si="1025"/>
        <v>22070253323.934204</v>
      </c>
      <c r="AC859" s="174">
        <f t="shared" si="1026"/>
        <v>0.59986106659439253</v>
      </c>
    </row>
    <row r="860" spans="1:29" s="63" customFormat="1" ht="31.5" x14ac:dyDescent="0.2">
      <c r="A860" s="397">
        <v>1</v>
      </c>
      <c r="B860" s="81" t="s">
        <v>638</v>
      </c>
      <c r="C860" s="79" t="s">
        <v>1051</v>
      </c>
      <c r="D860" s="339">
        <f>+D861+D867</f>
        <v>34642275000</v>
      </c>
      <c r="E860" s="187">
        <f>SUM('ADICIONES  2021'!C860:I860)</f>
        <v>0</v>
      </c>
      <c r="F860" s="130"/>
      <c r="G860" s="130">
        <f t="shared" ref="G860:J860" si="1056">+G861+G867</f>
        <v>2500000000</v>
      </c>
      <c r="H860" s="130">
        <f t="shared" si="1056"/>
        <v>350000000</v>
      </c>
      <c r="I860" s="130">
        <f t="shared" si="1056"/>
        <v>0</v>
      </c>
      <c r="J860" s="130">
        <f t="shared" si="1056"/>
        <v>0</v>
      </c>
      <c r="K860" s="78">
        <f t="shared" si="1038"/>
        <v>36792275000</v>
      </c>
      <c r="L860" s="130">
        <f>+L861+L867</f>
        <v>3988252929.8992</v>
      </c>
      <c r="M860" s="130">
        <f t="shared" ref="M860:Q860" si="1057">+M861+M867</f>
        <v>1435424547.1784</v>
      </c>
      <c r="N860" s="130">
        <f t="shared" si="1057"/>
        <v>2280922055.9661999</v>
      </c>
      <c r="O860" s="130">
        <f t="shared" si="1057"/>
        <v>5926967505.5716</v>
      </c>
      <c r="P860" s="130">
        <f t="shared" si="1057"/>
        <v>960190429.14479995</v>
      </c>
      <c r="Q860" s="423">
        <f t="shared" si="1057"/>
        <v>2805968502.5432</v>
      </c>
      <c r="R860" s="78">
        <f t="shared" si="1036"/>
        <v>17397725970.303402</v>
      </c>
      <c r="S860" s="130">
        <f t="shared" ref="S860:Z860" si="1058">+S861+S867</f>
        <v>4672527353.6308002</v>
      </c>
      <c r="T860" s="130">
        <f t="shared" si="1058"/>
        <v>0</v>
      </c>
      <c r="U860" s="130">
        <f t="shared" si="1058"/>
        <v>0</v>
      </c>
      <c r="V860" s="130">
        <f t="shared" si="1058"/>
        <v>0</v>
      </c>
      <c r="W860" s="130">
        <f t="shared" si="1058"/>
        <v>0</v>
      </c>
      <c r="X860" s="130">
        <f t="shared" si="1058"/>
        <v>0</v>
      </c>
      <c r="Y860" s="130">
        <f t="shared" si="1058"/>
        <v>0</v>
      </c>
      <c r="Z860" s="130">
        <f t="shared" si="1058"/>
        <v>0</v>
      </c>
      <c r="AA860" s="78">
        <f t="shared" si="1037"/>
        <v>4672527353.6308002</v>
      </c>
      <c r="AB860" s="78">
        <f t="shared" si="1025"/>
        <v>22070253323.934204</v>
      </c>
      <c r="AC860" s="174">
        <f t="shared" si="1026"/>
        <v>0.59986106659439253</v>
      </c>
    </row>
    <row r="861" spans="1:29" s="63" customFormat="1" ht="31.5" x14ac:dyDescent="0.2">
      <c r="A861" s="397"/>
      <c r="B861" s="81" t="s">
        <v>1052</v>
      </c>
      <c r="C861" s="79" t="s">
        <v>974</v>
      </c>
      <c r="D861" s="339">
        <f>SUM(D862:D866)</f>
        <v>33841475000</v>
      </c>
      <c r="E861" s="187">
        <f>SUM('ADICIONES  2021'!C861:I861)</f>
        <v>0</v>
      </c>
      <c r="F861" s="130"/>
      <c r="G861" s="130">
        <f t="shared" ref="G861:J861" si="1059">SUM(G862:G866)</f>
        <v>2500000000</v>
      </c>
      <c r="H861" s="130">
        <f t="shared" si="1059"/>
        <v>350000000</v>
      </c>
      <c r="I861" s="130">
        <f t="shared" si="1059"/>
        <v>0</v>
      </c>
      <c r="J861" s="130">
        <f t="shared" si="1059"/>
        <v>0</v>
      </c>
      <c r="K861" s="78">
        <f t="shared" si="1038"/>
        <v>35991475000</v>
      </c>
      <c r="L861" s="130">
        <f>SUM(L862:L866)</f>
        <v>3891772526.6799998</v>
      </c>
      <c r="M861" s="130">
        <f t="shared" ref="M861:Q861" si="1060">SUM(M862:M866)</f>
        <v>1351207076.2408001</v>
      </c>
      <c r="N861" s="130">
        <f>SUM(N862:N866)</f>
        <v>2214813338.0910001</v>
      </c>
      <c r="O861" s="130">
        <f>SUM(O862:O866)</f>
        <v>5857273439.5299997</v>
      </c>
      <c r="P861" s="130">
        <f t="shared" si="1060"/>
        <v>888308654.38</v>
      </c>
      <c r="Q861" s="423">
        <f t="shared" si="1060"/>
        <v>2739134612.2199998</v>
      </c>
      <c r="R861" s="78">
        <f t="shared" si="1036"/>
        <v>16942509647.1418</v>
      </c>
      <c r="S861" s="130">
        <f t="shared" ref="S861:Z861" si="1061">SUM(S862:S866)</f>
        <v>4611729996.21</v>
      </c>
      <c r="T861" s="130">
        <f t="shared" si="1061"/>
        <v>0</v>
      </c>
      <c r="U861" s="130">
        <f t="shared" si="1061"/>
        <v>0</v>
      </c>
      <c r="V861" s="130">
        <f t="shared" si="1061"/>
        <v>0</v>
      </c>
      <c r="W861" s="130">
        <f t="shared" si="1061"/>
        <v>0</v>
      </c>
      <c r="X861" s="130">
        <f t="shared" si="1061"/>
        <v>0</v>
      </c>
      <c r="Y861" s="130">
        <f t="shared" si="1061"/>
        <v>0</v>
      </c>
      <c r="Z861" s="130">
        <f t="shared" si="1061"/>
        <v>0</v>
      </c>
      <c r="AA861" s="78">
        <f t="shared" si="1037"/>
        <v>4611729996.21</v>
      </c>
      <c r="AB861" s="78">
        <f t="shared" si="1025"/>
        <v>21554239643.351799</v>
      </c>
      <c r="AC861" s="174">
        <f t="shared" si="1026"/>
        <v>0.59887069488960365</v>
      </c>
    </row>
    <row r="862" spans="1:29" ht="14.25" x14ac:dyDescent="0.2">
      <c r="B862" s="76" t="s">
        <v>1053</v>
      </c>
      <c r="C862" s="77" t="s">
        <v>378</v>
      </c>
      <c r="D862" s="340">
        <v>2000000000</v>
      </c>
      <c r="E862" s="188">
        <f>SUM('ADICIONES  2021'!C862:I862)</f>
        <v>0</v>
      </c>
      <c r="F862" s="131"/>
      <c r="G862" s="131"/>
      <c r="H862" s="131"/>
      <c r="I862" s="131"/>
      <c r="J862" s="131"/>
      <c r="K862" s="128">
        <f t="shared" si="1038"/>
        <v>2000000000</v>
      </c>
      <c r="L862" s="131">
        <v>0</v>
      </c>
      <c r="M862" s="131">
        <v>0</v>
      </c>
      <c r="N862" s="131">
        <v>0</v>
      </c>
      <c r="O862" s="131">
        <v>0</v>
      </c>
      <c r="P862" s="131">
        <v>0</v>
      </c>
      <c r="Q862" s="424">
        <v>0</v>
      </c>
      <c r="R862" s="128">
        <f t="shared" si="1036"/>
        <v>0</v>
      </c>
      <c r="S862" s="131">
        <v>7033.94</v>
      </c>
      <c r="T862" s="131"/>
      <c r="U862" s="131"/>
      <c r="V862" s="131"/>
      <c r="W862" s="131"/>
      <c r="X862" s="131"/>
      <c r="Y862" s="131"/>
      <c r="Z862" s="131"/>
      <c r="AA862" s="128">
        <f t="shared" si="1037"/>
        <v>7033.94</v>
      </c>
      <c r="AB862" s="128">
        <f t="shared" si="1025"/>
        <v>7033.94</v>
      </c>
      <c r="AC862" s="175">
        <f t="shared" si="1026"/>
        <v>3.51697E-6</v>
      </c>
    </row>
    <row r="863" spans="1:29" ht="14.25" x14ac:dyDescent="0.2">
      <c r="B863" s="76" t="s">
        <v>1053</v>
      </c>
      <c r="C863" s="77" t="s">
        <v>378</v>
      </c>
      <c r="D863" s="340">
        <v>24000000000</v>
      </c>
      <c r="E863" s="188">
        <f>SUM('ADICIONES  2021'!C863:I863)</f>
        <v>0</v>
      </c>
      <c r="F863" s="131"/>
      <c r="G863" s="131"/>
      <c r="H863" s="131"/>
      <c r="I863" s="131"/>
      <c r="J863" s="131"/>
      <c r="K863" s="128">
        <f t="shared" si="1038"/>
        <v>24000000000</v>
      </c>
      <c r="L863" s="131">
        <v>2967361318</v>
      </c>
      <c r="M863" s="131">
        <v>630051962</v>
      </c>
      <c r="N863" s="131">
        <v>1475057266</v>
      </c>
      <c r="O863" s="131">
        <v>5289121912</v>
      </c>
      <c r="P863" s="131">
        <v>250256151</v>
      </c>
      <c r="Q863" s="424">
        <v>2112266333</v>
      </c>
      <c r="R863" s="128">
        <f t="shared" si="1036"/>
        <v>12724114942</v>
      </c>
      <c r="S863" s="131">
        <v>3894276917.27</v>
      </c>
      <c r="T863" s="131"/>
      <c r="U863" s="131"/>
      <c r="V863" s="131"/>
      <c r="W863" s="131"/>
      <c r="X863" s="131"/>
      <c r="Y863" s="131"/>
      <c r="Z863" s="131"/>
      <c r="AA863" s="128">
        <f t="shared" si="1037"/>
        <v>3894276917.27</v>
      </c>
      <c r="AB863" s="128">
        <f t="shared" si="1025"/>
        <v>16618391859.27</v>
      </c>
      <c r="AC863" s="175">
        <f t="shared" si="1026"/>
        <v>0.69243299413625004</v>
      </c>
    </row>
    <row r="864" spans="1:29" ht="28.5" x14ac:dyDescent="0.2">
      <c r="B864" s="76" t="s">
        <v>1054</v>
      </c>
      <c r="C864" s="77" t="s">
        <v>1863</v>
      </c>
      <c r="D864" s="340"/>
      <c r="E864" s="188">
        <f>SUM('ADICIONES  2021'!C864:I864)</f>
        <v>0</v>
      </c>
      <c r="F864" s="131"/>
      <c r="G864" s="131">
        <v>2500000000</v>
      </c>
      <c r="H864" s="131"/>
      <c r="I864" s="131"/>
      <c r="J864" s="131"/>
      <c r="K864" s="128">
        <f>+D864+E864-F864+G864-H864</f>
        <v>2500000000</v>
      </c>
      <c r="L864" s="131"/>
      <c r="M864" s="131"/>
      <c r="N864" s="131"/>
      <c r="O864" s="131"/>
      <c r="P864" s="131">
        <v>0</v>
      </c>
      <c r="Q864" s="424">
        <v>0</v>
      </c>
      <c r="R864" s="128">
        <f t="shared" si="1036"/>
        <v>0</v>
      </c>
      <c r="S864" s="131">
        <v>0</v>
      </c>
      <c r="T864" s="131"/>
      <c r="U864" s="131"/>
      <c r="V864" s="131"/>
      <c r="W864" s="131"/>
      <c r="X864" s="131"/>
      <c r="Y864" s="131"/>
      <c r="Z864" s="131"/>
      <c r="AA864" s="128">
        <f t="shared" ref="AA864" si="1062">SUM(S864:Z864)</f>
        <v>0</v>
      </c>
      <c r="AB864" s="128">
        <f t="shared" si="1025"/>
        <v>0</v>
      </c>
      <c r="AC864" s="175">
        <f t="shared" si="1026"/>
        <v>0</v>
      </c>
    </row>
    <row r="865" spans="1:29" ht="28.5" x14ac:dyDescent="0.2">
      <c r="B865" s="76" t="s">
        <v>1054</v>
      </c>
      <c r="C865" s="77" t="s">
        <v>1247</v>
      </c>
      <c r="D865" s="340">
        <v>1341475000</v>
      </c>
      <c r="E865" s="188">
        <f>SUM('ADICIONES  2021'!C865:I865)</f>
        <v>0</v>
      </c>
      <c r="F865" s="131"/>
      <c r="G865" s="131"/>
      <c r="H865" s="131"/>
      <c r="I865" s="131"/>
      <c r="J865" s="131"/>
      <c r="K865" s="128">
        <f t="shared" si="1038"/>
        <v>1341475000</v>
      </c>
      <c r="L865" s="131">
        <f>1211239200*11.665%</f>
        <v>141291052.67999998</v>
      </c>
      <c r="M865" s="131">
        <f>322089552*11.665%</f>
        <v>37571746.240799993</v>
      </c>
      <c r="N865" s="131">
        <f>1741614540*11.665%</f>
        <v>203159336.09099999</v>
      </c>
      <c r="O865" s="131">
        <f>21028200*11.665%</f>
        <v>2452939.5299999998</v>
      </c>
      <c r="P865" s="131">
        <f>468037200*11.665%</f>
        <v>54596539.379999995</v>
      </c>
      <c r="Q865" s="424">
        <f>723406800*11.665%</f>
        <v>84385403.219999999</v>
      </c>
      <c r="R865" s="128">
        <f t="shared" si="1036"/>
        <v>523457017.14179993</v>
      </c>
      <c r="S865" s="131">
        <f>1919940000*11.665%</f>
        <v>223961000.99999997</v>
      </c>
      <c r="T865" s="131"/>
      <c r="U865" s="131"/>
      <c r="V865" s="131"/>
      <c r="W865" s="131"/>
      <c r="X865" s="131"/>
      <c r="Y865" s="131"/>
      <c r="Z865" s="131"/>
      <c r="AA865" s="128">
        <f t="shared" si="1037"/>
        <v>223961000.99999997</v>
      </c>
      <c r="AB865" s="128">
        <f t="shared" si="1025"/>
        <v>747418018.14179993</v>
      </c>
      <c r="AC865" s="175">
        <f t="shared" si="1026"/>
        <v>0.55716134713043475</v>
      </c>
    </row>
    <row r="866" spans="1:29" ht="14.25" x14ac:dyDescent="0.2">
      <c r="B866" s="76" t="s">
        <v>1054</v>
      </c>
      <c r="C866" s="77" t="s">
        <v>1864</v>
      </c>
      <c r="D866" s="340">
        <v>6500000000</v>
      </c>
      <c r="E866" s="188">
        <f>SUM('ADICIONES  2021'!C866:I866)</f>
        <v>0</v>
      </c>
      <c r="F866" s="131"/>
      <c r="G866" s="131"/>
      <c r="H866" s="131">
        <v>350000000</v>
      </c>
      <c r="I866" s="131"/>
      <c r="J866" s="131"/>
      <c r="K866" s="128">
        <f t="shared" si="1038"/>
        <v>6150000000</v>
      </c>
      <c r="L866" s="131">
        <f>15060003000*5.2%</f>
        <v>783120156.00000012</v>
      </c>
      <c r="M866" s="131">
        <f>13145834000*5.2%</f>
        <v>683583368.00000012</v>
      </c>
      <c r="N866" s="131">
        <f>10319168000*5.2%</f>
        <v>536596736.00000006</v>
      </c>
      <c r="O866" s="131">
        <f>10878819000*5.2%</f>
        <v>565698588</v>
      </c>
      <c r="P866" s="131">
        <f>11220307000*5.2%</f>
        <v>583455964</v>
      </c>
      <c r="Q866" s="424">
        <f>10432363000*5.2%</f>
        <v>542482876</v>
      </c>
      <c r="R866" s="128">
        <f t="shared" si="1036"/>
        <v>3694937688</v>
      </c>
      <c r="S866" s="131">
        <f>9490097000*5.2%</f>
        <v>493485044.00000006</v>
      </c>
      <c r="T866" s="131"/>
      <c r="U866" s="131"/>
      <c r="V866" s="131"/>
      <c r="W866" s="131"/>
      <c r="X866" s="131"/>
      <c r="Y866" s="131"/>
      <c r="Z866" s="131"/>
      <c r="AA866" s="128">
        <f t="shared" si="1037"/>
        <v>493485044.00000006</v>
      </c>
      <c r="AB866" s="128">
        <f t="shared" si="1025"/>
        <v>4188422732</v>
      </c>
      <c r="AC866" s="175">
        <f t="shared" si="1026"/>
        <v>0.68104434666666669</v>
      </c>
    </row>
    <row r="867" spans="1:29" ht="25.5" x14ac:dyDescent="0.2">
      <c r="B867" s="81" t="s">
        <v>1056</v>
      </c>
      <c r="C867" s="273" t="s">
        <v>1865</v>
      </c>
      <c r="D867" s="340">
        <v>800800000</v>
      </c>
      <c r="E867" s="188">
        <f>SUM('ADICIONES  2021'!C867:I867)</f>
        <v>0</v>
      </c>
      <c r="F867" s="165"/>
      <c r="G867" s="131"/>
      <c r="H867" s="131"/>
      <c r="I867" s="131"/>
      <c r="J867" s="131"/>
      <c r="K867" s="128">
        <f t="shared" si="1038"/>
        <v>800800000</v>
      </c>
      <c r="L867" s="131">
        <f>15060003000*0.64064%</f>
        <v>96480403.2192</v>
      </c>
      <c r="M867" s="131">
        <f>13145834000*0.64064%</f>
        <v>84217470.937600002</v>
      </c>
      <c r="N867" s="131">
        <f>10319168000*0.64064%</f>
        <v>66108717.875199996</v>
      </c>
      <c r="O867" s="131">
        <f>10878819000*0.64064%</f>
        <v>69694066.041599989</v>
      </c>
      <c r="P867" s="131">
        <f>11220307000*0.64064%</f>
        <v>71881774.764799997</v>
      </c>
      <c r="Q867" s="424">
        <f>10432363000*0.64064%</f>
        <v>66833890.323199995</v>
      </c>
      <c r="R867" s="128">
        <f t="shared" si="1036"/>
        <v>455216323.16159999</v>
      </c>
      <c r="S867" s="131">
        <f>9490097000*0.64064%</f>
        <v>60797357.420799993</v>
      </c>
      <c r="T867" s="165"/>
      <c r="U867" s="165"/>
      <c r="V867" s="165"/>
      <c r="W867" s="165"/>
      <c r="X867" s="165"/>
      <c r="Y867" s="165"/>
      <c r="Z867" s="165"/>
      <c r="AA867" s="128">
        <f t="shared" si="1037"/>
        <v>60797357.420799993</v>
      </c>
      <c r="AB867" s="128">
        <f t="shared" si="1025"/>
        <v>516013680.58239996</v>
      </c>
      <c r="AC867" s="175">
        <f t="shared" si="1026"/>
        <v>0.64437272800000001</v>
      </c>
    </row>
    <row r="868" spans="1:29" s="63" customFormat="1" ht="31.5" x14ac:dyDescent="0.2">
      <c r="A868" s="397">
        <v>1</v>
      </c>
      <c r="B868" s="81" t="s">
        <v>1873</v>
      </c>
      <c r="C868" s="79" t="s">
        <v>1874</v>
      </c>
      <c r="D868" s="339">
        <f>+D869</f>
        <v>0</v>
      </c>
      <c r="E868" s="187">
        <f>SUM('ADICIONES  2021'!C868:I868)</f>
        <v>3452090283.4400001</v>
      </c>
      <c r="F868" s="339">
        <f t="shared" ref="F868:J870" si="1063">+F869</f>
        <v>0</v>
      </c>
      <c r="G868" s="339">
        <f t="shared" si="1063"/>
        <v>0</v>
      </c>
      <c r="H868" s="339">
        <f t="shared" si="1063"/>
        <v>0</v>
      </c>
      <c r="I868" s="339">
        <f t="shared" si="1063"/>
        <v>0</v>
      </c>
      <c r="J868" s="339">
        <f t="shared" si="1063"/>
        <v>0</v>
      </c>
      <c r="K868" s="78">
        <f t="shared" si="1038"/>
        <v>3452090283.4400001</v>
      </c>
      <c r="L868" s="339">
        <f t="shared" ref="L868:Q870" si="1064">+L869</f>
        <v>0</v>
      </c>
      <c r="M868" s="339">
        <f t="shared" si="1064"/>
        <v>0</v>
      </c>
      <c r="N868" s="339">
        <f t="shared" si="1064"/>
        <v>0</v>
      </c>
      <c r="O868" s="339">
        <f t="shared" si="1064"/>
        <v>0</v>
      </c>
      <c r="P868" s="339">
        <f t="shared" si="1064"/>
        <v>3452090283.4400001</v>
      </c>
      <c r="Q868" s="426">
        <f t="shared" si="1064"/>
        <v>0</v>
      </c>
      <c r="R868" s="78">
        <f t="shared" si="1036"/>
        <v>3452090283.4400001</v>
      </c>
      <c r="S868" s="339">
        <f t="shared" ref="S868:Z870" si="1065">+S869</f>
        <v>20746478.109999999</v>
      </c>
      <c r="T868" s="339">
        <f t="shared" si="1065"/>
        <v>0</v>
      </c>
      <c r="U868" s="339">
        <f t="shared" si="1065"/>
        <v>0</v>
      </c>
      <c r="V868" s="339">
        <f t="shared" si="1065"/>
        <v>0</v>
      </c>
      <c r="W868" s="339">
        <f t="shared" si="1065"/>
        <v>0</v>
      </c>
      <c r="X868" s="339">
        <f t="shared" si="1065"/>
        <v>0</v>
      </c>
      <c r="Y868" s="339">
        <f t="shared" si="1065"/>
        <v>0</v>
      </c>
      <c r="Z868" s="339">
        <f t="shared" si="1065"/>
        <v>0</v>
      </c>
      <c r="AA868" s="78">
        <f t="shared" ref="AA868:AA871" si="1066">SUM(S868:Z868)</f>
        <v>20746478.109999999</v>
      </c>
      <c r="AB868" s="78">
        <f t="shared" si="1025"/>
        <v>3472836761.5500002</v>
      </c>
      <c r="AC868" s="174">
        <v>0</v>
      </c>
    </row>
    <row r="869" spans="1:29" s="63" customFormat="1" ht="31.5" x14ac:dyDescent="0.2">
      <c r="A869" s="397"/>
      <c r="B869" s="81" t="s">
        <v>1875</v>
      </c>
      <c r="C869" s="79" t="s">
        <v>1876</v>
      </c>
      <c r="D869" s="339">
        <f>+D870</f>
        <v>0</v>
      </c>
      <c r="E869" s="187">
        <f>SUM('ADICIONES  2021'!C869:I869)</f>
        <v>3452090283.4400001</v>
      </c>
      <c r="F869" s="339">
        <f t="shared" si="1063"/>
        <v>0</v>
      </c>
      <c r="G869" s="339">
        <f t="shared" si="1063"/>
        <v>0</v>
      </c>
      <c r="H869" s="339">
        <f t="shared" si="1063"/>
        <v>0</v>
      </c>
      <c r="I869" s="339">
        <f t="shared" si="1063"/>
        <v>0</v>
      </c>
      <c r="J869" s="339">
        <f t="shared" si="1063"/>
        <v>0</v>
      </c>
      <c r="K869" s="78">
        <f t="shared" si="1038"/>
        <v>3452090283.4400001</v>
      </c>
      <c r="L869" s="339">
        <f t="shared" si="1064"/>
        <v>0</v>
      </c>
      <c r="M869" s="339">
        <f t="shared" si="1064"/>
        <v>0</v>
      </c>
      <c r="N869" s="339">
        <f t="shared" si="1064"/>
        <v>0</v>
      </c>
      <c r="O869" s="339">
        <f t="shared" si="1064"/>
        <v>0</v>
      </c>
      <c r="P869" s="339">
        <f t="shared" si="1064"/>
        <v>3452090283.4400001</v>
      </c>
      <c r="Q869" s="426">
        <f t="shared" si="1064"/>
        <v>0</v>
      </c>
      <c r="R869" s="78">
        <f t="shared" si="1036"/>
        <v>3452090283.4400001</v>
      </c>
      <c r="S869" s="339">
        <f t="shared" si="1065"/>
        <v>20746478.109999999</v>
      </c>
      <c r="T869" s="339">
        <f t="shared" si="1065"/>
        <v>0</v>
      </c>
      <c r="U869" s="339">
        <f t="shared" si="1065"/>
        <v>0</v>
      </c>
      <c r="V869" s="339">
        <f t="shared" si="1065"/>
        <v>0</v>
      </c>
      <c r="W869" s="339">
        <f t="shared" si="1065"/>
        <v>0</v>
      </c>
      <c r="X869" s="339">
        <f t="shared" si="1065"/>
        <v>0</v>
      </c>
      <c r="Y869" s="339">
        <f t="shared" si="1065"/>
        <v>0</v>
      </c>
      <c r="Z869" s="339">
        <f t="shared" si="1065"/>
        <v>0</v>
      </c>
      <c r="AA869" s="78">
        <f t="shared" si="1066"/>
        <v>20746478.109999999</v>
      </c>
      <c r="AB869" s="78">
        <f t="shared" si="1025"/>
        <v>3472836761.5500002</v>
      </c>
      <c r="AC869" s="174">
        <v>0</v>
      </c>
    </row>
    <row r="870" spans="1:29" s="63" customFormat="1" ht="31.5" x14ac:dyDescent="0.2">
      <c r="A870" s="397"/>
      <c r="B870" s="81" t="s">
        <v>1877</v>
      </c>
      <c r="C870" s="79" t="s">
        <v>1878</v>
      </c>
      <c r="D870" s="339">
        <f>+D871</f>
        <v>0</v>
      </c>
      <c r="E870" s="187">
        <f>SUM('ADICIONES  2021'!C870:I870)</f>
        <v>3452090283.4400001</v>
      </c>
      <c r="F870" s="339">
        <f t="shared" si="1063"/>
        <v>0</v>
      </c>
      <c r="G870" s="339">
        <f t="shared" si="1063"/>
        <v>0</v>
      </c>
      <c r="H870" s="339">
        <f t="shared" si="1063"/>
        <v>0</v>
      </c>
      <c r="I870" s="339">
        <f t="shared" si="1063"/>
        <v>0</v>
      </c>
      <c r="J870" s="339">
        <f t="shared" si="1063"/>
        <v>0</v>
      </c>
      <c r="K870" s="78">
        <f t="shared" si="1038"/>
        <v>3452090283.4400001</v>
      </c>
      <c r="L870" s="339">
        <f t="shared" si="1064"/>
        <v>0</v>
      </c>
      <c r="M870" s="339">
        <f t="shared" si="1064"/>
        <v>0</v>
      </c>
      <c r="N870" s="339">
        <f t="shared" si="1064"/>
        <v>0</v>
      </c>
      <c r="O870" s="339">
        <f t="shared" si="1064"/>
        <v>0</v>
      </c>
      <c r="P870" s="339">
        <f t="shared" si="1064"/>
        <v>3452090283.4400001</v>
      </c>
      <c r="Q870" s="426">
        <f t="shared" si="1064"/>
        <v>0</v>
      </c>
      <c r="R870" s="78">
        <f t="shared" si="1036"/>
        <v>3452090283.4400001</v>
      </c>
      <c r="S870" s="339">
        <f t="shared" si="1065"/>
        <v>20746478.109999999</v>
      </c>
      <c r="T870" s="339">
        <f t="shared" si="1065"/>
        <v>0</v>
      </c>
      <c r="U870" s="339">
        <f t="shared" si="1065"/>
        <v>0</v>
      </c>
      <c r="V870" s="339">
        <f t="shared" si="1065"/>
        <v>0</v>
      </c>
      <c r="W870" s="339">
        <f t="shared" si="1065"/>
        <v>0</v>
      </c>
      <c r="X870" s="339">
        <f t="shared" si="1065"/>
        <v>0</v>
      </c>
      <c r="Y870" s="339">
        <f t="shared" si="1065"/>
        <v>0</v>
      </c>
      <c r="Z870" s="339">
        <f t="shared" si="1065"/>
        <v>0</v>
      </c>
      <c r="AA870" s="78">
        <f t="shared" si="1066"/>
        <v>20746478.109999999</v>
      </c>
      <c r="AB870" s="78">
        <f t="shared" si="1025"/>
        <v>3472836761.5500002</v>
      </c>
      <c r="AC870" s="174">
        <v>0</v>
      </c>
    </row>
    <row r="871" spans="1:29" ht="18.75" x14ac:dyDescent="0.2">
      <c r="B871" s="76" t="s">
        <v>1879</v>
      </c>
      <c r="C871" s="77" t="s">
        <v>1880</v>
      </c>
      <c r="D871" s="340"/>
      <c r="E871" s="188">
        <f>SUM('ADICIONES  2021'!C871:I871)</f>
        <v>3452090283.4400001</v>
      </c>
      <c r="F871" s="389"/>
      <c r="G871" s="131"/>
      <c r="H871" s="131"/>
      <c r="I871" s="131"/>
      <c r="J871" s="131"/>
      <c r="K871" s="128">
        <f t="shared" si="1038"/>
        <v>3452090283.4400001</v>
      </c>
      <c r="L871" s="131"/>
      <c r="M871" s="131"/>
      <c r="N871" s="131"/>
      <c r="O871" s="131"/>
      <c r="P871" s="131">
        <v>3452090283.4400001</v>
      </c>
      <c r="Q871" s="425"/>
      <c r="R871" s="128">
        <f t="shared" si="1036"/>
        <v>3452090283.4400001</v>
      </c>
      <c r="S871" s="131">
        <v>20746478.109999999</v>
      </c>
      <c r="T871" s="389"/>
      <c r="U871" s="389"/>
      <c r="V871" s="389"/>
      <c r="W871" s="389"/>
      <c r="X871" s="389"/>
      <c r="Y871" s="389"/>
      <c r="Z871" s="389"/>
      <c r="AA871" s="128">
        <f t="shared" si="1066"/>
        <v>20746478.109999999</v>
      </c>
      <c r="AB871" s="128">
        <f t="shared" si="1025"/>
        <v>3472836761.5500002</v>
      </c>
      <c r="AC871" s="175">
        <v>0</v>
      </c>
    </row>
    <row r="872" spans="1:29" s="63" customFormat="1" ht="31.5" x14ac:dyDescent="0.2">
      <c r="A872" s="397">
        <v>1</v>
      </c>
      <c r="B872" s="81" t="s">
        <v>660</v>
      </c>
      <c r="C872" s="79" t="s">
        <v>1062</v>
      </c>
      <c r="D872" s="339">
        <f>+D873</f>
        <v>11767762710.66</v>
      </c>
      <c r="E872" s="187">
        <f>SUM('ADICIONES  2021'!C872:I872)</f>
        <v>0</v>
      </c>
      <c r="F872" s="130"/>
      <c r="G872" s="130">
        <f t="shared" ref="G872:J872" si="1067">+G873</f>
        <v>0</v>
      </c>
      <c r="H872" s="130">
        <f t="shared" si="1067"/>
        <v>0</v>
      </c>
      <c r="I872" s="130">
        <f t="shared" si="1067"/>
        <v>0</v>
      </c>
      <c r="J872" s="130">
        <f t="shared" si="1067"/>
        <v>0</v>
      </c>
      <c r="K872" s="78">
        <f t="shared" si="1038"/>
        <v>11767762710.66</v>
      </c>
      <c r="L872" s="130">
        <f t="shared" ref="L872:Q872" si="1068">+L873</f>
        <v>1188223792</v>
      </c>
      <c r="M872" s="130">
        <f t="shared" si="1068"/>
        <v>875505974.48000002</v>
      </c>
      <c r="N872" s="130">
        <f t="shared" si="1068"/>
        <v>930737892</v>
      </c>
      <c r="O872" s="130">
        <f t="shared" si="1068"/>
        <v>997180180</v>
      </c>
      <c r="P872" s="130">
        <f t="shared" si="1068"/>
        <v>1010265143</v>
      </c>
      <c r="Q872" s="423">
        <f t="shared" si="1068"/>
        <v>838164260</v>
      </c>
      <c r="R872" s="78">
        <f t="shared" si="1036"/>
        <v>5840077241.4799995</v>
      </c>
      <c r="S872" s="130">
        <f t="shared" ref="S872:Z872" si="1069">+S873</f>
        <v>901384028.29999995</v>
      </c>
      <c r="T872" s="130">
        <f t="shared" si="1069"/>
        <v>0</v>
      </c>
      <c r="U872" s="130">
        <f t="shared" si="1069"/>
        <v>0</v>
      </c>
      <c r="V872" s="130">
        <f t="shared" si="1069"/>
        <v>0</v>
      </c>
      <c r="W872" s="130">
        <f t="shared" si="1069"/>
        <v>0</v>
      </c>
      <c r="X872" s="130">
        <f t="shared" si="1069"/>
        <v>0</v>
      </c>
      <c r="Y872" s="130">
        <f t="shared" si="1069"/>
        <v>0</v>
      </c>
      <c r="Z872" s="130">
        <f t="shared" si="1069"/>
        <v>0</v>
      </c>
      <c r="AA872" s="78">
        <f t="shared" si="1037"/>
        <v>901384028.29999995</v>
      </c>
      <c r="AB872" s="78">
        <f t="shared" si="1025"/>
        <v>6741461269.7799997</v>
      </c>
      <c r="AC872" s="174">
        <f t="shared" si="1026"/>
        <v>0.57287535749451746</v>
      </c>
    </row>
    <row r="873" spans="1:29" s="63" customFormat="1" ht="31.5" x14ac:dyDescent="0.2">
      <c r="A873" s="397"/>
      <c r="B873" s="81" t="s">
        <v>1063</v>
      </c>
      <c r="C873" s="79" t="s">
        <v>1064</v>
      </c>
      <c r="D873" s="339">
        <f>+D874+D879+D884</f>
        <v>11767762710.66</v>
      </c>
      <c r="E873" s="187">
        <f>SUM('ADICIONES  2021'!C873:I873)</f>
        <v>0</v>
      </c>
      <c r="F873" s="130"/>
      <c r="G873" s="130">
        <f t="shared" ref="G873:J873" si="1070">+G874+G879+G884</f>
        <v>0</v>
      </c>
      <c r="H873" s="130">
        <f t="shared" si="1070"/>
        <v>0</v>
      </c>
      <c r="I873" s="130">
        <f t="shared" si="1070"/>
        <v>0</v>
      </c>
      <c r="J873" s="130">
        <f t="shared" si="1070"/>
        <v>0</v>
      </c>
      <c r="K873" s="78">
        <f t="shared" si="1038"/>
        <v>11767762710.66</v>
      </c>
      <c r="L873" s="130">
        <f t="shared" ref="L873:Q873" si="1071">+L874+L879+L884</f>
        <v>1188223792</v>
      </c>
      <c r="M873" s="130">
        <f t="shared" si="1071"/>
        <v>875505974.48000002</v>
      </c>
      <c r="N873" s="130">
        <f t="shared" si="1071"/>
        <v>930737892</v>
      </c>
      <c r="O873" s="130">
        <f t="shared" si="1071"/>
        <v>997180180</v>
      </c>
      <c r="P873" s="130">
        <f t="shared" si="1071"/>
        <v>1010265143</v>
      </c>
      <c r="Q873" s="423">
        <f t="shared" si="1071"/>
        <v>838164260</v>
      </c>
      <c r="R873" s="78">
        <f t="shared" si="1036"/>
        <v>5840077241.4799995</v>
      </c>
      <c r="S873" s="130">
        <f t="shared" ref="S873:Z873" si="1072">+S874+S879+S884</f>
        <v>901384028.29999995</v>
      </c>
      <c r="T873" s="130">
        <f t="shared" si="1072"/>
        <v>0</v>
      </c>
      <c r="U873" s="130">
        <f t="shared" si="1072"/>
        <v>0</v>
      </c>
      <c r="V873" s="130">
        <f t="shared" si="1072"/>
        <v>0</v>
      </c>
      <c r="W873" s="130">
        <f t="shared" si="1072"/>
        <v>0</v>
      </c>
      <c r="X873" s="130">
        <f t="shared" si="1072"/>
        <v>0</v>
      </c>
      <c r="Y873" s="130">
        <f t="shared" si="1072"/>
        <v>0</v>
      </c>
      <c r="Z873" s="130">
        <f t="shared" si="1072"/>
        <v>0</v>
      </c>
      <c r="AA873" s="78">
        <f t="shared" si="1037"/>
        <v>901384028.29999995</v>
      </c>
      <c r="AB873" s="78">
        <f t="shared" si="1025"/>
        <v>6741461269.7799997</v>
      </c>
      <c r="AC873" s="174">
        <f t="shared" si="1026"/>
        <v>0.57287535749451746</v>
      </c>
    </row>
    <row r="874" spans="1:29" s="63" customFormat="1" ht="31.5" x14ac:dyDescent="0.2">
      <c r="A874" s="397"/>
      <c r="B874" s="81" t="s">
        <v>1065</v>
      </c>
      <c r="C874" s="79" t="s">
        <v>1066</v>
      </c>
      <c r="D874" s="339">
        <f>SUM(D875:D877)</f>
        <v>2950524336.0100002</v>
      </c>
      <c r="E874" s="187">
        <f>SUM('ADICIONES  2021'!C874:I874)</f>
        <v>0</v>
      </c>
      <c r="F874" s="130"/>
      <c r="G874" s="130">
        <f t="shared" ref="G874:J874" si="1073">SUM(G875:G877)</f>
        <v>0</v>
      </c>
      <c r="H874" s="130">
        <f t="shared" si="1073"/>
        <v>0</v>
      </c>
      <c r="I874" s="130">
        <f t="shared" si="1073"/>
        <v>0</v>
      </c>
      <c r="J874" s="130">
        <f t="shared" si="1073"/>
        <v>0</v>
      </c>
      <c r="K874" s="127">
        <f t="shared" si="1038"/>
        <v>2950524336.0100002</v>
      </c>
      <c r="L874" s="130">
        <f t="shared" ref="L874:Q874" si="1074">SUM(L875:L877)</f>
        <v>341848800</v>
      </c>
      <c r="M874" s="130">
        <f t="shared" si="1074"/>
        <v>202479000</v>
      </c>
      <c r="N874" s="130">
        <f t="shared" si="1074"/>
        <v>237078000</v>
      </c>
      <c r="O874" s="130">
        <f t="shared" si="1074"/>
        <v>247500000</v>
      </c>
      <c r="P874" s="130">
        <f t="shared" si="1074"/>
        <v>254242200</v>
      </c>
      <c r="Q874" s="423">
        <f t="shared" si="1074"/>
        <v>167627400</v>
      </c>
      <c r="R874" s="127">
        <f t="shared" si="1036"/>
        <v>1450775400</v>
      </c>
      <c r="S874" s="130">
        <f t="shared" ref="S874:Z874" si="1075">SUM(S875:S877)</f>
        <v>231008777.87</v>
      </c>
      <c r="T874" s="130">
        <f t="shared" si="1075"/>
        <v>0</v>
      </c>
      <c r="U874" s="130">
        <f t="shared" si="1075"/>
        <v>0</v>
      </c>
      <c r="V874" s="130">
        <f t="shared" si="1075"/>
        <v>0</v>
      </c>
      <c r="W874" s="130">
        <f t="shared" si="1075"/>
        <v>0</v>
      </c>
      <c r="X874" s="130">
        <f t="shared" si="1075"/>
        <v>0</v>
      </c>
      <c r="Y874" s="130">
        <f t="shared" si="1075"/>
        <v>0</v>
      </c>
      <c r="Z874" s="130">
        <f t="shared" si="1075"/>
        <v>0</v>
      </c>
      <c r="AA874" s="127">
        <f t="shared" si="1037"/>
        <v>231008777.87</v>
      </c>
      <c r="AB874" s="127">
        <f t="shared" si="1025"/>
        <v>1681784177.8699999</v>
      </c>
      <c r="AC874" s="176">
        <f t="shared" si="1026"/>
        <v>0.56999501998491564</v>
      </c>
    </row>
    <row r="875" spans="1:29" ht="28.5" x14ac:dyDescent="0.2">
      <c r="B875" s="76" t="s">
        <v>1067</v>
      </c>
      <c r="C875" s="77" t="s">
        <v>375</v>
      </c>
      <c r="D875" s="340">
        <v>737631084</v>
      </c>
      <c r="E875" s="188">
        <f>SUM('ADICIONES  2021'!C875:I875)</f>
        <v>0</v>
      </c>
      <c r="F875" s="131"/>
      <c r="G875" s="131"/>
      <c r="H875" s="131"/>
      <c r="I875" s="131"/>
      <c r="J875" s="131"/>
      <c r="K875" s="128">
        <f t="shared" si="1038"/>
        <v>737631084</v>
      </c>
      <c r="L875" s="131">
        <v>85462200</v>
      </c>
      <c r="M875" s="131">
        <v>50619750</v>
      </c>
      <c r="N875" s="131">
        <v>59269500</v>
      </c>
      <c r="O875" s="131">
        <v>61875000</v>
      </c>
      <c r="P875" s="131">
        <v>63560550</v>
      </c>
      <c r="Q875" s="424">
        <v>41906850</v>
      </c>
      <c r="R875" s="128">
        <f t="shared" si="1036"/>
        <v>362693850</v>
      </c>
      <c r="S875" s="131">
        <v>57248400</v>
      </c>
      <c r="T875" s="131"/>
      <c r="U875" s="131"/>
      <c r="V875" s="131"/>
      <c r="W875" s="131"/>
      <c r="X875" s="131"/>
      <c r="Y875" s="131"/>
      <c r="Z875" s="131"/>
      <c r="AA875" s="128">
        <f t="shared" si="1037"/>
        <v>57248400</v>
      </c>
      <c r="AB875" s="128">
        <f t="shared" si="1025"/>
        <v>419942250</v>
      </c>
      <c r="AC875" s="175">
        <f t="shared" si="1026"/>
        <v>0.56931203023976684</v>
      </c>
    </row>
    <row r="876" spans="1:29" ht="28.5" x14ac:dyDescent="0.2">
      <c r="B876" s="76" t="s">
        <v>1068</v>
      </c>
      <c r="C876" s="77" t="s">
        <v>375</v>
      </c>
      <c r="D876" s="340">
        <v>206536703.52000001</v>
      </c>
      <c r="E876" s="188">
        <f>SUM('ADICIONES  2021'!C876:I876)</f>
        <v>0</v>
      </c>
      <c r="F876" s="131"/>
      <c r="G876" s="131"/>
      <c r="H876" s="131"/>
      <c r="I876" s="131"/>
      <c r="J876" s="131"/>
      <c r="K876" s="128">
        <f t="shared" si="1038"/>
        <v>206536703.52000001</v>
      </c>
      <c r="L876" s="131">
        <v>23929416</v>
      </c>
      <c r="M876" s="131">
        <v>14173530</v>
      </c>
      <c r="N876" s="131">
        <v>16595460</v>
      </c>
      <c r="O876" s="131">
        <v>17325000</v>
      </c>
      <c r="P876" s="131">
        <v>17796954</v>
      </c>
      <c r="Q876" s="424">
        <v>11733918</v>
      </c>
      <c r="R876" s="128">
        <f t="shared" si="1036"/>
        <v>101554278</v>
      </c>
      <c r="S876" s="131">
        <v>16029552</v>
      </c>
      <c r="T876" s="131"/>
      <c r="U876" s="131"/>
      <c r="V876" s="131"/>
      <c r="W876" s="131"/>
      <c r="X876" s="131"/>
      <c r="Y876" s="131"/>
      <c r="Z876" s="131"/>
      <c r="AA876" s="128">
        <f t="shared" si="1037"/>
        <v>16029552</v>
      </c>
      <c r="AB876" s="128">
        <f t="shared" si="1025"/>
        <v>117583830</v>
      </c>
      <c r="AC876" s="175">
        <f t="shared" si="1026"/>
        <v>0.56931203023976684</v>
      </c>
    </row>
    <row r="877" spans="1:29" s="63" customFormat="1" ht="31.5" x14ac:dyDescent="0.2">
      <c r="A877" s="397"/>
      <c r="B877" s="81" t="s">
        <v>1069</v>
      </c>
      <c r="C877" s="79" t="s">
        <v>377</v>
      </c>
      <c r="D877" s="339">
        <f>+D878</f>
        <v>2006356548.49</v>
      </c>
      <c r="E877" s="187">
        <f>SUM('ADICIONES  2021'!C877:I877)</f>
        <v>0</v>
      </c>
      <c r="F877" s="130"/>
      <c r="G877" s="130">
        <f t="shared" ref="G877:J877" si="1076">+G878</f>
        <v>0</v>
      </c>
      <c r="H877" s="130">
        <f t="shared" si="1076"/>
        <v>0</v>
      </c>
      <c r="I877" s="130">
        <f t="shared" si="1076"/>
        <v>0</v>
      </c>
      <c r="J877" s="130">
        <f t="shared" si="1076"/>
        <v>0</v>
      </c>
      <c r="K877" s="78">
        <f t="shared" si="1038"/>
        <v>2006356548.49</v>
      </c>
      <c r="L877" s="130">
        <f t="shared" ref="L877:Q877" si="1077">+L878</f>
        <v>232457184</v>
      </c>
      <c r="M877" s="130">
        <f t="shared" si="1077"/>
        <v>137685720</v>
      </c>
      <c r="N877" s="130">
        <f t="shared" si="1077"/>
        <v>161213040</v>
      </c>
      <c r="O877" s="130">
        <f t="shared" si="1077"/>
        <v>168300000</v>
      </c>
      <c r="P877" s="130">
        <f t="shared" si="1077"/>
        <v>172884696</v>
      </c>
      <c r="Q877" s="423">
        <f t="shared" si="1077"/>
        <v>113986632</v>
      </c>
      <c r="R877" s="78">
        <f t="shared" si="1036"/>
        <v>986527272</v>
      </c>
      <c r="S877" s="130">
        <f t="shared" ref="S877:Z877" si="1078">+S878</f>
        <v>157730825.87</v>
      </c>
      <c r="T877" s="130">
        <f t="shared" si="1078"/>
        <v>0</v>
      </c>
      <c r="U877" s="130">
        <f t="shared" si="1078"/>
        <v>0</v>
      </c>
      <c r="V877" s="130">
        <f t="shared" si="1078"/>
        <v>0</v>
      </c>
      <c r="W877" s="130">
        <f t="shared" si="1078"/>
        <v>0</v>
      </c>
      <c r="X877" s="130">
        <f t="shared" si="1078"/>
        <v>0</v>
      </c>
      <c r="Y877" s="130">
        <f t="shared" si="1078"/>
        <v>0</v>
      </c>
      <c r="Z877" s="130">
        <f t="shared" si="1078"/>
        <v>0</v>
      </c>
      <c r="AA877" s="78">
        <f t="shared" si="1037"/>
        <v>157730825.87</v>
      </c>
      <c r="AB877" s="78">
        <f t="shared" si="1025"/>
        <v>1144258097.8699999</v>
      </c>
      <c r="AC877" s="174">
        <f t="shared" si="1026"/>
        <v>0.57031642692380757</v>
      </c>
    </row>
    <row r="878" spans="1:29" ht="14.25" x14ac:dyDescent="0.2">
      <c r="B878" s="76" t="s">
        <v>1070</v>
      </c>
      <c r="C878" s="77" t="s">
        <v>378</v>
      </c>
      <c r="D878" s="340">
        <v>2006356548.49</v>
      </c>
      <c r="E878" s="188">
        <f>SUM('ADICIONES  2021'!C878:I878)</f>
        <v>0</v>
      </c>
      <c r="F878" s="131"/>
      <c r="G878" s="131"/>
      <c r="H878" s="131"/>
      <c r="I878" s="131"/>
      <c r="J878" s="131"/>
      <c r="K878" s="128">
        <f t="shared" si="1038"/>
        <v>2006356548.49</v>
      </c>
      <c r="L878" s="131">
        <v>232457184</v>
      </c>
      <c r="M878" s="131">
        <v>137685720</v>
      </c>
      <c r="N878" s="131">
        <v>161213040</v>
      </c>
      <c r="O878" s="131">
        <v>168300000</v>
      </c>
      <c r="P878" s="131">
        <v>172884696</v>
      </c>
      <c r="Q878" s="424">
        <v>113986632</v>
      </c>
      <c r="R878" s="128">
        <f t="shared" si="1036"/>
        <v>986527272</v>
      </c>
      <c r="S878" s="131">
        <v>157730825.87</v>
      </c>
      <c r="T878" s="131"/>
      <c r="U878" s="131"/>
      <c r="V878" s="131"/>
      <c r="W878" s="131"/>
      <c r="X878" s="131"/>
      <c r="Y878" s="131"/>
      <c r="Z878" s="131"/>
      <c r="AA878" s="128">
        <f t="shared" si="1037"/>
        <v>157730825.87</v>
      </c>
      <c r="AB878" s="128">
        <f t="shared" si="1025"/>
        <v>1144258097.8699999</v>
      </c>
      <c r="AC878" s="175">
        <f t="shared" si="1026"/>
        <v>0.57031642692380757</v>
      </c>
    </row>
    <row r="879" spans="1:29" s="63" customFormat="1" ht="47.25" x14ac:dyDescent="0.2">
      <c r="A879" s="397"/>
      <c r="B879" s="81" t="s">
        <v>1071</v>
      </c>
      <c r="C879" s="79" t="s">
        <v>1072</v>
      </c>
      <c r="D879" s="339">
        <f>SUM(D880:D882)</f>
        <v>8618601363.8400002</v>
      </c>
      <c r="E879" s="187">
        <f>SUM('ADICIONES  2021'!C879:I879)</f>
        <v>0</v>
      </c>
      <c r="F879" s="130"/>
      <c r="G879" s="130">
        <f t="shared" ref="G879:J879" si="1079">SUM(G880:G882)</f>
        <v>0</v>
      </c>
      <c r="H879" s="130">
        <f t="shared" si="1079"/>
        <v>0</v>
      </c>
      <c r="I879" s="130">
        <f t="shared" si="1079"/>
        <v>0</v>
      </c>
      <c r="J879" s="130">
        <f t="shared" si="1079"/>
        <v>0</v>
      </c>
      <c r="K879" s="78">
        <f t="shared" si="1038"/>
        <v>8618601363.8400002</v>
      </c>
      <c r="L879" s="130">
        <f t="shared" ref="L879:Q879" si="1080">SUM(L880:L882)</f>
        <v>839952212</v>
      </c>
      <c r="M879" s="130">
        <f t="shared" si="1080"/>
        <v>660962981</v>
      </c>
      <c r="N879" s="130">
        <f t="shared" si="1080"/>
        <v>683245292</v>
      </c>
      <c r="O879" s="130">
        <f t="shared" si="1080"/>
        <v>728057222</v>
      </c>
      <c r="P879" s="130">
        <f t="shared" si="1080"/>
        <v>740807793</v>
      </c>
      <c r="Q879" s="423">
        <f t="shared" si="1080"/>
        <v>657534255</v>
      </c>
      <c r="R879" s="78">
        <f t="shared" si="1036"/>
        <v>4310559755</v>
      </c>
      <c r="S879" s="130">
        <f t="shared" ref="S879:Z879" si="1081">SUM(S880:S882)</f>
        <v>627775227.76999998</v>
      </c>
      <c r="T879" s="130">
        <f t="shared" si="1081"/>
        <v>0</v>
      </c>
      <c r="U879" s="130">
        <f t="shared" si="1081"/>
        <v>0</v>
      </c>
      <c r="V879" s="130">
        <f t="shared" si="1081"/>
        <v>0</v>
      </c>
      <c r="W879" s="130">
        <f t="shared" si="1081"/>
        <v>0</v>
      </c>
      <c r="X879" s="130">
        <f t="shared" si="1081"/>
        <v>0</v>
      </c>
      <c r="Y879" s="130">
        <f t="shared" si="1081"/>
        <v>0</v>
      </c>
      <c r="Z879" s="130">
        <f t="shared" si="1081"/>
        <v>0</v>
      </c>
      <c r="AA879" s="78">
        <f t="shared" si="1037"/>
        <v>627775227.76999998</v>
      </c>
      <c r="AB879" s="78">
        <f t="shared" si="1025"/>
        <v>4938334982.7700005</v>
      </c>
      <c r="AC879" s="174">
        <f t="shared" si="1026"/>
        <v>0.5729856590756317</v>
      </c>
    </row>
    <row r="880" spans="1:29" ht="28.5" x14ac:dyDescent="0.2">
      <c r="B880" s="76" t="s">
        <v>1073</v>
      </c>
      <c r="C880" s="77" t="s">
        <v>375</v>
      </c>
      <c r="D880" s="340">
        <v>2154650340.96</v>
      </c>
      <c r="E880" s="188">
        <f>SUM('ADICIONES  2021'!C880:I880)</f>
        <v>0</v>
      </c>
      <c r="F880" s="131"/>
      <c r="G880" s="131"/>
      <c r="H880" s="131"/>
      <c r="I880" s="131"/>
      <c r="J880" s="131"/>
      <c r="K880" s="128">
        <f t="shared" si="1038"/>
        <v>2154650340.96</v>
      </c>
      <c r="L880" s="131">
        <v>209988053</v>
      </c>
      <c r="M880" s="131">
        <v>165240745</v>
      </c>
      <c r="N880" s="131">
        <v>170811323</v>
      </c>
      <c r="O880" s="131">
        <v>182014305</v>
      </c>
      <c r="P880" s="131">
        <v>185201948</v>
      </c>
      <c r="Q880" s="424">
        <v>164383564</v>
      </c>
      <c r="R880" s="128">
        <f t="shared" si="1036"/>
        <v>1077639938</v>
      </c>
      <c r="S880" s="131">
        <v>155224569</v>
      </c>
      <c r="T880" s="131"/>
      <c r="U880" s="131"/>
      <c r="V880" s="131"/>
      <c r="W880" s="131"/>
      <c r="X880" s="131"/>
      <c r="Y880" s="131"/>
      <c r="Z880" s="131"/>
      <c r="AA880" s="128">
        <f t="shared" si="1037"/>
        <v>155224569</v>
      </c>
      <c r="AB880" s="128">
        <f t="shared" si="1025"/>
        <v>1232864507</v>
      </c>
      <c r="AC880" s="175">
        <f t="shared" si="1026"/>
        <v>0.57218773903272846</v>
      </c>
    </row>
    <row r="881" spans="1:29" ht="28.5" x14ac:dyDescent="0.2">
      <c r="B881" s="76" t="s">
        <v>1074</v>
      </c>
      <c r="C881" s="77" t="s">
        <v>375</v>
      </c>
      <c r="D881" s="340">
        <v>603302095.47000003</v>
      </c>
      <c r="E881" s="188">
        <f>SUM('ADICIONES  2021'!C881:I881)</f>
        <v>0</v>
      </c>
      <c r="F881" s="131"/>
      <c r="G881" s="131"/>
      <c r="H881" s="131"/>
      <c r="I881" s="131"/>
      <c r="J881" s="131"/>
      <c r="K881" s="128">
        <f t="shared" si="1038"/>
        <v>603302095.47000003</v>
      </c>
      <c r="L881" s="131">
        <v>58796655</v>
      </c>
      <c r="M881" s="131">
        <v>46267409</v>
      </c>
      <c r="N881" s="131">
        <v>47827170</v>
      </c>
      <c r="O881" s="131">
        <v>50964006</v>
      </c>
      <c r="P881" s="131">
        <v>51856546</v>
      </c>
      <c r="Q881" s="424">
        <v>46027398</v>
      </c>
      <c r="R881" s="128">
        <f t="shared" si="1036"/>
        <v>301739184</v>
      </c>
      <c r="S881" s="131">
        <v>43462879</v>
      </c>
      <c r="T881" s="131"/>
      <c r="U881" s="131"/>
      <c r="V881" s="131"/>
      <c r="W881" s="131"/>
      <c r="X881" s="131"/>
      <c r="Y881" s="131"/>
      <c r="Z881" s="131"/>
      <c r="AA881" s="128">
        <f t="shared" si="1037"/>
        <v>43462879</v>
      </c>
      <c r="AB881" s="128">
        <f t="shared" si="1025"/>
        <v>345202063</v>
      </c>
      <c r="AC881" s="175">
        <f t="shared" si="1026"/>
        <v>0.57218774075543655</v>
      </c>
    </row>
    <row r="882" spans="1:29" s="63" customFormat="1" ht="31.5" x14ac:dyDescent="0.2">
      <c r="A882" s="397"/>
      <c r="B882" s="81" t="s">
        <v>1075</v>
      </c>
      <c r="C882" s="79" t="s">
        <v>377</v>
      </c>
      <c r="D882" s="339">
        <f>+D883</f>
        <v>5860648927.4099998</v>
      </c>
      <c r="E882" s="187">
        <f>SUM('ADICIONES  2021'!C882:I882)</f>
        <v>0</v>
      </c>
      <c r="F882" s="130"/>
      <c r="G882" s="130">
        <f t="shared" ref="G882:J882" si="1082">+G883</f>
        <v>0</v>
      </c>
      <c r="H882" s="130">
        <f t="shared" si="1082"/>
        <v>0</v>
      </c>
      <c r="I882" s="130">
        <f t="shared" si="1082"/>
        <v>0</v>
      </c>
      <c r="J882" s="130">
        <f t="shared" si="1082"/>
        <v>0</v>
      </c>
      <c r="K882" s="78">
        <f t="shared" si="1038"/>
        <v>5860648927.4099998</v>
      </c>
      <c r="L882" s="130">
        <f t="shared" ref="L882:Q882" si="1083">+L883</f>
        <v>571167504</v>
      </c>
      <c r="M882" s="130">
        <f t="shared" si="1083"/>
        <v>449454827</v>
      </c>
      <c r="N882" s="130">
        <f t="shared" si="1083"/>
        <v>464606799</v>
      </c>
      <c r="O882" s="130">
        <f t="shared" si="1083"/>
        <v>495078911</v>
      </c>
      <c r="P882" s="130">
        <f t="shared" si="1083"/>
        <v>503749299</v>
      </c>
      <c r="Q882" s="423">
        <f t="shared" si="1083"/>
        <v>447123293</v>
      </c>
      <c r="R882" s="78">
        <f t="shared" si="1036"/>
        <v>2931180633</v>
      </c>
      <c r="S882" s="130">
        <f t="shared" ref="S882:Z882" si="1084">+S883</f>
        <v>429087779.76999998</v>
      </c>
      <c r="T882" s="130">
        <f t="shared" si="1084"/>
        <v>0</v>
      </c>
      <c r="U882" s="130">
        <f t="shared" si="1084"/>
        <v>0</v>
      </c>
      <c r="V882" s="130">
        <f t="shared" si="1084"/>
        <v>0</v>
      </c>
      <c r="W882" s="130">
        <f t="shared" si="1084"/>
        <v>0</v>
      </c>
      <c r="X882" s="130">
        <f t="shared" si="1084"/>
        <v>0</v>
      </c>
      <c r="Y882" s="130">
        <f t="shared" si="1084"/>
        <v>0</v>
      </c>
      <c r="Z882" s="130">
        <f t="shared" si="1084"/>
        <v>0</v>
      </c>
      <c r="AA882" s="78">
        <f t="shared" si="1037"/>
        <v>429087779.76999998</v>
      </c>
      <c r="AB882" s="78">
        <f t="shared" si="1025"/>
        <v>3360268412.77</v>
      </c>
      <c r="AC882" s="174">
        <f t="shared" si="1026"/>
        <v>0.57336115068318982</v>
      </c>
    </row>
    <row r="883" spans="1:29" x14ac:dyDescent="0.2">
      <c r="B883" s="76" t="s">
        <v>1076</v>
      </c>
      <c r="C883" s="77" t="s">
        <v>378</v>
      </c>
      <c r="D883" s="340">
        <v>5860648927.4099998</v>
      </c>
      <c r="E883" s="188">
        <f>SUM('ADICIONES  2021'!C883:I883)</f>
        <v>0</v>
      </c>
      <c r="F883" s="132"/>
      <c r="G883" s="131"/>
      <c r="H883" s="131"/>
      <c r="I883" s="131"/>
      <c r="J883" s="131"/>
      <c r="K883" s="128">
        <f t="shared" si="1038"/>
        <v>5860648927.4099998</v>
      </c>
      <c r="L883" s="131">
        <v>571167504</v>
      </c>
      <c r="M883" s="131">
        <v>449454827</v>
      </c>
      <c r="N883" s="132">
        <v>464606799</v>
      </c>
      <c r="O883" s="132">
        <v>495078911</v>
      </c>
      <c r="P883" s="132">
        <v>503749299</v>
      </c>
      <c r="Q883" s="424">
        <v>447123293</v>
      </c>
      <c r="R883" s="128">
        <f t="shared" si="1036"/>
        <v>2931180633</v>
      </c>
      <c r="S883" s="132">
        <v>429087779.76999998</v>
      </c>
      <c r="T883" s="132"/>
      <c r="U883" s="132"/>
      <c r="V883" s="132"/>
      <c r="W883" s="132"/>
      <c r="X883" s="132"/>
      <c r="Y883" s="132"/>
      <c r="Z883" s="132"/>
      <c r="AA883" s="128">
        <f t="shared" si="1037"/>
        <v>429087779.76999998</v>
      </c>
      <c r="AB883" s="128">
        <f t="shared" si="1025"/>
        <v>3360268412.77</v>
      </c>
      <c r="AC883" s="175">
        <f t="shared" si="1026"/>
        <v>0.57336115068318982</v>
      </c>
    </row>
    <row r="884" spans="1:29" s="63" customFormat="1" ht="31.5" x14ac:dyDescent="0.2">
      <c r="A884" s="397"/>
      <c r="B884" s="81" t="s">
        <v>1077</v>
      </c>
      <c r="C884" s="79" t="s">
        <v>1078</v>
      </c>
      <c r="D884" s="339">
        <f>SUM(D885:D887)</f>
        <v>198637010.81</v>
      </c>
      <c r="E884" s="187">
        <f>SUM('ADICIONES  2021'!C884:I884)</f>
        <v>0</v>
      </c>
      <c r="F884" s="130"/>
      <c r="G884" s="130">
        <f t="shared" ref="G884:J884" si="1085">SUM(G885:G887)</f>
        <v>0</v>
      </c>
      <c r="H884" s="130">
        <f t="shared" si="1085"/>
        <v>0</v>
      </c>
      <c r="I884" s="130">
        <f t="shared" si="1085"/>
        <v>0</v>
      </c>
      <c r="J884" s="130">
        <f t="shared" si="1085"/>
        <v>0</v>
      </c>
      <c r="K884" s="78">
        <f t="shared" si="1038"/>
        <v>198637010.81</v>
      </c>
      <c r="L884" s="130">
        <f t="shared" ref="L884:Q884" si="1086">SUM(L885:L887)</f>
        <v>6422780</v>
      </c>
      <c r="M884" s="130">
        <f t="shared" si="1086"/>
        <v>12063993.48</v>
      </c>
      <c r="N884" s="130">
        <f t="shared" si="1086"/>
        <v>10414600</v>
      </c>
      <c r="O884" s="130">
        <f t="shared" si="1086"/>
        <v>21622958</v>
      </c>
      <c r="P884" s="130">
        <f t="shared" si="1086"/>
        <v>15215150</v>
      </c>
      <c r="Q884" s="423">
        <f t="shared" si="1086"/>
        <v>13002605</v>
      </c>
      <c r="R884" s="78">
        <f t="shared" si="1036"/>
        <v>78742086.480000004</v>
      </c>
      <c r="S884" s="130">
        <f t="shared" ref="S884:Z884" si="1087">SUM(S885:S887)</f>
        <v>42600022.659999996</v>
      </c>
      <c r="T884" s="130">
        <f t="shared" si="1087"/>
        <v>0</v>
      </c>
      <c r="U884" s="130">
        <f t="shared" si="1087"/>
        <v>0</v>
      </c>
      <c r="V884" s="130">
        <f t="shared" si="1087"/>
        <v>0</v>
      </c>
      <c r="W884" s="130">
        <f t="shared" si="1087"/>
        <v>0</v>
      </c>
      <c r="X884" s="130">
        <f t="shared" si="1087"/>
        <v>0</v>
      </c>
      <c r="Y884" s="130">
        <f t="shared" si="1087"/>
        <v>0</v>
      </c>
      <c r="Z884" s="130">
        <f t="shared" si="1087"/>
        <v>0</v>
      </c>
      <c r="AA884" s="78">
        <f t="shared" si="1037"/>
        <v>42600022.659999996</v>
      </c>
      <c r="AB884" s="78">
        <f t="shared" si="1025"/>
        <v>121342109.14</v>
      </c>
      <c r="AC884" s="174">
        <f t="shared" si="1026"/>
        <v>0.61087361637789639</v>
      </c>
    </row>
    <row r="885" spans="1:29" ht="28.5" x14ac:dyDescent="0.2">
      <c r="B885" s="76" t="s">
        <v>1079</v>
      </c>
      <c r="C885" s="77" t="s">
        <v>375</v>
      </c>
      <c r="D885" s="340">
        <v>49659252.700000003</v>
      </c>
      <c r="E885" s="188">
        <f>SUM('ADICIONES  2021'!C885:I885)</f>
        <v>0</v>
      </c>
      <c r="F885" s="131"/>
      <c r="G885" s="131"/>
      <c r="H885" s="131"/>
      <c r="I885" s="131"/>
      <c r="J885" s="131"/>
      <c r="K885" s="128">
        <f t="shared" si="1038"/>
        <v>49659252.700000003</v>
      </c>
      <c r="L885" s="131">
        <v>1605695</v>
      </c>
      <c r="M885" s="131">
        <v>3015998.37</v>
      </c>
      <c r="N885" s="131">
        <v>2603650</v>
      </c>
      <c r="O885" s="131">
        <v>5405739.9400000004</v>
      </c>
      <c r="P885" s="131">
        <v>3803787.5</v>
      </c>
      <c r="Q885" s="424">
        <v>3250651.25</v>
      </c>
      <c r="R885" s="128">
        <f t="shared" si="1036"/>
        <v>19685522.060000002</v>
      </c>
      <c r="S885" s="131">
        <v>10580568</v>
      </c>
      <c r="T885" s="131"/>
      <c r="U885" s="131"/>
      <c r="V885" s="131"/>
      <c r="W885" s="131"/>
      <c r="X885" s="131"/>
      <c r="Y885" s="131"/>
      <c r="Z885" s="131"/>
      <c r="AA885" s="128">
        <f t="shared" ref="AA885" si="1088">SUM(S885:Z885)</f>
        <v>10580568</v>
      </c>
      <c r="AB885" s="128">
        <f t="shared" si="1025"/>
        <v>30266090.060000002</v>
      </c>
      <c r="AC885" s="175">
        <f t="shared" si="1026"/>
        <v>0.60947534274916704</v>
      </c>
    </row>
    <row r="886" spans="1:29" ht="28.5" x14ac:dyDescent="0.2">
      <c r="B886" s="76" t="s">
        <v>1080</v>
      </c>
      <c r="C886" s="77" t="s">
        <v>375</v>
      </c>
      <c r="D886" s="340">
        <v>13904590.76</v>
      </c>
      <c r="E886" s="188">
        <f>SUM('ADICIONES  2021'!C886:I886)</f>
        <v>0</v>
      </c>
      <c r="F886" s="131"/>
      <c r="G886" s="131"/>
      <c r="H886" s="131"/>
      <c r="I886" s="131"/>
      <c r="J886" s="131"/>
      <c r="K886" s="128">
        <f t="shared" si="1038"/>
        <v>13904590.76</v>
      </c>
      <c r="L886" s="131">
        <v>449595</v>
      </c>
      <c r="M886" s="131">
        <v>844479.11</v>
      </c>
      <c r="N886" s="131">
        <v>729022</v>
      </c>
      <c r="O886" s="131">
        <v>1513607.06</v>
      </c>
      <c r="P886" s="131">
        <v>1065060.5</v>
      </c>
      <c r="Q886" s="424">
        <v>910182.75</v>
      </c>
      <c r="R886" s="128">
        <f t="shared" si="1036"/>
        <v>5511946.4199999999</v>
      </c>
      <c r="S886" s="131">
        <v>2962559</v>
      </c>
      <c r="T886" s="131"/>
      <c r="U886" s="131"/>
      <c r="V886" s="131"/>
      <c r="W886" s="131"/>
      <c r="X886" s="131"/>
      <c r="Y886" s="131"/>
      <c r="Z886" s="131"/>
      <c r="AA886" s="128">
        <f t="shared" si="1037"/>
        <v>2962559</v>
      </c>
      <c r="AB886" s="128">
        <f t="shared" si="1025"/>
        <v>8474505.4199999999</v>
      </c>
      <c r="AC886" s="175">
        <f t="shared" si="1026"/>
        <v>0.60947535718771484</v>
      </c>
    </row>
    <row r="887" spans="1:29" s="63" customFormat="1" ht="31.5" x14ac:dyDescent="0.2">
      <c r="A887" s="397"/>
      <c r="B887" s="81" t="s">
        <v>1081</v>
      </c>
      <c r="C887" s="79" t="s">
        <v>377</v>
      </c>
      <c r="D887" s="339">
        <f>+D888</f>
        <v>135073167.34999999</v>
      </c>
      <c r="E887" s="187">
        <f>SUM('ADICIONES  2021'!C887:I887)</f>
        <v>0</v>
      </c>
      <c r="F887" s="130"/>
      <c r="G887" s="130">
        <f t="shared" ref="G887:J887" si="1089">+G888</f>
        <v>0</v>
      </c>
      <c r="H887" s="130">
        <f t="shared" si="1089"/>
        <v>0</v>
      </c>
      <c r="I887" s="130">
        <f t="shared" si="1089"/>
        <v>0</v>
      </c>
      <c r="J887" s="130">
        <f t="shared" si="1089"/>
        <v>0</v>
      </c>
      <c r="K887" s="78">
        <f t="shared" si="1038"/>
        <v>135073167.34999999</v>
      </c>
      <c r="L887" s="130">
        <f t="shared" ref="L887:Q887" si="1090">+L888</f>
        <v>4367490</v>
      </c>
      <c r="M887" s="130">
        <f t="shared" si="1090"/>
        <v>8203516</v>
      </c>
      <c r="N887" s="130">
        <f t="shared" si="1090"/>
        <v>7081928</v>
      </c>
      <c r="O887" s="130">
        <f t="shared" si="1090"/>
        <v>14703611</v>
      </c>
      <c r="P887" s="130">
        <f t="shared" si="1090"/>
        <v>10346302</v>
      </c>
      <c r="Q887" s="423">
        <f t="shared" si="1090"/>
        <v>8841771</v>
      </c>
      <c r="R887" s="78">
        <f t="shared" si="1036"/>
        <v>53544618</v>
      </c>
      <c r="S887" s="130">
        <f t="shared" ref="S887:Z887" si="1091">+S888</f>
        <v>29056895.66</v>
      </c>
      <c r="T887" s="130">
        <f t="shared" si="1091"/>
        <v>0</v>
      </c>
      <c r="U887" s="130">
        <f t="shared" si="1091"/>
        <v>0</v>
      </c>
      <c r="V887" s="130">
        <f t="shared" si="1091"/>
        <v>0</v>
      </c>
      <c r="W887" s="130">
        <f t="shared" si="1091"/>
        <v>0</v>
      </c>
      <c r="X887" s="130">
        <f t="shared" si="1091"/>
        <v>0</v>
      </c>
      <c r="Y887" s="130">
        <f t="shared" si="1091"/>
        <v>0</v>
      </c>
      <c r="Z887" s="130">
        <f t="shared" si="1091"/>
        <v>0</v>
      </c>
      <c r="AA887" s="78">
        <f t="shared" ref="AA887" si="1092">SUM(S887:Z887)</f>
        <v>29056895.66</v>
      </c>
      <c r="AB887" s="78">
        <f t="shared" si="1025"/>
        <v>82601513.659999996</v>
      </c>
      <c r="AC887" s="174">
        <f t="shared" si="1026"/>
        <v>0.61153162601098954</v>
      </c>
    </row>
    <row r="888" spans="1:29" ht="14.25" x14ac:dyDescent="0.2">
      <c r="B888" s="76" t="s">
        <v>1082</v>
      </c>
      <c r="C888" s="77" t="s">
        <v>378</v>
      </c>
      <c r="D888" s="340">
        <v>135073167.34999999</v>
      </c>
      <c r="E888" s="188">
        <f>SUM('ADICIONES  2021'!C888:I888)</f>
        <v>0</v>
      </c>
      <c r="F888" s="131"/>
      <c r="G888" s="131"/>
      <c r="H888" s="131"/>
      <c r="I888" s="131"/>
      <c r="J888" s="131"/>
      <c r="K888" s="128">
        <f t="shared" si="1038"/>
        <v>135073167.34999999</v>
      </c>
      <c r="L888" s="131">
        <v>4367490</v>
      </c>
      <c r="M888" s="131">
        <v>8203516</v>
      </c>
      <c r="N888" s="131">
        <v>7081928</v>
      </c>
      <c r="O888" s="131">
        <v>14703611</v>
      </c>
      <c r="P888" s="131">
        <v>10346302</v>
      </c>
      <c r="Q888" s="424">
        <v>8841771</v>
      </c>
      <c r="R888" s="128">
        <f t="shared" si="1036"/>
        <v>53544618</v>
      </c>
      <c r="S888" s="131">
        <v>29056895.66</v>
      </c>
      <c r="T888" s="131"/>
      <c r="U888" s="131"/>
      <c r="V888" s="131"/>
      <c r="W888" s="131"/>
      <c r="X888" s="131"/>
      <c r="Y888" s="131"/>
      <c r="Z888" s="131"/>
      <c r="AA888" s="128">
        <f t="shared" si="1037"/>
        <v>29056895.66</v>
      </c>
      <c r="AB888" s="128">
        <f t="shared" si="1025"/>
        <v>82601513.659999996</v>
      </c>
      <c r="AC888" s="175">
        <f t="shared" si="1026"/>
        <v>0.61153162601098954</v>
      </c>
    </row>
    <row r="889" spans="1:29" s="142" customFormat="1" ht="19.5" x14ac:dyDescent="0.2">
      <c r="A889" s="141">
        <v>1</v>
      </c>
      <c r="B889" s="161" t="s">
        <v>698</v>
      </c>
      <c r="C889" s="160" t="s">
        <v>1083</v>
      </c>
      <c r="D889" s="338">
        <f>+D890+D904+D912+D899+D963</f>
        <v>2493812498.7199998</v>
      </c>
      <c r="E889" s="306">
        <f>SUM('ADICIONES  2021'!C889:I889)</f>
        <v>31623683676.32</v>
      </c>
      <c r="F889" s="338">
        <f t="shared" ref="F889:J889" si="1093">+F890+F904+F912+F899+F963</f>
        <v>0</v>
      </c>
      <c r="G889" s="338">
        <f t="shared" si="1093"/>
        <v>0</v>
      </c>
      <c r="H889" s="338">
        <f t="shared" si="1093"/>
        <v>0</v>
      </c>
      <c r="I889" s="338">
        <f t="shared" si="1093"/>
        <v>0</v>
      </c>
      <c r="J889" s="338">
        <f t="shared" si="1093"/>
        <v>0</v>
      </c>
      <c r="K889" s="162">
        <f t="shared" si="1038"/>
        <v>34117496175.040001</v>
      </c>
      <c r="L889" s="338">
        <f t="shared" ref="L889:Q889" si="1094">+L890+L904+L912+L899+L963</f>
        <v>224739699.27000001</v>
      </c>
      <c r="M889" s="338">
        <f t="shared" si="1094"/>
        <v>203500624.38</v>
      </c>
      <c r="N889" s="338">
        <f t="shared" si="1094"/>
        <v>440453209.22000003</v>
      </c>
      <c r="O889" s="338">
        <f t="shared" si="1094"/>
        <v>159052299.30000001</v>
      </c>
      <c r="P889" s="338">
        <f t="shared" si="1094"/>
        <v>21031715987.380001</v>
      </c>
      <c r="Q889" s="427">
        <f t="shared" si="1094"/>
        <v>136531178.78999999</v>
      </c>
      <c r="R889" s="162">
        <f t="shared" si="1036"/>
        <v>22195992998.340004</v>
      </c>
      <c r="S889" s="338">
        <f t="shared" ref="S889:Z889" si="1095">+S890+S904+S912+S899+S963</f>
        <v>157007195.66</v>
      </c>
      <c r="T889" s="338">
        <f t="shared" si="1095"/>
        <v>0</v>
      </c>
      <c r="U889" s="338">
        <f t="shared" si="1095"/>
        <v>0</v>
      </c>
      <c r="V889" s="338">
        <f t="shared" si="1095"/>
        <v>0</v>
      </c>
      <c r="W889" s="338">
        <f t="shared" si="1095"/>
        <v>0</v>
      </c>
      <c r="X889" s="338">
        <f t="shared" si="1095"/>
        <v>0</v>
      </c>
      <c r="Y889" s="338">
        <f t="shared" si="1095"/>
        <v>0</v>
      </c>
      <c r="Z889" s="338">
        <f t="shared" si="1095"/>
        <v>0</v>
      </c>
      <c r="AA889" s="162">
        <f t="shared" si="1037"/>
        <v>157007195.66</v>
      </c>
      <c r="AB889" s="162">
        <f t="shared" si="1025"/>
        <v>22353000194.000004</v>
      </c>
      <c r="AC889" s="173">
        <f t="shared" si="1026"/>
        <v>0.65517704110869723</v>
      </c>
    </row>
    <row r="890" spans="1:29" s="63" customFormat="1" ht="15.75" x14ac:dyDescent="0.2">
      <c r="A890" s="397">
        <v>1</v>
      </c>
      <c r="B890" s="81" t="s">
        <v>1084</v>
      </c>
      <c r="C890" s="79" t="s">
        <v>1085</v>
      </c>
      <c r="D890" s="339">
        <f>+D891</f>
        <v>1685667209.54</v>
      </c>
      <c r="E890" s="187">
        <f>SUM('ADICIONES  2021'!C890:I890)</f>
        <v>0</v>
      </c>
      <c r="F890" s="130"/>
      <c r="G890" s="130">
        <f t="shared" ref="G890:J890" si="1096">+G891</f>
        <v>0</v>
      </c>
      <c r="H890" s="130">
        <f t="shared" si="1096"/>
        <v>0</v>
      </c>
      <c r="I890" s="130">
        <f t="shared" si="1096"/>
        <v>0</v>
      </c>
      <c r="J890" s="130">
        <f t="shared" si="1096"/>
        <v>0</v>
      </c>
      <c r="K890" s="78">
        <f t="shared" si="1038"/>
        <v>1685667209.54</v>
      </c>
      <c r="L890" s="130">
        <f t="shared" ref="L890:Q890" si="1097">+L891</f>
        <v>56312530.270000003</v>
      </c>
      <c r="M890" s="130">
        <f t="shared" si="1097"/>
        <v>37317906.380000003</v>
      </c>
      <c r="N890" s="130">
        <f t="shared" si="1097"/>
        <v>45177503.219999999</v>
      </c>
      <c r="O890" s="130">
        <f t="shared" si="1097"/>
        <v>41121837.299999997</v>
      </c>
      <c r="P890" s="130">
        <f t="shared" si="1097"/>
        <v>49957920.059999995</v>
      </c>
      <c r="Q890" s="423">
        <f t="shared" si="1097"/>
        <v>53418107.720000006</v>
      </c>
      <c r="R890" s="78">
        <f t="shared" si="1036"/>
        <v>283305804.95000005</v>
      </c>
      <c r="S890" s="130">
        <f t="shared" ref="S890:Z890" si="1098">+S891</f>
        <v>50107493.560000002</v>
      </c>
      <c r="T890" s="130">
        <f t="shared" si="1098"/>
        <v>0</v>
      </c>
      <c r="U890" s="130">
        <f t="shared" si="1098"/>
        <v>0</v>
      </c>
      <c r="V890" s="130">
        <f t="shared" si="1098"/>
        <v>0</v>
      </c>
      <c r="W890" s="130">
        <f t="shared" si="1098"/>
        <v>0</v>
      </c>
      <c r="X890" s="130">
        <f t="shared" si="1098"/>
        <v>0</v>
      </c>
      <c r="Y890" s="130">
        <f t="shared" si="1098"/>
        <v>0</v>
      </c>
      <c r="Z890" s="130">
        <f t="shared" si="1098"/>
        <v>0</v>
      </c>
      <c r="AA890" s="78">
        <f t="shared" si="1037"/>
        <v>50107493.560000002</v>
      </c>
      <c r="AB890" s="78">
        <f t="shared" si="1025"/>
        <v>333413298.51000005</v>
      </c>
      <c r="AC890" s="174">
        <f t="shared" si="1026"/>
        <v>0.19779307364054668</v>
      </c>
    </row>
    <row r="891" spans="1:29" s="63" customFormat="1" ht="15.75" x14ac:dyDescent="0.2">
      <c r="A891" s="397"/>
      <c r="B891" s="81" t="s">
        <v>710</v>
      </c>
      <c r="C891" s="79" t="s">
        <v>1086</v>
      </c>
      <c r="D891" s="339">
        <f>+D892+D895</f>
        <v>1685667209.54</v>
      </c>
      <c r="E891" s="187">
        <f>SUM('ADICIONES  2021'!C891:I891)</f>
        <v>0</v>
      </c>
      <c r="F891" s="130"/>
      <c r="G891" s="130">
        <f t="shared" ref="G891:J891" si="1099">+G892+G895</f>
        <v>0</v>
      </c>
      <c r="H891" s="130">
        <f t="shared" si="1099"/>
        <v>0</v>
      </c>
      <c r="I891" s="130">
        <f t="shared" si="1099"/>
        <v>0</v>
      </c>
      <c r="J891" s="130">
        <f t="shared" si="1099"/>
        <v>0</v>
      </c>
      <c r="K891" s="78">
        <f t="shared" si="1038"/>
        <v>1685667209.54</v>
      </c>
      <c r="L891" s="130">
        <f t="shared" ref="L891:Q891" si="1100">+L892+L895</f>
        <v>56312530.270000003</v>
      </c>
      <c r="M891" s="130">
        <f t="shared" si="1100"/>
        <v>37317906.380000003</v>
      </c>
      <c r="N891" s="130">
        <f t="shared" si="1100"/>
        <v>45177503.219999999</v>
      </c>
      <c r="O891" s="130">
        <f t="shared" si="1100"/>
        <v>41121837.299999997</v>
      </c>
      <c r="P891" s="130">
        <f t="shared" si="1100"/>
        <v>49957920.059999995</v>
      </c>
      <c r="Q891" s="423">
        <f t="shared" si="1100"/>
        <v>53418107.720000006</v>
      </c>
      <c r="R891" s="78">
        <f t="shared" si="1036"/>
        <v>283305804.95000005</v>
      </c>
      <c r="S891" s="130">
        <f t="shared" ref="S891:Z891" si="1101">+S892+S895</f>
        <v>50107493.560000002</v>
      </c>
      <c r="T891" s="130">
        <f t="shared" si="1101"/>
        <v>0</v>
      </c>
      <c r="U891" s="130">
        <f t="shared" si="1101"/>
        <v>0</v>
      </c>
      <c r="V891" s="130">
        <f t="shared" si="1101"/>
        <v>0</v>
      </c>
      <c r="W891" s="130">
        <f t="shared" si="1101"/>
        <v>0</v>
      </c>
      <c r="X891" s="130">
        <f t="shared" si="1101"/>
        <v>0</v>
      </c>
      <c r="Y891" s="130">
        <f t="shared" si="1101"/>
        <v>0</v>
      </c>
      <c r="Z891" s="130">
        <f t="shared" si="1101"/>
        <v>0</v>
      </c>
      <c r="AA891" s="78">
        <f t="shared" si="1037"/>
        <v>50107493.560000002</v>
      </c>
      <c r="AB891" s="78">
        <f t="shared" si="1025"/>
        <v>333413298.51000005</v>
      </c>
      <c r="AC891" s="174">
        <f t="shared" si="1026"/>
        <v>0.19779307364054668</v>
      </c>
    </row>
    <row r="892" spans="1:29" s="63" customFormat="1" ht="31.5" x14ac:dyDescent="0.2">
      <c r="A892" s="397"/>
      <c r="B892" s="81" t="s">
        <v>712</v>
      </c>
      <c r="C892" s="79" t="s">
        <v>1087</v>
      </c>
      <c r="D892" s="339">
        <f>SUM(D893:D894)</f>
        <v>183049846.41000003</v>
      </c>
      <c r="E892" s="187">
        <f>SUM('ADICIONES  2021'!C892:I892)</f>
        <v>0</v>
      </c>
      <c r="F892" s="130"/>
      <c r="G892" s="130">
        <f t="shared" ref="G892:J892" si="1102">SUM(G893:G894)</f>
        <v>0</v>
      </c>
      <c r="H892" s="130">
        <f t="shared" si="1102"/>
        <v>0</v>
      </c>
      <c r="I892" s="130">
        <f t="shared" si="1102"/>
        <v>0</v>
      </c>
      <c r="J892" s="130">
        <f t="shared" si="1102"/>
        <v>0</v>
      </c>
      <c r="K892" s="78">
        <f t="shared" si="1038"/>
        <v>183049846.41000003</v>
      </c>
      <c r="L892" s="130">
        <f t="shared" ref="L892:Q892" si="1103">SUM(L893:L894)</f>
        <v>6829845.0599999996</v>
      </c>
      <c r="M892" s="130">
        <f t="shared" si="1103"/>
        <v>5955263.1699999999</v>
      </c>
      <c r="N892" s="130">
        <f t="shared" si="1103"/>
        <v>7584087.0099999998</v>
      </c>
      <c r="O892" s="130">
        <f t="shared" si="1103"/>
        <v>7598143.8200000003</v>
      </c>
      <c r="P892" s="130">
        <f t="shared" si="1103"/>
        <v>7259464.1900000004</v>
      </c>
      <c r="Q892" s="423">
        <f t="shared" si="1103"/>
        <v>5632605.29</v>
      </c>
      <c r="R892" s="78">
        <f t="shared" si="1036"/>
        <v>40859408.539999999</v>
      </c>
      <c r="S892" s="130">
        <f t="shared" ref="S892:Z892" si="1104">SUM(S893:S894)</f>
        <v>6708670.3499999996</v>
      </c>
      <c r="T892" s="130">
        <f t="shared" si="1104"/>
        <v>0</v>
      </c>
      <c r="U892" s="130">
        <f t="shared" si="1104"/>
        <v>0</v>
      </c>
      <c r="V892" s="130">
        <f t="shared" si="1104"/>
        <v>0</v>
      </c>
      <c r="W892" s="130">
        <f t="shared" si="1104"/>
        <v>0</v>
      </c>
      <c r="X892" s="130">
        <f t="shared" si="1104"/>
        <v>0</v>
      </c>
      <c r="Y892" s="130">
        <f t="shared" si="1104"/>
        <v>0</v>
      </c>
      <c r="Z892" s="130">
        <f t="shared" si="1104"/>
        <v>0</v>
      </c>
      <c r="AA892" s="78">
        <f t="shared" si="1037"/>
        <v>6708670.3499999996</v>
      </c>
      <c r="AB892" s="78">
        <f t="shared" si="1025"/>
        <v>47568078.890000001</v>
      </c>
      <c r="AC892" s="174">
        <f t="shared" si="1026"/>
        <v>0.2598640743104243</v>
      </c>
    </row>
    <row r="893" spans="1:29" ht="28.5" x14ac:dyDescent="0.2">
      <c r="B893" s="76" t="s">
        <v>1088</v>
      </c>
      <c r="C893" s="77" t="s">
        <v>1089</v>
      </c>
      <c r="D893" s="340">
        <v>144875151.55000001</v>
      </c>
      <c r="E893" s="188">
        <f>SUM('ADICIONES  2021'!C893:I893)</f>
        <v>0</v>
      </c>
      <c r="F893" s="131"/>
      <c r="G893" s="131"/>
      <c r="H893" s="131"/>
      <c r="I893" s="131"/>
      <c r="J893" s="131"/>
      <c r="K893" s="128">
        <f t="shared" si="1038"/>
        <v>144875151.55000001</v>
      </c>
      <c r="L893" s="131">
        <v>4323277.0599999996</v>
      </c>
      <c r="M893" s="131">
        <v>3755364.17</v>
      </c>
      <c r="N893" s="131">
        <v>5072835.01</v>
      </c>
      <c r="O893" s="131">
        <v>5274570.82</v>
      </c>
      <c r="P893" s="131">
        <v>4682118.1900000004</v>
      </c>
      <c r="Q893" s="424">
        <v>3291854.29</v>
      </c>
      <c r="R893" s="128">
        <f t="shared" si="1036"/>
        <v>26400019.539999999</v>
      </c>
      <c r="S893" s="131">
        <v>4214700.3499999996</v>
      </c>
      <c r="T893" s="131"/>
      <c r="U893" s="131"/>
      <c r="V893" s="131"/>
      <c r="W893" s="131"/>
      <c r="X893" s="131"/>
      <c r="Y893" s="131"/>
      <c r="Z893" s="131"/>
      <c r="AA893" s="128">
        <f t="shared" ref="AA893" si="1105">SUM(S893:Z893)</f>
        <v>4214700.3499999996</v>
      </c>
      <c r="AB893" s="128">
        <f t="shared" si="1025"/>
        <v>30614719.890000001</v>
      </c>
      <c r="AC893" s="175">
        <f t="shared" si="1026"/>
        <v>0.21131794902339826</v>
      </c>
    </row>
    <row r="894" spans="1:29" ht="28.5" x14ac:dyDescent="0.2">
      <c r="B894" s="76" t="s">
        <v>1088</v>
      </c>
      <c r="C894" s="77" t="s">
        <v>1089</v>
      </c>
      <c r="D894" s="340">
        <v>38174694.859999999</v>
      </c>
      <c r="E894" s="188">
        <f>SUM('ADICIONES  2021'!C894:I894)</f>
        <v>0</v>
      </c>
      <c r="F894" s="131"/>
      <c r="G894" s="131"/>
      <c r="H894" s="131"/>
      <c r="I894" s="131"/>
      <c r="J894" s="131"/>
      <c r="K894" s="128">
        <f t="shared" si="1038"/>
        <v>38174694.859999999</v>
      </c>
      <c r="L894" s="131">
        <v>2506568</v>
      </c>
      <c r="M894" s="131">
        <v>2199899</v>
      </c>
      <c r="N894" s="131">
        <v>2511252</v>
      </c>
      <c r="O894" s="131">
        <v>2323573</v>
      </c>
      <c r="P894" s="131">
        <v>2577346</v>
      </c>
      <c r="Q894" s="424">
        <v>2340751</v>
      </c>
      <c r="R894" s="128">
        <f t="shared" si="1036"/>
        <v>14459389</v>
      </c>
      <c r="S894" s="131">
        <v>2493970</v>
      </c>
      <c r="T894" s="131"/>
      <c r="U894" s="131"/>
      <c r="V894" s="131"/>
      <c r="W894" s="131"/>
      <c r="X894" s="131"/>
      <c r="Y894" s="131"/>
      <c r="Z894" s="131"/>
      <c r="AA894" s="128">
        <f t="shared" si="1037"/>
        <v>2493970</v>
      </c>
      <c r="AB894" s="128">
        <f t="shared" si="1025"/>
        <v>16953359</v>
      </c>
      <c r="AC894" s="175">
        <f t="shared" si="1026"/>
        <v>0.44409939783864461</v>
      </c>
    </row>
    <row r="895" spans="1:29" s="63" customFormat="1" ht="31.5" x14ac:dyDescent="0.2">
      <c r="A895" s="397"/>
      <c r="B895" s="81" t="s">
        <v>713</v>
      </c>
      <c r="C895" s="79" t="s">
        <v>377</v>
      </c>
      <c r="D895" s="339">
        <f>SUM(D896:D898)</f>
        <v>1502617363.1299999</v>
      </c>
      <c r="E895" s="187">
        <f>SUM('ADICIONES  2021'!C895:I895)</f>
        <v>0</v>
      </c>
      <c r="F895" s="130"/>
      <c r="G895" s="130">
        <f t="shared" ref="G895:J895" si="1106">SUM(G896:G898)</f>
        <v>0</v>
      </c>
      <c r="H895" s="130">
        <f t="shared" si="1106"/>
        <v>0</v>
      </c>
      <c r="I895" s="130">
        <f t="shared" si="1106"/>
        <v>0</v>
      </c>
      <c r="J895" s="130">
        <f t="shared" si="1106"/>
        <v>0</v>
      </c>
      <c r="K895" s="78">
        <f t="shared" si="1038"/>
        <v>1502617363.1299999</v>
      </c>
      <c r="L895" s="130">
        <f t="shared" ref="L895:Q895" si="1107">SUM(L896:L898)</f>
        <v>49482685.210000001</v>
      </c>
      <c r="M895" s="130">
        <f t="shared" si="1107"/>
        <v>31362643.210000001</v>
      </c>
      <c r="N895" s="130">
        <f t="shared" si="1107"/>
        <v>37593416.210000001</v>
      </c>
      <c r="O895" s="130">
        <f t="shared" si="1107"/>
        <v>33523693.48</v>
      </c>
      <c r="P895" s="130">
        <f t="shared" si="1107"/>
        <v>42698455.869999997</v>
      </c>
      <c r="Q895" s="423">
        <f t="shared" si="1107"/>
        <v>47785502.430000007</v>
      </c>
      <c r="R895" s="78">
        <f t="shared" si="1036"/>
        <v>242446396.41</v>
      </c>
      <c r="S895" s="130">
        <f t="shared" ref="S895:Z895" si="1108">SUM(S896:S898)</f>
        <v>43398823.210000001</v>
      </c>
      <c r="T895" s="130">
        <f t="shared" si="1108"/>
        <v>0</v>
      </c>
      <c r="U895" s="130">
        <f t="shared" si="1108"/>
        <v>0</v>
      </c>
      <c r="V895" s="130">
        <f t="shared" si="1108"/>
        <v>0</v>
      </c>
      <c r="W895" s="130">
        <f t="shared" si="1108"/>
        <v>0</v>
      </c>
      <c r="X895" s="130">
        <f t="shared" si="1108"/>
        <v>0</v>
      </c>
      <c r="Y895" s="130">
        <f t="shared" si="1108"/>
        <v>0</v>
      </c>
      <c r="Z895" s="130">
        <f t="shared" si="1108"/>
        <v>0</v>
      </c>
      <c r="AA895" s="78">
        <f t="shared" si="1037"/>
        <v>43398823.210000001</v>
      </c>
      <c r="AB895" s="78">
        <f t="shared" si="1025"/>
        <v>285845219.62</v>
      </c>
      <c r="AC895" s="174">
        <f t="shared" si="1026"/>
        <v>0.19023154306201767</v>
      </c>
    </row>
    <row r="896" spans="1:29" ht="28.5" x14ac:dyDescent="0.2">
      <c r="B896" s="76" t="s">
        <v>1090</v>
      </c>
      <c r="C896" s="77" t="s">
        <v>1091</v>
      </c>
      <c r="D896" s="340">
        <v>633812294.71000004</v>
      </c>
      <c r="E896" s="188">
        <f>SUM('ADICIONES  2021'!C896:I896)</f>
        <v>0</v>
      </c>
      <c r="F896" s="131"/>
      <c r="G896" s="131"/>
      <c r="H896" s="131"/>
      <c r="I896" s="131"/>
      <c r="J896" s="131"/>
      <c r="K896" s="128">
        <f t="shared" si="1038"/>
        <v>633812294.71000004</v>
      </c>
      <c r="L896" s="131">
        <v>25563094.710000001</v>
      </c>
      <c r="M896" s="131">
        <v>12874376.550000001</v>
      </c>
      <c r="N896" s="131">
        <v>14411557.800000001</v>
      </c>
      <c r="O896" s="131">
        <v>12111956.460000001</v>
      </c>
      <c r="P896" s="131">
        <v>15502177.789999999</v>
      </c>
      <c r="Q896" s="424">
        <v>14591829.59</v>
      </c>
      <c r="R896" s="128">
        <f t="shared" si="1036"/>
        <v>95054992.900000006</v>
      </c>
      <c r="S896" s="131">
        <v>15685812.49</v>
      </c>
      <c r="T896" s="131"/>
      <c r="U896" s="131"/>
      <c r="V896" s="131"/>
      <c r="W896" s="131"/>
      <c r="X896" s="131"/>
      <c r="Y896" s="131"/>
      <c r="Z896" s="131"/>
      <c r="AA896" s="128">
        <f t="shared" si="1037"/>
        <v>15685812.49</v>
      </c>
      <c r="AB896" s="128">
        <f t="shared" si="1025"/>
        <v>110740805.39</v>
      </c>
      <c r="AC896" s="175">
        <f t="shared" si="1026"/>
        <v>0.1747217690699252</v>
      </c>
    </row>
    <row r="897" spans="1:29" ht="28.5" x14ac:dyDescent="0.2">
      <c r="B897" s="76" t="s">
        <v>1092</v>
      </c>
      <c r="C897" s="77" t="s">
        <v>1093</v>
      </c>
      <c r="D897" s="340">
        <v>576116165.13999999</v>
      </c>
      <c r="E897" s="188">
        <f>SUM('ADICIONES  2021'!C897:I897)</f>
        <v>0</v>
      </c>
      <c r="F897" s="131"/>
      <c r="G897" s="131"/>
      <c r="H897" s="131"/>
      <c r="I897" s="131"/>
      <c r="J897" s="131"/>
      <c r="K897" s="128">
        <f t="shared" si="1038"/>
        <v>576116165.13999999</v>
      </c>
      <c r="L897" s="131">
        <v>13697602</v>
      </c>
      <c r="M897" s="131">
        <v>11695730</v>
      </c>
      <c r="N897" s="131">
        <v>13880148</v>
      </c>
      <c r="O897" s="131">
        <v>13386520</v>
      </c>
      <c r="P897" s="131">
        <v>18100060</v>
      </c>
      <c r="Q897" s="424">
        <v>23858155</v>
      </c>
      <c r="R897" s="128">
        <f t="shared" si="1036"/>
        <v>94618215</v>
      </c>
      <c r="S897" s="131">
        <v>18540175</v>
      </c>
      <c r="T897" s="131"/>
      <c r="U897" s="131"/>
      <c r="V897" s="131"/>
      <c r="W897" s="131"/>
      <c r="X897" s="131"/>
      <c r="Y897" s="131"/>
      <c r="Z897" s="131"/>
      <c r="AA897" s="128">
        <f t="shared" si="1037"/>
        <v>18540175</v>
      </c>
      <c r="AB897" s="128">
        <f t="shared" si="1025"/>
        <v>113158390</v>
      </c>
      <c r="AC897" s="175">
        <f t="shared" si="1026"/>
        <v>0.19641592589664927</v>
      </c>
    </row>
    <row r="898" spans="1:29" ht="28.5" x14ac:dyDescent="0.2">
      <c r="B898" s="76" t="s">
        <v>1094</v>
      </c>
      <c r="C898" s="77" t="s">
        <v>1095</v>
      </c>
      <c r="D898" s="340">
        <v>292688903.27999997</v>
      </c>
      <c r="E898" s="188">
        <f>SUM('ADICIONES  2021'!C898:I898)</f>
        <v>0</v>
      </c>
      <c r="F898" s="131"/>
      <c r="G898" s="131"/>
      <c r="H898" s="131"/>
      <c r="I898" s="131"/>
      <c r="J898" s="131"/>
      <c r="K898" s="128">
        <f t="shared" si="1038"/>
        <v>292688903.27999997</v>
      </c>
      <c r="L898" s="131">
        <v>10221988.5</v>
      </c>
      <c r="M898" s="131">
        <v>6792536.6600000001</v>
      </c>
      <c r="N898" s="131">
        <v>9301710.4100000001</v>
      </c>
      <c r="O898" s="131">
        <v>8025217.0199999996</v>
      </c>
      <c r="P898" s="131">
        <v>9096218.0800000001</v>
      </c>
      <c r="Q898" s="424">
        <v>9335517.8399999999</v>
      </c>
      <c r="R898" s="128">
        <f t="shared" si="1036"/>
        <v>52773188.510000005</v>
      </c>
      <c r="S898" s="131">
        <v>9172835.7200000007</v>
      </c>
      <c r="T898" s="131"/>
      <c r="U898" s="131"/>
      <c r="V898" s="131"/>
      <c r="W898" s="131"/>
      <c r="X898" s="131"/>
      <c r="Y898" s="131"/>
      <c r="Z898" s="131"/>
      <c r="AA898" s="128">
        <f t="shared" si="1037"/>
        <v>9172835.7200000007</v>
      </c>
      <c r="AB898" s="128">
        <f t="shared" si="1025"/>
        <v>61946024.230000004</v>
      </c>
      <c r="AC898" s="175">
        <f t="shared" si="1026"/>
        <v>0.21164459443390488</v>
      </c>
    </row>
    <row r="899" spans="1:29" s="63" customFormat="1" ht="15.75" x14ac:dyDescent="0.2">
      <c r="A899" s="397">
        <v>1</v>
      </c>
      <c r="B899" s="81" t="s">
        <v>1261</v>
      </c>
      <c r="C899" s="79" t="s">
        <v>1267</v>
      </c>
      <c r="D899" s="339">
        <f>+D900</f>
        <v>0</v>
      </c>
      <c r="E899" s="187">
        <f>SUM('ADICIONES  2021'!C899:I899)</f>
        <v>10394589074</v>
      </c>
      <c r="F899" s="130">
        <f t="shared" ref="F899:J900" si="1109">+F900</f>
        <v>0</v>
      </c>
      <c r="G899" s="130">
        <f t="shared" si="1109"/>
        <v>0</v>
      </c>
      <c r="H899" s="130">
        <f t="shared" si="1109"/>
        <v>0</v>
      </c>
      <c r="I899" s="130">
        <f t="shared" si="1109"/>
        <v>0</v>
      </c>
      <c r="J899" s="130">
        <f t="shared" si="1109"/>
        <v>0</v>
      </c>
      <c r="K899" s="78">
        <f t="shared" si="1038"/>
        <v>10394589074</v>
      </c>
      <c r="L899" s="130">
        <f t="shared" ref="L899:Q900" si="1110">+L900</f>
        <v>0</v>
      </c>
      <c r="M899" s="130">
        <f t="shared" si="1110"/>
        <v>0</v>
      </c>
      <c r="N899" s="130">
        <f t="shared" si="1110"/>
        <v>0</v>
      </c>
      <c r="O899" s="130">
        <f t="shared" si="1110"/>
        <v>0</v>
      </c>
      <c r="P899" s="130">
        <f t="shared" si="1110"/>
        <v>0</v>
      </c>
      <c r="Q899" s="423">
        <f t="shared" si="1110"/>
        <v>0</v>
      </c>
      <c r="R899" s="78">
        <f t="shared" si="1036"/>
        <v>0</v>
      </c>
      <c r="S899" s="130">
        <f t="shared" ref="S899:Z900" si="1111">+S900</f>
        <v>0</v>
      </c>
      <c r="T899" s="130">
        <f t="shared" si="1111"/>
        <v>0</v>
      </c>
      <c r="U899" s="130">
        <f t="shared" si="1111"/>
        <v>0</v>
      </c>
      <c r="V899" s="130">
        <f t="shared" si="1111"/>
        <v>0</v>
      </c>
      <c r="W899" s="130">
        <f t="shared" si="1111"/>
        <v>0</v>
      </c>
      <c r="X899" s="130">
        <f t="shared" si="1111"/>
        <v>0</v>
      </c>
      <c r="Y899" s="130">
        <f t="shared" si="1111"/>
        <v>0</v>
      </c>
      <c r="Z899" s="130">
        <f t="shared" si="1111"/>
        <v>0</v>
      </c>
      <c r="AA899" s="78">
        <f t="shared" ref="AA899:AA903" si="1112">SUM(S899:Z899)</f>
        <v>0</v>
      </c>
      <c r="AB899" s="78">
        <f t="shared" si="1025"/>
        <v>0</v>
      </c>
      <c r="AC899" s="174">
        <f t="shared" si="1026"/>
        <v>0</v>
      </c>
    </row>
    <row r="900" spans="1:29" s="63" customFormat="1" ht="31.5" x14ac:dyDescent="0.2">
      <c r="A900" s="397"/>
      <c r="B900" s="81" t="s">
        <v>1263</v>
      </c>
      <c r="C900" s="79" t="s">
        <v>1264</v>
      </c>
      <c r="D900" s="339">
        <f>+D901</f>
        <v>0</v>
      </c>
      <c r="E900" s="187">
        <f>SUM('ADICIONES  2021'!C900:I900)</f>
        <v>10394589074</v>
      </c>
      <c r="F900" s="130">
        <f t="shared" si="1109"/>
        <v>0</v>
      </c>
      <c r="G900" s="130">
        <f t="shared" si="1109"/>
        <v>0</v>
      </c>
      <c r="H900" s="130">
        <f t="shared" si="1109"/>
        <v>0</v>
      </c>
      <c r="I900" s="130">
        <f t="shared" si="1109"/>
        <v>0</v>
      </c>
      <c r="J900" s="130">
        <f t="shared" si="1109"/>
        <v>0</v>
      </c>
      <c r="K900" s="78">
        <f t="shared" si="1038"/>
        <v>10394589074</v>
      </c>
      <c r="L900" s="130">
        <f t="shared" si="1110"/>
        <v>0</v>
      </c>
      <c r="M900" s="130">
        <f t="shared" si="1110"/>
        <v>0</v>
      </c>
      <c r="N900" s="130">
        <f t="shared" si="1110"/>
        <v>0</v>
      </c>
      <c r="O900" s="130">
        <f t="shared" si="1110"/>
        <v>0</v>
      </c>
      <c r="P900" s="130">
        <f t="shared" si="1110"/>
        <v>0</v>
      </c>
      <c r="Q900" s="423">
        <f t="shared" si="1110"/>
        <v>0</v>
      </c>
      <c r="R900" s="78">
        <f t="shared" si="1036"/>
        <v>0</v>
      </c>
      <c r="S900" s="130">
        <f t="shared" si="1111"/>
        <v>0</v>
      </c>
      <c r="T900" s="130">
        <f t="shared" si="1111"/>
        <v>0</v>
      </c>
      <c r="U900" s="130">
        <f t="shared" si="1111"/>
        <v>0</v>
      </c>
      <c r="V900" s="130">
        <f t="shared" si="1111"/>
        <v>0</v>
      </c>
      <c r="W900" s="130">
        <f t="shared" si="1111"/>
        <v>0</v>
      </c>
      <c r="X900" s="130">
        <f t="shared" si="1111"/>
        <v>0</v>
      </c>
      <c r="Y900" s="130">
        <f t="shared" si="1111"/>
        <v>0</v>
      </c>
      <c r="Z900" s="130">
        <f t="shared" si="1111"/>
        <v>0</v>
      </c>
      <c r="AA900" s="78">
        <f t="shared" si="1112"/>
        <v>0</v>
      </c>
      <c r="AB900" s="78">
        <f t="shared" si="1025"/>
        <v>0</v>
      </c>
      <c r="AC900" s="174">
        <f t="shared" si="1026"/>
        <v>0</v>
      </c>
    </row>
    <row r="901" spans="1:29" s="63" customFormat="1" ht="15.75" x14ac:dyDescent="0.2">
      <c r="A901" s="397"/>
      <c r="B901" s="81" t="s">
        <v>1265</v>
      </c>
      <c r="C901" s="79" t="s">
        <v>1268</v>
      </c>
      <c r="D901" s="339">
        <f>+D902+D903</f>
        <v>0</v>
      </c>
      <c r="E901" s="187">
        <f>SUM('ADICIONES  2021'!C901:I901)</f>
        <v>10394589074</v>
      </c>
      <c r="F901" s="339">
        <f t="shared" ref="F901:J901" si="1113">+F902+F903</f>
        <v>0</v>
      </c>
      <c r="G901" s="339">
        <f t="shared" si="1113"/>
        <v>0</v>
      </c>
      <c r="H901" s="339">
        <f t="shared" si="1113"/>
        <v>0</v>
      </c>
      <c r="I901" s="339">
        <f t="shared" si="1113"/>
        <v>0</v>
      </c>
      <c r="J901" s="339">
        <f t="shared" si="1113"/>
        <v>0</v>
      </c>
      <c r="K901" s="78">
        <f t="shared" si="1038"/>
        <v>10394589074</v>
      </c>
      <c r="L901" s="339">
        <f t="shared" ref="L901:Q901" si="1114">+L902+L903</f>
        <v>0</v>
      </c>
      <c r="M901" s="339">
        <f t="shared" si="1114"/>
        <v>0</v>
      </c>
      <c r="N901" s="339">
        <f t="shared" si="1114"/>
        <v>0</v>
      </c>
      <c r="O901" s="339">
        <f t="shared" si="1114"/>
        <v>0</v>
      </c>
      <c r="P901" s="339">
        <f t="shared" si="1114"/>
        <v>0</v>
      </c>
      <c r="Q901" s="426">
        <f t="shared" si="1114"/>
        <v>0</v>
      </c>
      <c r="R901" s="78">
        <f t="shared" si="1036"/>
        <v>0</v>
      </c>
      <c r="S901" s="339">
        <f t="shared" ref="S901:Y901" si="1115">+S902+S903</f>
        <v>0</v>
      </c>
      <c r="T901" s="339">
        <f t="shared" si="1115"/>
        <v>0</v>
      </c>
      <c r="U901" s="339">
        <f t="shared" si="1115"/>
        <v>0</v>
      </c>
      <c r="V901" s="339">
        <f t="shared" si="1115"/>
        <v>0</v>
      </c>
      <c r="W901" s="339">
        <f t="shared" si="1115"/>
        <v>0</v>
      </c>
      <c r="X901" s="339">
        <f t="shared" si="1115"/>
        <v>0</v>
      </c>
      <c r="Y901" s="339">
        <f t="shared" si="1115"/>
        <v>0</v>
      </c>
      <c r="Z901" s="339">
        <f>+Z902+Z903</f>
        <v>0</v>
      </c>
      <c r="AA901" s="78">
        <f t="shared" si="1112"/>
        <v>0</v>
      </c>
      <c r="AB901" s="78">
        <f t="shared" si="1025"/>
        <v>0</v>
      </c>
      <c r="AC901" s="174">
        <f t="shared" si="1026"/>
        <v>0</v>
      </c>
    </row>
    <row r="902" spans="1:29" ht="28.5" x14ac:dyDescent="0.2">
      <c r="B902" s="76" t="s">
        <v>1259</v>
      </c>
      <c r="C902" s="77" t="s">
        <v>1260</v>
      </c>
      <c r="D902" s="340"/>
      <c r="E902" s="188">
        <f>SUM('ADICIONES  2021'!C902:I902)</f>
        <v>8465753196</v>
      </c>
      <c r="F902" s="131"/>
      <c r="G902" s="131"/>
      <c r="H902" s="131"/>
      <c r="I902" s="131"/>
      <c r="J902" s="131"/>
      <c r="K902" s="128">
        <f t="shared" si="1038"/>
        <v>8465753196</v>
      </c>
      <c r="L902" s="131"/>
      <c r="M902" s="131"/>
      <c r="N902" s="131"/>
      <c r="O902" s="131">
        <v>0</v>
      </c>
      <c r="P902" s="131"/>
      <c r="Q902" s="424"/>
      <c r="R902" s="128">
        <f t="shared" si="1036"/>
        <v>0</v>
      </c>
      <c r="S902" s="131">
        <v>0</v>
      </c>
      <c r="T902" s="131"/>
      <c r="U902" s="131"/>
      <c r="V902" s="131"/>
      <c r="W902" s="131"/>
      <c r="X902" s="131"/>
      <c r="Y902" s="131"/>
      <c r="Z902" s="131"/>
      <c r="AA902" s="128">
        <f t="shared" si="1112"/>
        <v>0</v>
      </c>
      <c r="AB902" s="128">
        <f t="shared" si="1025"/>
        <v>0</v>
      </c>
      <c r="AC902" s="175">
        <f t="shared" si="1026"/>
        <v>0</v>
      </c>
    </row>
    <row r="903" spans="1:29" ht="28.5" x14ac:dyDescent="0.2">
      <c r="B903" s="76" t="s">
        <v>1861</v>
      </c>
      <c r="C903" s="77" t="s">
        <v>1862</v>
      </c>
      <c r="D903" s="340"/>
      <c r="E903" s="188">
        <f>SUM('ADICIONES  2021'!C903:I903)</f>
        <v>1928835878</v>
      </c>
      <c r="F903" s="131"/>
      <c r="G903" s="131"/>
      <c r="H903" s="131"/>
      <c r="I903" s="131"/>
      <c r="J903" s="131"/>
      <c r="K903" s="128">
        <f t="shared" si="1038"/>
        <v>1928835878</v>
      </c>
      <c r="L903" s="131"/>
      <c r="M903" s="131"/>
      <c r="N903" s="131"/>
      <c r="O903" s="131"/>
      <c r="P903" s="131"/>
      <c r="Q903" s="424"/>
      <c r="R903" s="128">
        <f t="shared" si="1036"/>
        <v>0</v>
      </c>
      <c r="S903" s="131">
        <v>0</v>
      </c>
      <c r="T903" s="131"/>
      <c r="U903" s="131"/>
      <c r="V903" s="131"/>
      <c r="W903" s="131"/>
      <c r="X903" s="131"/>
      <c r="Y903" s="131"/>
      <c r="Z903" s="131"/>
      <c r="AA903" s="128">
        <f t="shared" si="1112"/>
        <v>0</v>
      </c>
      <c r="AB903" s="128">
        <f t="shared" si="1025"/>
        <v>0</v>
      </c>
      <c r="AC903" s="175">
        <f t="shared" si="1026"/>
        <v>0</v>
      </c>
    </row>
    <row r="904" spans="1:29" s="63" customFormat="1" ht="15.75" x14ac:dyDescent="0.2">
      <c r="A904" s="397">
        <v>1</v>
      </c>
      <c r="B904" s="81" t="s">
        <v>813</v>
      </c>
      <c r="C904" s="79" t="s">
        <v>1096</v>
      </c>
      <c r="D904" s="339">
        <f>+D905</f>
        <v>808145289.17999995</v>
      </c>
      <c r="E904" s="187">
        <f>SUM('ADICIONES  2021'!C904:I904)</f>
        <v>0</v>
      </c>
      <c r="F904" s="130"/>
      <c r="G904" s="130">
        <f t="shared" ref="G904:J904" si="1116">+G905</f>
        <v>0</v>
      </c>
      <c r="H904" s="130">
        <f t="shared" si="1116"/>
        <v>0</v>
      </c>
      <c r="I904" s="130">
        <f t="shared" si="1116"/>
        <v>0</v>
      </c>
      <c r="J904" s="130">
        <f t="shared" si="1116"/>
        <v>0</v>
      </c>
      <c r="K904" s="78">
        <f t="shared" si="1038"/>
        <v>808145289.17999995</v>
      </c>
      <c r="L904" s="130">
        <f t="shared" ref="L904:Q904" si="1117">+L905</f>
        <v>168427169</v>
      </c>
      <c r="M904" s="130">
        <f t="shared" si="1117"/>
        <v>166182718</v>
      </c>
      <c r="N904" s="130">
        <f t="shared" si="1117"/>
        <v>107275706</v>
      </c>
      <c r="O904" s="130">
        <f t="shared" si="1117"/>
        <v>117193142</v>
      </c>
      <c r="P904" s="130">
        <f t="shared" si="1117"/>
        <v>40663465</v>
      </c>
      <c r="Q904" s="423">
        <f t="shared" si="1117"/>
        <v>82656651.069999993</v>
      </c>
      <c r="R904" s="78">
        <f t="shared" si="1036"/>
        <v>682398851.06999993</v>
      </c>
      <c r="S904" s="130">
        <f t="shared" ref="S904:Z904" si="1118">+S905</f>
        <v>106899702.09999999</v>
      </c>
      <c r="T904" s="130">
        <f t="shared" si="1118"/>
        <v>0</v>
      </c>
      <c r="U904" s="130">
        <f t="shared" si="1118"/>
        <v>0</v>
      </c>
      <c r="V904" s="130">
        <f t="shared" si="1118"/>
        <v>0</v>
      </c>
      <c r="W904" s="130">
        <f t="shared" si="1118"/>
        <v>0</v>
      </c>
      <c r="X904" s="130">
        <f t="shared" si="1118"/>
        <v>0</v>
      </c>
      <c r="Y904" s="130">
        <f t="shared" si="1118"/>
        <v>0</v>
      </c>
      <c r="Z904" s="130">
        <f t="shared" si="1118"/>
        <v>0</v>
      </c>
      <c r="AA904" s="78">
        <f t="shared" si="1037"/>
        <v>106899702.09999999</v>
      </c>
      <c r="AB904" s="78">
        <f t="shared" si="1025"/>
        <v>789298553.16999996</v>
      </c>
      <c r="AC904" s="174">
        <f t="shared" si="1026"/>
        <v>0.97667902509321913</v>
      </c>
    </row>
    <row r="905" spans="1:29" s="63" customFormat="1" ht="15.75" x14ac:dyDescent="0.2">
      <c r="A905" s="397">
        <v>1</v>
      </c>
      <c r="B905" s="81" t="s">
        <v>1097</v>
      </c>
      <c r="C905" s="79" t="s">
        <v>1098</v>
      </c>
      <c r="D905" s="339">
        <f>+D906+D909</f>
        <v>808145289.17999995</v>
      </c>
      <c r="E905" s="187">
        <f>SUM('ADICIONES  2021'!C905:I905)</f>
        <v>0</v>
      </c>
      <c r="F905" s="130"/>
      <c r="G905" s="130">
        <f t="shared" ref="G905:J905" si="1119">+G906+G909</f>
        <v>0</v>
      </c>
      <c r="H905" s="130">
        <f t="shared" si="1119"/>
        <v>0</v>
      </c>
      <c r="I905" s="130">
        <f t="shared" si="1119"/>
        <v>0</v>
      </c>
      <c r="J905" s="130">
        <f t="shared" si="1119"/>
        <v>0</v>
      </c>
      <c r="K905" s="78">
        <f t="shared" si="1038"/>
        <v>808145289.17999995</v>
      </c>
      <c r="L905" s="130">
        <f t="shared" ref="L905:Q905" si="1120">+L906+L909</f>
        <v>168427169</v>
      </c>
      <c r="M905" s="130">
        <f t="shared" si="1120"/>
        <v>166182718</v>
      </c>
      <c r="N905" s="130">
        <f t="shared" si="1120"/>
        <v>107275706</v>
      </c>
      <c r="O905" s="130">
        <f t="shared" si="1120"/>
        <v>117193142</v>
      </c>
      <c r="P905" s="130">
        <f t="shared" si="1120"/>
        <v>40663465</v>
      </c>
      <c r="Q905" s="423">
        <f t="shared" si="1120"/>
        <v>82656651.069999993</v>
      </c>
      <c r="R905" s="78">
        <f t="shared" si="1036"/>
        <v>682398851.06999993</v>
      </c>
      <c r="S905" s="130">
        <f t="shared" ref="S905:Z905" si="1121">+S906+S909</f>
        <v>106899702.09999999</v>
      </c>
      <c r="T905" s="130">
        <f t="shared" si="1121"/>
        <v>0</v>
      </c>
      <c r="U905" s="130">
        <f t="shared" si="1121"/>
        <v>0</v>
      </c>
      <c r="V905" s="130">
        <f t="shared" si="1121"/>
        <v>0</v>
      </c>
      <c r="W905" s="130">
        <f t="shared" si="1121"/>
        <v>0</v>
      </c>
      <c r="X905" s="130">
        <f t="shared" si="1121"/>
        <v>0</v>
      </c>
      <c r="Y905" s="130">
        <f t="shared" si="1121"/>
        <v>0</v>
      </c>
      <c r="Z905" s="130">
        <f t="shared" si="1121"/>
        <v>0</v>
      </c>
      <c r="AA905" s="78">
        <f t="shared" ref="AA905" si="1122">SUM(S905:Z905)</f>
        <v>106899702.09999999</v>
      </c>
      <c r="AB905" s="78">
        <f t="shared" si="1025"/>
        <v>789298553.16999996</v>
      </c>
      <c r="AC905" s="174">
        <f t="shared" si="1026"/>
        <v>0.97667902509321913</v>
      </c>
    </row>
    <row r="906" spans="1:29" s="63" customFormat="1" ht="15.75" x14ac:dyDescent="0.2">
      <c r="A906" s="397"/>
      <c r="B906" s="81" t="s">
        <v>1099</v>
      </c>
      <c r="C906" s="79" t="s">
        <v>1100</v>
      </c>
      <c r="D906" s="339">
        <f>+D907</f>
        <v>567248394.77999997</v>
      </c>
      <c r="E906" s="187">
        <f>SUM('ADICIONES  2021'!C906:I906)</f>
        <v>0</v>
      </c>
      <c r="F906" s="130"/>
      <c r="G906" s="130">
        <f t="shared" ref="G906:J907" si="1123">+G907</f>
        <v>0</v>
      </c>
      <c r="H906" s="130">
        <f t="shared" si="1123"/>
        <v>0</v>
      </c>
      <c r="I906" s="130">
        <f t="shared" si="1123"/>
        <v>0</v>
      </c>
      <c r="J906" s="130">
        <f t="shared" si="1123"/>
        <v>0</v>
      </c>
      <c r="K906" s="78">
        <f t="shared" si="1038"/>
        <v>567248394.77999997</v>
      </c>
      <c r="L906" s="130">
        <f t="shared" ref="L906:Q907" si="1124">+L907</f>
        <v>99831514</v>
      </c>
      <c r="M906" s="130">
        <f t="shared" si="1124"/>
        <v>107661872</v>
      </c>
      <c r="N906" s="130">
        <f t="shared" si="1124"/>
        <v>77081769</v>
      </c>
      <c r="O906" s="130">
        <f t="shared" si="1124"/>
        <v>81220882</v>
      </c>
      <c r="P906" s="130">
        <f t="shared" si="1124"/>
        <v>0</v>
      </c>
      <c r="Q906" s="423">
        <f t="shared" si="1124"/>
        <v>49165591.07</v>
      </c>
      <c r="R906" s="78">
        <f t="shared" si="1036"/>
        <v>414961628.06999999</v>
      </c>
      <c r="S906" s="130">
        <f t="shared" ref="S906:Z907" si="1125">+S907</f>
        <v>74059641.099999994</v>
      </c>
      <c r="T906" s="130">
        <f t="shared" si="1125"/>
        <v>0</v>
      </c>
      <c r="U906" s="130">
        <f t="shared" si="1125"/>
        <v>0</v>
      </c>
      <c r="V906" s="130">
        <f t="shared" si="1125"/>
        <v>0</v>
      </c>
      <c r="W906" s="130">
        <f t="shared" si="1125"/>
        <v>0</v>
      </c>
      <c r="X906" s="130">
        <f t="shared" si="1125"/>
        <v>0</v>
      </c>
      <c r="Y906" s="130">
        <f t="shared" si="1125"/>
        <v>0</v>
      </c>
      <c r="Z906" s="130">
        <f t="shared" si="1125"/>
        <v>0</v>
      </c>
      <c r="AA906" s="78">
        <f t="shared" si="1037"/>
        <v>74059641.099999994</v>
      </c>
      <c r="AB906" s="78">
        <f t="shared" si="1025"/>
        <v>489021269.16999996</v>
      </c>
      <c r="AC906" s="174">
        <f t="shared" si="1026"/>
        <v>0.86209370298819554</v>
      </c>
    </row>
    <row r="907" spans="1:29" s="63" customFormat="1" ht="31.5" x14ac:dyDescent="0.2">
      <c r="A907" s="397"/>
      <c r="B907" s="81" t="s">
        <v>1101</v>
      </c>
      <c r="C907" s="79" t="s">
        <v>1102</v>
      </c>
      <c r="D907" s="339">
        <f>+D908</f>
        <v>567248394.77999997</v>
      </c>
      <c r="E907" s="187">
        <f>SUM('ADICIONES  2021'!C907:I907)</f>
        <v>0</v>
      </c>
      <c r="F907" s="130"/>
      <c r="G907" s="130">
        <f t="shared" si="1123"/>
        <v>0</v>
      </c>
      <c r="H907" s="130">
        <f t="shared" si="1123"/>
        <v>0</v>
      </c>
      <c r="I907" s="130">
        <f t="shared" si="1123"/>
        <v>0</v>
      </c>
      <c r="J907" s="130">
        <f t="shared" si="1123"/>
        <v>0</v>
      </c>
      <c r="K907" s="78">
        <f t="shared" si="1038"/>
        <v>567248394.77999997</v>
      </c>
      <c r="L907" s="130">
        <f t="shared" si="1124"/>
        <v>99831514</v>
      </c>
      <c r="M907" s="130">
        <f t="shared" si="1124"/>
        <v>107661872</v>
      </c>
      <c r="N907" s="130">
        <f t="shared" si="1124"/>
        <v>77081769</v>
      </c>
      <c r="O907" s="130">
        <f t="shared" si="1124"/>
        <v>81220882</v>
      </c>
      <c r="P907" s="130">
        <f t="shared" si="1124"/>
        <v>0</v>
      </c>
      <c r="Q907" s="423">
        <f t="shared" si="1124"/>
        <v>49165591.07</v>
      </c>
      <c r="R907" s="78">
        <f t="shared" si="1036"/>
        <v>414961628.06999999</v>
      </c>
      <c r="S907" s="130">
        <f t="shared" si="1125"/>
        <v>74059641.099999994</v>
      </c>
      <c r="T907" s="130">
        <f t="shared" si="1125"/>
        <v>0</v>
      </c>
      <c r="U907" s="130">
        <f t="shared" si="1125"/>
        <v>0</v>
      </c>
      <c r="V907" s="130">
        <f t="shared" si="1125"/>
        <v>0</v>
      </c>
      <c r="W907" s="130">
        <f t="shared" si="1125"/>
        <v>0</v>
      </c>
      <c r="X907" s="130">
        <f t="shared" si="1125"/>
        <v>0</v>
      </c>
      <c r="Y907" s="130">
        <f t="shared" si="1125"/>
        <v>0</v>
      </c>
      <c r="Z907" s="130">
        <f t="shared" si="1125"/>
        <v>0</v>
      </c>
      <c r="AA907" s="78">
        <f t="shared" si="1037"/>
        <v>74059641.099999994</v>
      </c>
      <c r="AB907" s="78">
        <f t="shared" si="1025"/>
        <v>489021269.16999996</v>
      </c>
      <c r="AC907" s="174">
        <f t="shared" si="1026"/>
        <v>0.86209370298819554</v>
      </c>
    </row>
    <row r="908" spans="1:29" ht="14.25" x14ac:dyDescent="0.2">
      <c r="B908" s="76" t="s">
        <v>1103</v>
      </c>
      <c r="C908" s="77" t="s">
        <v>378</v>
      </c>
      <c r="D908" s="340">
        <v>567248394.77999997</v>
      </c>
      <c r="E908" s="188">
        <f>SUM('ADICIONES  2021'!C908:I908)</f>
        <v>0</v>
      </c>
      <c r="F908" s="131"/>
      <c r="G908" s="131"/>
      <c r="H908" s="131"/>
      <c r="I908" s="131"/>
      <c r="J908" s="131"/>
      <c r="K908" s="128">
        <f t="shared" si="1038"/>
        <v>567248394.77999997</v>
      </c>
      <c r="L908" s="131">
        <v>99831514</v>
      </c>
      <c r="M908" s="131">
        <v>107661872</v>
      </c>
      <c r="N908" s="131">
        <v>77081769</v>
      </c>
      <c r="O908" s="131">
        <v>81220882</v>
      </c>
      <c r="P908" s="131"/>
      <c r="Q908" s="424">
        <v>49165591.07</v>
      </c>
      <c r="R908" s="128">
        <f t="shared" si="1036"/>
        <v>414961628.06999999</v>
      </c>
      <c r="S908" s="131">
        <v>74059641.099999994</v>
      </c>
      <c r="T908" s="131"/>
      <c r="U908" s="131"/>
      <c r="V908" s="131"/>
      <c r="W908" s="131"/>
      <c r="X908" s="131"/>
      <c r="Y908" s="131"/>
      <c r="Z908" s="131"/>
      <c r="AA908" s="128">
        <f t="shared" si="1037"/>
        <v>74059641.099999994</v>
      </c>
      <c r="AB908" s="128">
        <f t="shared" si="1025"/>
        <v>489021269.16999996</v>
      </c>
      <c r="AC908" s="175">
        <f t="shared" si="1026"/>
        <v>0.86209370298819554</v>
      </c>
    </row>
    <row r="909" spans="1:29" s="63" customFormat="1" ht="15.75" x14ac:dyDescent="0.2">
      <c r="A909" s="397"/>
      <c r="B909" s="81" t="s">
        <v>1104</v>
      </c>
      <c r="C909" s="79" t="s">
        <v>1105</v>
      </c>
      <c r="D909" s="339">
        <f>+D910</f>
        <v>240896894.40000001</v>
      </c>
      <c r="E909" s="187">
        <f>SUM('ADICIONES  2021'!C909:I909)</f>
        <v>0</v>
      </c>
      <c r="F909" s="130"/>
      <c r="G909" s="130">
        <f t="shared" ref="G909:J910" si="1126">+G910</f>
        <v>0</v>
      </c>
      <c r="H909" s="130">
        <f t="shared" si="1126"/>
        <v>0</v>
      </c>
      <c r="I909" s="130">
        <f t="shared" si="1126"/>
        <v>0</v>
      </c>
      <c r="J909" s="130">
        <f t="shared" si="1126"/>
        <v>0</v>
      </c>
      <c r="K909" s="78">
        <f t="shared" si="1038"/>
        <v>240896894.40000001</v>
      </c>
      <c r="L909" s="130">
        <f t="shared" ref="L909:Q910" si="1127">+L910</f>
        <v>68595655</v>
      </c>
      <c r="M909" s="130">
        <f t="shared" si="1127"/>
        <v>58520846</v>
      </c>
      <c r="N909" s="130">
        <f t="shared" si="1127"/>
        <v>30193937</v>
      </c>
      <c r="O909" s="130">
        <f t="shared" si="1127"/>
        <v>35972260</v>
      </c>
      <c r="P909" s="130">
        <f t="shared" si="1127"/>
        <v>40663465</v>
      </c>
      <c r="Q909" s="423">
        <f t="shared" si="1127"/>
        <v>33491060</v>
      </c>
      <c r="R909" s="78">
        <f t="shared" si="1036"/>
        <v>267437223</v>
      </c>
      <c r="S909" s="130">
        <f t="shared" ref="S909:Z910" si="1128">+S910</f>
        <v>32840061</v>
      </c>
      <c r="T909" s="130">
        <f t="shared" si="1128"/>
        <v>0</v>
      </c>
      <c r="U909" s="130">
        <f t="shared" si="1128"/>
        <v>0</v>
      </c>
      <c r="V909" s="130">
        <f t="shared" si="1128"/>
        <v>0</v>
      </c>
      <c r="W909" s="130">
        <f t="shared" si="1128"/>
        <v>0</v>
      </c>
      <c r="X909" s="130">
        <f t="shared" si="1128"/>
        <v>0</v>
      </c>
      <c r="Y909" s="130">
        <f t="shared" si="1128"/>
        <v>0</v>
      </c>
      <c r="Z909" s="130">
        <f t="shared" si="1128"/>
        <v>0</v>
      </c>
      <c r="AA909" s="78">
        <f t="shared" si="1037"/>
        <v>32840061</v>
      </c>
      <c r="AB909" s="78">
        <f t="shared" si="1025"/>
        <v>300277284</v>
      </c>
      <c r="AC909" s="174">
        <f t="shared" si="1026"/>
        <v>1.2464971154895885</v>
      </c>
    </row>
    <row r="910" spans="1:29" s="63" customFormat="1" ht="31.5" x14ac:dyDescent="0.2">
      <c r="A910" s="397"/>
      <c r="B910" s="81" t="s">
        <v>1106</v>
      </c>
      <c r="C910" s="79" t="s">
        <v>1107</v>
      </c>
      <c r="D910" s="339">
        <f>+D911</f>
        <v>240896894.40000001</v>
      </c>
      <c r="E910" s="187">
        <f>SUM('ADICIONES  2021'!C910:I910)</f>
        <v>0</v>
      </c>
      <c r="F910" s="130"/>
      <c r="G910" s="130">
        <f t="shared" si="1126"/>
        <v>0</v>
      </c>
      <c r="H910" s="130">
        <f t="shared" si="1126"/>
        <v>0</v>
      </c>
      <c r="I910" s="130">
        <f t="shared" si="1126"/>
        <v>0</v>
      </c>
      <c r="J910" s="130">
        <f t="shared" si="1126"/>
        <v>0</v>
      </c>
      <c r="K910" s="78">
        <f t="shared" si="1038"/>
        <v>240896894.40000001</v>
      </c>
      <c r="L910" s="130">
        <f t="shared" si="1127"/>
        <v>68595655</v>
      </c>
      <c r="M910" s="130">
        <f t="shared" si="1127"/>
        <v>58520846</v>
      </c>
      <c r="N910" s="130">
        <f t="shared" si="1127"/>
        <v>30193937</v>
      </c>
      <c r="O910" s="130">
        <f t="shared" si="1127"/>
        <v>35972260</v>
      </c>
      <c r="P910" s="130">
        <f t="shared" si="1127"/>
        <v>40663465</v>
      </c>
      <c r="Q910" s="423">
        <f t="shared" si="1127"/>
        <v>33491060</v>
      </c>
      <c r="R910" s="78">
        <f t="shared" si="1036"/>
        <v>267437223</v>
      </c>
      <c r="S910" s="130">
        <f t="shared" si="1128"/>
        <v>32840061</v>
      </c>
      <c r="T910" s="130">
        <f t="shared" si="1128"/>
        <v>0</v>
      </c>
      <c r="U910" s="130">
        <f t="shared" si="1128"/>
        <v>0</v>
      </c>
      <c r="V910" s="130">
        <f t="shared" si="1128"/>
        <v>0</v>
      </c>
      <c r="W910" s="130">
        <f t="shared" si="1128"/>
        <v>0</v>
      </c>
      <c r="X910" s="130">
        <f t="shared" si="1128"/>
        <v>0</v>
      </c>
      <c r="Y910" s="130">
        <f t="shared" si="1128"/>
        <v>0</v>
      </c>
      <c r="Z910" s="130">
        <f t="shared" si="1128"/>
        <v>0</v>
      </c>
      <c r="AA910" s="78">
        <f t="shared" ref="AA910" si="1129">SUM(S910:Z910)</f>
        <v>32840061</v>
      </c>
      <c r="AB910" s="78">
        <f t="shared" si="1025"/>
        <v>300277284</v>
      </c>
      <c r="AC910" s="174">
        <f t="shared" si="1026"/>
        <v>1.2464971154895885</v>
      </c>
    </row>
    <row r="911" spans="1:29" ht="14.25" x14ac:dyDescent="0.2">
      <c r="B911" s="76" t="s">
        <v>1108</v>
      </c>
      <c r="C911" s="77" t="s">
        <v>1109</v>
      </c>
      <c r="D911" s="340">
        <v>240896894.40000001</v>
      </c>
      <c r="E911" s="188">
        <f>SUM('ADICIONES  2021'!C911:I911)</f>
        <v>0</v>
      </c>
      <c r="F911" s="131"/>
      <c r="G911" s="131"/>
      <c r="H911" s="131"/>
      <c r="I911" s="131"/>
      <c r="J911" s="131"/>
      <c r="K911" s="128">
        <f t="shared" si="1038"/>
        <v>240896894.40000001</v>
      </c>
      <c r="L911" s="131">
        <v>68595655</v>
      </c>
      <c r="M911" s="131">
        <v>58520846</v>
      </c>
      <c r="N911" s="131">
        <v>30193937</v>
      </c>
      <c r="O911" s="131">
        <v>35972260</v>
      </c>
      <c r="P911" s="131">
        <v>40663465</v>
      </c>
      <c r="Q911" s="424">
        <v>33491060</v>
      </c>
      <c r="R911" s="128">
        <f t="shared" si="1036"/>
        <v>267437223</v>
      </c>
      <c r="S911" s="131">
        <v>32840061</v>
      </c>
      <c r="T911" s="131"/>
      <c r="U911" s="131"/>
      <c r="V911" s="131"/>
      <c r="W911" s="131"/>
      <c r="X911" s="131"/>
      <c r="Y911" s="131"/>
      <c r="Z911" s="131"/>
      <c r="AA911" s="128">
        <f t="shared" si="1037"/>
        <v>32840061</v>
      </c>
      <c r="AB911" s="128">
        <f t="shared" si="1025"/>
        <v>300277284</v>
      </c>
      <c r="AC911" s="175">
        <f t="shared" si="1026"/>
        <v>1.2464971154895885</v>
      </c>
    </row>
    <row r="912" spans="1:29" s="63" customFormat="1" ht="15.75" x14ac:dyDescent="0.2">
      <c r="A912" s="397">
        <v>1</v>
      </c>
      <c r="B912" s="81" t="s">
        <v>822</v>
      </c>
      <c r="C912" s="79" t="s">
        <v>1242</v>
      </c>
      <c r="D912" s="339">
        <f>+D913</f>
        <v>0</v>
      </c>
      <c r="E912" s="187">
        <f>SUM('ADICIONES  2021'!C912:I912)</f>
        <v>21229094602.32</v>
      </c>
      <c r="F912" s="339">
        <f t="shared" ref="F912:J913" si="1130">+F913</f>
        <v>0</v>
      </c>
      <c r="G912" s="339">
        <f t="shared" si="1130"/>
        <v>0</v>
      </c>
      <c r="H912" s="339">
        <f t="shared" si="1130"/>
        <v>0</v>
      </c>
      <c r="I912" s="339">
        <f t="shared" si="1130"/>
        <v>0</v>
      </c>
      <c r="J912" s="339">
        <f t="shared" si="1130"/>
        <v>0</v>
      </c>
      <c r="K912" s="78">
        <f t="shared" si="1038"/>
        <v>21229094602.32</v>
      </c>
      <c r="L912" s="339">
        <f t="shared" ref="L912:Q913" si="1131">+L913</f>
        <v>0</v>
      </c>
      <c r="M912" s="339">
        <f t="shared" si="1131"/>
        <v>0</v>
      </c>
      <c r="N912" s="339">
        <f t="shared" si="1131"/>
        <v>288000000</v>
      </c>
      <c r="O912" s="339">
        <f t="shared" si="1131"/>
        <v>0</v>
      </c>
      <c r="P912" s="339">
        <f t="shared" si="1131"/>
        <v>20941094602.32</v>
      </c>
      <c r="Q912" s="426">
        <f t="shared" si="1131"/>
        <v>0</v>
      </c>
      <c r="R912" s="78">
        <f t="shared" si="1036"/>
        <v>21229094602.32</v>
      </c>
      <c r="S912" s="339">
        <f t="shared" ref="S912:Z913" si="1132">+S913</f>
        <v>0</v>
      </c>
      <c r="T912" s="339">
        <f t="shared" si="1132"/>
        <v>0</v>
      </c>
      <c r="U912" s="339">
        <f t="shared" si="1132"/>
        <v>0</v>
      </c>
      <c r="V912" s="339">
        <f t="shared" si="1132"/>
        <v>0</v>
      </c>
      <c r="W912" s="339">
        <f t="shared" si="1132"/>
        <v>0</v>
      </c>
      <c r="X912" s="339">
        <f t="shared" si="1132"/>
        <v>0</v>
      </c>
      <c r="Y912" s="339">
        <f t="shared" si="1132"/>
        <v>0</v>
      </c>
      <c r="Z912" s="339">
        <f t="shared" si="1132"/>
        <v>0</v>
      </c>
      <c r="AA912" s="78">
        <f t="shared" ref="AA912:AA975" si="1133">SUM(S912:Z912)</f>
        <v>0</v>
      </c>
      <c r="AB912" s="78">
        <f t="shared" si="1025"/>
        <v>21229094602.32</v>
      </c>
      <c r="AC912" s="174">
        <f t="shared" si="1026"/>
        <v>1</v>
      </c>
    </row>
    <row r="913" spans="1:29" s="63" customFormat="1" ht="15.75" x14ac:dyDescent="0.2">
      <c r="A913" s="397"/>
      <c r="B913" s="81" t="s">
        <v>823</v>
      </c>
      <c r="C913" s="79" t="s">
        <v>1243</v>
      </c>
      <c r="D913" s="339">
        <f>+D914</f>
        <v>0</v>
      </c>
      <c r="E913" s="187">
        <f>SUM('ADICIONES  2021'!C913:I913)</f>
        <v>21229094602.32</v>
      </c>
      <c r="F913" s="339">
        <f t="shared" si="1130"/>
        <v>0</v>
      </c>
      <c r="G913" s="339">
        <f t="shared" si="1130"/>
        <v>0</v>
      </c>
      <c r="H913" s="339">
        <f t="shared" si="1130"/>
        <v>0</v>
      </c>
      <c r="I913" s="339">
        <f t="shared" si="1130"/>
        <v>0</v>
      </c>
      <c r="J913" s="339">
        <f t="shared" si="1130"/>
        <v>0</v>
      </c>
      <c r="K913" s="78">
        <f t="shared" si="1038"/>
        <v>21229094602.32</v>
      </c>
      <c r="L913" s="339">
        <f t="shared" si="1131"/>
        <v>0</v>
      </c>
      <c r="M913" s="339">
        <f t="shared" si="1131"/>
        <v>0</v>
      </c>
      <c r="N913" s="339">
        <f t="shared" si="1131"/>
        <v>288000000</v>
      </c>
      <c r="O913" s="339">
        <f t="shared" si="1131"/>
        <v>0</v>
      </c>
      <c r="P913" s="339">
        <f t="shared" si="1131"/>
        <v>20941094602.32</v>
      </c>
      <c r="Q913" s="426">
        <f t="shared" si="1131"/>
        <v>0</v>
      </c>
      <c r="R913" s="78">
        <f t="shared" si="1036"/>
        <v>21229094602.32</v>
      </c>
      <c r="S913" s="339">
        <f t="shared" si="1132"/>
        <v>0</v>
      </c>
      <c r="T913" s="339">
        <f t="shared" si="1132"/>
        <v>0</v>
      </c>
      <c r="U913" s="339">
        <f t="shared" si="1132"/>
        <v>0</v>
      </c>
      <c r="V913" s="339">
        <f t="shared" si="1132"/>
        <v>0</v>
      </c>
      <c r="W913" s="339">
        <f t="shared" si="1132"/>
        <v>0</v>
      </c>
      <c r="X913" s="339">
        <f t="shared" si="1132"/>
        <v>0</v>
      </c>
      <c r="Y913" s="339">
        <f t="shared" si="1132"/>
        <v>0</v>
      </c>
      <c r="Z913" s="339">
        <f t="shared" si="1132"/>
        <v>0</v>
      </c>
      <c r="AA913" s="78">
        <f t="shared" si="1133"/>
        <v>0</v>
      </c>
      <c r="AB913" s="78">
        <f t="shared" si="1025"/>
        <v>21229094602.32</v>
      </c>
      <c r="AC913" s="174">
        <f t="shared" si="1026"/>
        <v>1</v>
      </c>
    </row>
    <row r="914" spans="1:29" s="63" customFormat="1" ht="15.75" x14ac:dyDescent="0.2">
      <c r="A914" s="397"/>
      <c r="B914" s="81" t="s">
        <v>1123</v>
      </c>
      <c r="C914" s="79" t="s">
        <v>1244</v>
      </c>
      <c r="D914" s="339">
        <f>SUM(D915:D962)</f>
        <v>0</v>
      </c>
      <c r="E914" s="187">
        <f>SUM('ADICIONES  2021'!C914:I914)</f>
        <v>21229094602.32</v>
      </c>
      <c r="F914" s="339">
        <f t="shared" ref="F914:J914" si="1134">SUM(F915:F962)</f>
        <v>0</v>
      </c>
      <c r="G914" s="339">
        <f t="shared" si="1134"/>
        <v>0</v>
      </c>
      <c r="H914" s="339">
        <f t="shared" si="1134"/>
        <v>0</v>
      </c>
      <c r="I914" s="339">
        <f t="shared" si="1134"/>
        <v>0</v>
      </c>
      <c r="J914" s="339">
        <f t="shared" si="1134"/>
        <v>0</v>
      </c>
      <c r="K914" s="78">
        <f t="shared" si="1038"/>
        <v>21229094602.32</v>
      </c>
      <c r="L914" s="339">
        <f t="shared" ref="L914:Q914" si="1135">SUM(L915:L962)</f>
        <v>0</v>
      </c>
      <c r="M914" s="339">
        <f t="shared" si="1135"/>
        <v>0</v>
      </c>
      <c r="N914" s="339">
        <f t="shared" si="1135"/>
        <v>288000000</v>
      </c>
      <c r="O914" s="339">
        <f t="shared" si="1135"/>
        <v>0</v>
      </c>
      <c r="P914" s="339">
        <f t="shared" si="1135"/>
        <v>20941094602.32</v>
      </c>
      <c r="Q914" s="426">
        <f t="shared" si="1135"/>
        <v>0</v>
      </c>
      <c r="R914" s="78">
        <f t="shared" si="1036"/>
        <v>21229094602.32</v>
      </c>
      <c r="S914" s="339">
        <f t="shared" ref="S914:Z914" si="1136">SUM(S915:S962)</f>
        <v>0</v>
      </c>
      <c r="T914" s="339">
        <f t="shared" si="1136"/>
        <v>0</v>
      </c>
      <c r="U914" s="339">
        <f t="shared" si="1136"/>
        <v>0</v>
      </c>
      <c r="V914" s="339">
        <f t="shared" si="1136"/>
        <v>0</v>
      </c>
      <c r="W914" s="339">
        <f t="shared" si="1136"/>
        <v>0</v>
      </c>
      <c r="X914" s="339">
        <f t="shared" si="1136"/>
        <v>0</v>
      </c>
      <c r="Y914" s="339">
        <f t="shared" si="1136"/>
        <v>0</v>
      </c>
      <c r="Z914" s="339">
        <f t="shared" si="1136"/>
        <v>0</v>
      </c>
      <c r="AA914" s="78">
        <f t="shared" si="1133"/>
        <v>0</v>
      </c>
      <c r="AB914" s="78">
        <f t="shared" si="1025"/>
        <v>21229094602.32</v>
      </c>
      <c r="AC914" s="174">
        <f t="shared" si="1026"/>
        <v>1</v>
      </c>
    </row>
    <row r="915" spans="1:29" s="63" customFormat="1" ht="15.75" x14ac:dyDescent="0.2">
      <c r="A915" s="397"/>
      <c r="B915" s="76" t="s">
        <v>1245</v>
      </c>
      <c r="C915" s="77" t="s">
        <v>1844</v>
      </c>
      <c r="D915" s="339"/>
      <c r="E915" s="188">
        <f>SUM('ADICIONES  2021'!C915:I915)</f>
        <v>2077475000</v>
      </c>
      <c r="F915" s="130"/>
      <c r="G915" s="130"/>
      <c r="H915" s="130"/>
      <c r="I915" s="130"/>
      <c r="J915" s="130"/>
      <c r="K915" s="128">
        <f t="shared" si="1038"/>
        <v>2077475000</v>
      </c>
      <c r="L915" s="130"/>
      <c r="M915" s="130"/>
      <c r="N915" s="130"/>
      <c r="O915" s="130"/>
      <c r="P915" s="132">
        <v>2077475000</v>
      </c>
      <c r="Q915" s="423"/>
      <c r="R915" s="128">
        <f t="shared" si="1036"/>
        <v>2077475000</v>
      </c>
      <c r="S915" s="130"/>
      <c r="T915" s="130"/>
      <c r="U915" s="130"/>
      <c r="V915" s="130"/>
      <c r="W915" s="130"/>
      <c r="X915" s="130"/>
      <c r="Y915" s="130"/>
      <c r="Z915" s="130"/>
      <c r="AA915" s="128">
        <f t="shared" si="1133"/>
        <v>0</v>
      </c>
      <c r="AB915" s="128">
        <f t="shared" ref="AB915:AB978" si="1137">+R915+AA915</f>
        <v>2077475000</v>
      </c>
      <c r="AC915" s="175">
        <f t="shared" ref="AC915:AC917" si="1138">+AB915/K915</f>
        <v>1</v>
      </c>
    </row>
    <row r="916" spans="1:29" s="63" customFormat="1" ht="15.75" x14ac:dyDescent="0.2">
      <c r="A916" s="397"/>
      <c r="B916" s="76" t="s">
        <v>1245</v>
      </c>
      <c r="C916" s="77" t="s">
        <v>1844</v>
      </c>
      <c r="D916" s="339"/>
      <c r="E916" s="188">
        <f>SUM('ADICIONES  2021'!C916:I916)</f>
        <v>31470991.93</v>
      </c>
      <c r="F916" s="130"/>
      <c r="G916" s="130"/>
      <c r="H916" s="130"/>
      <c r="I916" s="130"/>
      <c r="J916" s="130"/>
      <c r="K916" s="128">
        <f t="shared" si="1038"/>
        <v>31470991.93</v>
      </c>
      <c r="L916" s="130"/>
      <c r="M916" s="130"/>
      <c r="N916" s="130"/>
      <c r="O916" s="130"/>
      <c r="P916" s="132">
        <v>31470991.93</v>
      </c>
      <c r="Q916" s="423"/>
      <c r="R916" s="128">
        <f t="shared" si="1036"/>
        <v>31470991.93</v>
      </c>
      <c r="S916" s="130"/>
      <c r="T916" s="130"/>
      <c r="U916" s="130"/>
      <c r="V916" s="130"/>
      <c r="W916" s="130"/>
      <c r="X916" s="130"/>
      <c r="Y916" s="130"/>
      <c r="Z916" s="130"/>
      <c r="AA916" s="128">
        <f t="shared" si="1133"/>
        <v>0</v>
      </c>
      <c r="AB916" s="128">
        <f t="shared" si="1137"/>
        <v>31470991.93</v>
      </c>
      <c r="AC916" s="175">
        <f t="shared" si="1138"/>
        <v>1</v>
      </c>
    </row>
    <row r="917" spans="1:29" s="63" customFormat="1" ht="15.75" x14ac:dyDescent="0.2">
      <c r="A917" s="397"/>
      <c r="B917" s="76" t="s">
        <v>1245</v>
      </c>
      <c r="C917" s="77" t="s">
        <v>1246</v>
      </c>
      <c r="D917" s="339"/>
      <c r="E917" s="188">
        <f>SUM('ADICIONES  2021'!C917:I917)</f>
        <v>1759084388.54</v>
      </c>
      <c r="F917" s="130"/>
      <c r="G917" s="130"/>
      <c r="H917" s="130"/>
      <c r="I917" s="130"/>
      <c r="J917" s="130"/>
      <c r="K917" s="128">
        <f t="shared" si="1038"/>
        <v>1759084388.54</v>
      </c>
      <c r="L917" s="130"/>
      <c r="M917" s="130"/>
      <c r="N917" s="130"/>
      <c r="O917" s="130"/>
      <c r="P917" s="132">
        <v>1759084388.54</v>
      </c>
      <c r="Q917" s="423"/>
      <c r="R917" s="128">
        <f t="shared" si="1036"/>
        <v>1759084388.54</v>
      </c>
      <c r="S917" s="130"/>
      <c r="T917" s="130"/>
      <c r="U917" s="130"/>
      <c r="V917" s="130"/>
      <c r="W917" s="130"/>
      <c r="X917" s="130"/>
      <c r="Y917" s="130"/>
      <c r="Z917" s="130"/>
      <c r="AA917" s="128">
        <f t="shared" si="1133"/>
        <v>0</v>
      </c>
      <c r="AB917" s="128">
        <f t="shared" si="1137"/>
        <v>1759084388.54</v>
      </c>
      <c r="AC917" s="175">
        <f t="shared" si="1138"/>
        <v>1</v>
      </c>
    </row>
    <row r="918" spans="1:29" ht="14.25" x14ac:dyDescent="0.2">
      <c r="B918" s="76" t="s">
        <v>1245</v>
      </c>
      <c r="C918" s="77" t="s">
        <v>1246</v>
      </c>
      <c r="D918" s="340"/>
      <c r="E918" s="188">
        <f>SUM('ADICIONES  2021'!C918:I918)</f>
        <v>288000000</v>
      </c>
      <c r="F918" s="131"/>
      <c r="G918" s="131"/>
      <c r="H918" s="131"/>
      <c r="I918" s="131"/>
      <c r="J918" s="131"/>
      <c r="K918" s="128">
        <f t="shared" si="1038"/>
        <v>288000000</v>
      </c>
      <c r="L918" s="131"/>
      <c r="M918" s="131"/>
      <c r="N918" s="131">
        <v>288000000</v>
      </c>
      <c r="O918" s="131"/>
      <c r="P918" s="131">
        <v>0</v>
      </c>
      <c r="Q918" s="424"/>
      <c r="R918" s="128">
        <f t="shared" si="1036"/>
        <v>288000000</v>
      </c>
      <c r="S918" s="131"/>
      <c r="T918" s="131"/>
      <c r="U918" s="131"/>
      <c r="V918" s="131"/>
      <c r="W918" s="131"/>
      <c r="X918" s="131"/>
      <c r="Y918" s="131"/>
      <c r="Z918" s="131"/>
      <c r="AA918" s="128">
        <f t="shared" si="1133"/>
        <v>0</v>
      </c>
      <c r="AB918" s="128">
        <f t="shared" si="1137"/>
        <v>288000000</v>
      </c>
      <c r="AC918" s="175">
        <f>+AB918/K918</f>
        <v>1</v>
      </c>
    </row>
    <row r="919" spans="1:29" ht="14.25" x14ac:dyDescent="0.2">
      <c r="B919" s="76" t="s">
        <v>1245</v>
      </c>
      <c r="C919" s="77" t="s">
        <v>1844</v>
      </c>
      <c r="D919" s="131"/>
      <c r="E919" s="188">
        <f>SUM('ADICIONES  2021'!C919:I919)</f>
        <v>92490395.019999996</v>
      </c>
      <c r="F919" s="131"/>
      <c r="G919" s="131"/>
      <c r="H919" s="131"/>
      <c r="I919" s="131"/>
      <c r="J919" s="131"/>
      <c r="K919" s="128">
        <f t="shared" si="1038"/>
        <v>92490395.019999996</v>
      </c>
      <c r="L919" s="131"/>
      <c r="M919" s="131"/>
      <c r="N919" s="131"/>
      <c r="O919" s="131"/>
      <c r="P919" s="131">
        <v>92490395.019999996</v>
      </c>
      <c r="Q919" s="424"/>
      <c r="R919" s="128">
        <f t="shared" si="1036"/>
        <v>92490395.019999996</v>
      </c>
      <c r="S919" s="131"/>
      <c r="T919" s="131"/>
      <c r="U919" s="131"/>
      <c r="V919" s="131"/>
      <c r="W919" s="131"/>
      <c r="X919" s="131"/>
      <c r="Y919" s="131"/>
      <c r="Z919" s="131"/>
      <c r="AA919" s="128">
        <f t="shared" si="1133"/>
        <v>0</v>
      </c>
      <c r="AB919" s="128">
        <f t="shared" si="1137"/>
        <v>92490395.019999996</v>
      </c>
      <c r="AC919" s="175">
        <f t="shared" ref="AC919:AC982" si="1139">+AB919/K919</f>
        <v>1</v>
      </c>
    </row>
    <row r="920" spans="1:29" ht="14.25" x14ac:dyDescent="0.2">
      <c r="B920" s="76" t="s">
        <v>1245</v>
      </c>
      <c r="C920" s="77" t="s">
        <v>1844</v>
      </c>
      <c r="D920" s="131"/>
      <c r="E920" s="188">
        <f>SUM('ADICIONES  2021'!C920:I920)</f>
        <v>598205.68000000005</v>
      </c>
      <c r="F920" s="131"/>
      <c r="G920" s="131"/>
      <c r="H920" s="131"/>
      <c r="I920" s="131"/>
      <c r="J920" s="131"/>
      <c r="K920" s="128">
        <f t="shared" ref="K920:K983" si="1140">+D920+E920-F920+G920-H920</f>
        <v>598205.68000000005</v>
      </c>
      <c r="L920" s="131"/>
      <c r="M920" s="131"/>
      <c r="N920" s="131"/>
      <c r="O920" s="131"/>
      <c r="P920" s="131">
        <v>598205.68000000005</v>
      </c>
      <c r="Q920" s="424"/>
      <c r="R920" s="128">
        <f t="shared" ref="R920:R983" si="1141">SUM(L920:Q920)</f>
        <v>598205.68000000005</v>
      </c>
      <c r="S920" s="131"/>
      <c r="T920" s="131"/>
      <c r="U920" s="131"/>
      <c r="V920" s="131"/>
      <c r="W920" s="131"/>
      <c r="X920" s="131"/>
      <c r="Y920" s="131"/>
      <c r="Z920" s="131"/>
      <c r="AA920" s="128">
        <f t="shared" si="1133"/>
        <v>0</v>
      </c>
      <c r="AB920" s="128">
        <f t="shared" si="1137"/>
        <v>598205.68000000005</v>
      </c>
      <c r="AC920" s="175">
        <f t="shared" si="1139"/>
        <v>1</v>
      </c>
    </row>
    <row r="921" spans="1:29" ht="14.25" x14ac:dyDescent="0.2">
      <c r="B921" s="76" t="s">
        <v>1245</v>
      </c>
      <c r="C921" s="77" t="s">
        <v>1844</v>
      </c>
      <c r="D921" s="131"/>
      <c r="E921" s="188">
        <f>SUM('ADICIONES  2021'!C921:I921)</f>
        <v>29308033</v>
      </c>
      <c r="F921" s="131"/>
      <c r="G921" s="131"/>
      <c r="H921" s="131"/>
      <c r="I921" s="131"/>
      <c r="J921" s="131"/>
      <c r="K921" s="128">
        <f t="shared" si="1140"/>
        <v>29308033</v>
      </c>
      <c r="L921" s="131"/>
      <c r="M921" s="131"/>
      <c r="N921" s="131"/>
      <c r="O921" s="131"/>
      <c r="P921" s="131">
        <v>29308033</v>
      </c>
      <c r="Q921" s="424"/>
      <c r="R921" s="128">
        <f t="shared" si="1141"/>
        <v>29308033</v>
      </c>
      <c r="S921" s="131"/>
      <c r="T921" s="131"/>
      <c r="U921" s="131"/>
      <c r="V921" s="131"/>
      <c r="W921" s="131"/>
      <c r="X921" s="131"/>
      <c r="Y921" s="131"/>
      <c r="Z921" s="131"/>
      <c r="AA921" s="128">
        <f t="shared" si="1133"/>
        <v>0</v>
      </c>
      <c r="AB921" s="128">
        <f t="shared" si="1137"/>
        <v>29308033</v>
      </c>
      <c r="AC921" s="175">
        <f t="shared" si="1139"/>
        <v>1</v>
      </c>
    </row>
    <row r="922" spans="1:29" ht="14.25" x14ac:dyDescent="0.2">
      <c r="B922" s="76" t="s">
        <v>1245</v>
      </c>
      <c r="C922" s="77" t="s">
        <v>1844</v>
      </c>
      <c r="D922" s="131"/>
      <c r="E922" s="188">
        <f>SUM('ADICIONES  2021'!C922:I922)</f>
        <v>153078510.40000001</v>
      </c>
      <c r="F922" s="131"/>
      <c r="G922" s="131"/>
      <c r="H922" s="131"/>
      <c r="I922" s="131"/>
      <c r="J922" s="131"/>
      <c r="K922" s="128">
        <f t="shared" si="1140"/>
        <v>153078510.40000001</v>
      </c>
      <c r="L922" s="131"/>
      <c r="M922" s="131"/>
      <c r="N922" s="131"/>
      <c r="O922" s="131"/>
      <c r="P922" s="131">
        <v>153078510.40000001</v>
      </c>
      <c r="Q922" s="424"/>
      <c r="R922" s="128">
        <f t="shared" si="1141"/>
        <v>153078510.40000001</v>
      </c>
      <c r="S922" s="131"/>
      <c r="T922" s="131"/>
      <c r="U922" s="131"/>
      <c r="V922" s="131"/>
      <c r="W922" s="131"/>
      <c r="X922" s="131"/>
      <c r="Y922" s="131"/>
      <c r="Z922" s="131"/>
      <c r="AA922" s="128">
        <f t="shared" si="1133"/>
        <v>0</v>
      </c>
      <c r="AB922" s="128">
        <f t="shared" si="1137"/>
        <v>153078510.40000001</v>
      </c>
      <c r="AC922" s="175">
        <f t="shared" si="1139"/>
        <v>1</v>
      </c>
    </row>
    <row r="923" spans="1:29" ht="28.5" x14ac:dyDescent="0.2">
      <c r="B923" s="76" t="s">
        <v>1845</v>
      </c>
      <c r="C923" s="77" t="s">
        <v>1846</v>
      </c>
      <c r="D923" s="131"/>
      <c r="E923" s="188">
        <f>SUM('ADICIONES  2021'!C923:I923)</f>
        <v>415910804.39999998</v>
      </c>
      <c r="F923" s="131"/>
      <c r="G923" s="131"/>
      <c r="H923" s="131"/>
      <c r="I923" s="131"/>
      <c r="J923" s="131"/>
      <c r="K923" s="128">
        <f t="shared" si="1140"/>
        <v>415910804.39999998</v>
      </c>
      <c r="L923" s="131"/>
      <c r="M923" s="131"/>
      <c r="N923" s="131"/>
      <c r="O923" s="131"/>
      <c r="P923" s="131">
        <v>415910804.39999998</v>
      </c>
      <c r="Q923" s="424"/>
      <c r="R923" s="128">
        <f t="shared" si="1141"/>
        <v>415910804.39999998</v>
      </c>
      <c r="S923" s="131"/>
      <c r="T923" s="131"/>
      <c r="U923" s="131"/>
      <c r="V923" s="131"/>
      <c r="W923" s="131"/>
      <c r="X923" s="131"/>
      <c r="Y923" s="131"/>
      <c r="Z923" s="131"/>
      <c r="AA923" s="128">
        <f t="shared" si="1133"/>
        <v>0</v>
      </c>
      <c r="AB923" s="128">
        <f t="shared" si="1137"/>
        <v>415910804.39999998</v>
      </c>
      <c r="AC923" s="175">
        <f t="shared" si="1139"/>
        <v>1</v>
      </c>
    </row>
    <row r="924" spans="1:29" ht="28.5" x14ac:dyDescent="0.2">
      <c r="B924" s="76" t="s">
        <v>1845</v>
      </c>
      <c r="C924" s="77" t="s">
        <v>1846</v>
      </c>
      <c r="D924" s="131"/>
      <c r="E924" s="188">
        <f>SUM('ADICIONES  2021'!C924:I924)</f>
        <v>500000</v>
      </c>
      <c r="F924" s="131"/>
      <c r="G924" s="131"/>
      <c r="H924" s="131"/>
      <c r="I924" s="131"/>
      <c r="J924" s="131"/>
      <c r="K924" s="128">
        <f t="shared" si="1140"/>
        <v>500000</v>
      </c>
      <c r="L924" s="131"/>
      <c r="M924" s="131"/>
      <c r="N924" s="131"/>
      <c r="O924" s="131"/>
      <c r="P924" s="131">
        <v>500000</v>
      </c>
      <c r="Q924" s="424"/>
      <c r="R924" s="128">
        <f t="shared" si="1141"/>
        <v>500000</v>
      </c>
      <c r="S924" s="131"/>
      <c r="T924" s="131"/>
      <c r="U924" s="131"/>
      <c r="V924" s="131"/>
      <c r="W924" s="131"/>
      <c r="X924" s="131"/>
      <c r="Y924" s="131"/>
      <c r="Z924" s="131"/>
      <c r="AA924" s="128">
        <f t="shared" si="1133"/>
        <v>0</v>
      </c>
      <c r="AB924" s="128">
        <f t="shared" si="1137"/>
        <v>500000</v>
      </c>
      <c r="AC924" s="175">
        <f t="shared" si="1139"/>
        <v>1</v>
      </c>
    </row>
    <row r="925" spans="1:29" ht="28.5" x14ac:dyDescent="0.2">
      <c r="B925" s="76" t="s">
        <v>1845</v>
      </c>
      <c r="C925" s="77" t="s">
        <v>1846</v>
      </c>
      <c r="D925" s="131"/>
      <c r="E925" s="188">
        <f>SUM('ADICIONES  2021'!C925:I925)</f>
        <v>1050628298</v>
      </c>
      <c r="F925" s="131"/>
      <c r="G925" s="131"/>
      <c r="H925" s="131"/>
      <c r="I925" s="131"/>
      <c r="J925" s="131"/>
      <c r="K925" s="128">
        <f t="shared" si="1140"/>
        <v>1050628298</v>
      </c>
      <c r="L925" s="131"/>
      <c r="M925" s="131"/>
      <c r="N925" s="131"/>
      <c r="O925" s="131"/>
      <c r="P925" s="131">
        <v>1050628298</v>
      </c>
      <c r="Q925" s="424"/>
      <c r="R925" s="128">
        <f t="shared" si="1141"/>
        <v>1050628298</v>
      </c>
      <c r="S925" s="131"/>
      <c r="T925" s="131"/>
      <c r="U925" s="131"/>
      <c r="V925" s="131"/>
      <c r="W925" s="131"/>
      <c r="X925" s="131"/>
      <c r="Y925" s="131"/>
      <c r="Z925" s="131"/>
      <c r="AA925" s="128">
        <f t="shared" si="1133"/>
        <v>0</v>
      </c>
      <c r="AB925" s="128">
        <f t="shared" si="1137"/>
        <v>1050628298</v>
      </c>
      <c r="AC925" s="175">
        <f t="shared" si="1139"/>
        <v>1</v>
      </c>
    </row>
    <row r="926" spans="1:29" ht="28.5" x14ac:dyDescent="0.2">
      <c r="B926" s="76" t="s">
        <v>1845</v>
      </c>
      <c r="C926" s="77" t="s">
        <v>1846</v>
      </c>
      <c r="D926" s="131"/>
      <c r="E926" s="188">
        <f>SUM('ADICIONES  2021'!C926:I926)</f>
        <v>326231624</v>
      </c>
      <c r="F926" s="131"/>
      <c r="G926" s="131"/>
      <c r="H926" s="131"/>
      <c r="I926" s="131"/>
      <c r="J926" s="131"/>
      <c r="K926" s="128">
        <f t="shared" si="1140"/>
        <v>326231624</v>
      </c>
      <c r="L926" s="131"/>
      <c r="M926" s="131"/>
      <c r="N926" s="131"/>
      <c r="O926" s="131"/>
      <c r="P926" s="131">
        <v>326231624</v>
      </c>
      <c r="Q926" s="424"/>
      <c r="R926" s="128">
        <f t="shared" si="1141"/>
        <v>326231624</v>
      </c>
      <c r="S926" s="131"/>
      <c r="T926" s="131"/>
      <c r="U926" s="131"/>
      <c r="V926" s="131"/>
      <c r="W926" s="131"/>
      <c r="X926" s="131"/>
      <c r="Y926" s="131"/>
      <c r="Z926" s="131"/>
      <c r="AA926" s="128">
        <f t="shared" si="1133"/>
        <v>0</v>
      </c>
      <c r="AB926" s="128">
        <f t="shared" si="1137"/>
        <v>326231624</v>
      </c>
      <c r="AC926" s="175">
        <f t="shared" si="1139"/>
        <v>1</v>
      </c>
    </row>
    <row r="927" spans="1:29" ht="28.5" x14ac:dyDescent="0.2">
      <c r="B927" s="76" t="s">
        <v>1845</v>
      </c>
      <c r="C927" s="77" t="s">
        <v>1846</v>
      </c>
      <c r="D927" s="131"/>
      <c r="E927" s="188">
        <f>SUM('ADICIONES  2021'!C927:I927)</f>
        <v>217087307.66999999</v>
      </c>
      <c r="F927" s="131"/>
      <c r="G927" s="131"/>
      <c r="H927" s="131"/>
      <c r="I927" s="131"/>
      <c r="J927" s="131"/>
      <c r="K927" s="128">
        <f t="shared" si="1140"/>
        <v>217087307.66999999</v>
      </c>
      <c r="L927" s="131"/>
      <c r="M927" s="131"/>
      <c r="N927" s="131"/>
      <c r="O927" s="131"/>
      <c r="P927" s="131">
        <v>217087307.66999999</v>
      </c>
      <c r="Q927" s="424"/>
      <c r="R927" s="128">
        <f t="shared" si="1141"/>
        <v>217087307.66999999</v>
      </c>
      <c r="S927" s="131"/>
      <c r="T927" s="131"/>
      <c r="U927" s="131"/>
      <c r="V927" s="131"/>
      <c r="W927" s="131"/>
      <c r="X927" s="131"/>
      <c r="Y927" s="131"/>
      <c r="Z927" s="131"/>
      <c r="AA927" s="128">
        <f t="shared" si="1133"/>
        <v>0</v>
      </c>
      <c r="AB927" s="128">
        <f t="shared" si="1137"/>
        <v>217087307.66999999</v>
      </c>
      <c r="AC927" s="175">
        <f t="shared" si="1139"/>
        <v>1</v>
      </c>
    </row>
    <row r="928" spans="1:29" ht="28.5" x14ac:dyDescent="0.2">
      <c r="B928" s="76" t="s">
        <v>1845</v>
      </c>
      <c r="C928" s="77" t="s">
        <v>1846</v>
      </c>
      <c r="D928" s="131"/>
      <c r="E928" s="188">
        <f>SUM('ADICIONES  2021'!C928:I928)</f>
        <v>300000000</v>
      </c>
      <c r="F928" s="131"/>
      <c r="G928" s="131"/>
      <c r="H928" s="131"/>
      <c r="I928" s="131"/>
      <c r="J928" s="131"/>
      <c r="K928" s="128">
        <f t="shared" si="1140"/>
        <v>300000000</v>
      </c>
      <c r="L928" s="131"/>
      <c r="M928" s="131"/>
      <c r="N928" s="131"/>
      <c r="O928" s="131"/>
      <c r="P928" s="131">
        <v>300000000</v>
      </c>
      <c r="Q928" s="424"/>
      <c r="R928" s="128">
        <f t="shared" si="1141"/>
        <v>300000000</v>
      </c>
      <c r="S928" s="131"/>
      <c r="T928" s="131"/>
      <c r="U928" s="131"/>
      <c r="V928" s="131"/>
      <c r="W928" s="131"/>
      <c r="X928" s="131"/>
      <c r="Y928" s="131"/>
      <c r="Z928" s="131"/>
      <c r="AA928" s="128">
        <f t="shared" si="1133"/>
        <v>0</v>
      </c>
      <c r="AB928" s="128">
        <f t="shared" si="1137"/>
        <v>300000000</v>
      </c>
      <c r="AC928" s="175">
        <f t="shared" si="1139"/>
        <v>1</v>
      </c>
    </row>
    <row r="929" spans="2:29" ht="28.5" x14ac:dyDescent="0.2">
      <c r="B929" s="76" t="s">
        <v>1845</v>
      </c>
      <c r="C929" s="77" t="s">
        <v>1846</v>
      </c>
      <c r="D929" s="131"/>
      <c r="E929" s="188">
        <f>SUM('ADICIONES  2021'!C929:I929)</f>
        <v>112655921</v>
      </c>
      <c r="F929" s="131"/>
      <c r="G929" s="131"/>
      <c r="H929" s="131"/>
      <c r="I929" s="131"/>
      <c r="J929" s="131"/>
      <c r="K929" s="128">
        <f t="shared" si="1140"/>
        <v>112655921</v>
      </c>
      <c r="L929" s="131"/>
      <c r="M929" s="131"/>
      <c r="N929" s="131"/>
      <c r="O929" s="131"/>
      <c r="P929" s="131">
        <v>112655921</v>
      </c>
      <c r="Q929" s="424"/>
      <c r="R929" s="128">
        <f t="shared" si="1141"/>
        <v>112655921</v>
      </c>
      <c r="S929" s="131"/>
      <c r="T929" s="131"/>
      <c r="U929" s="131"/>
      <c r="V929" s="131"/>
      <c r="W929" s="131"/>
      <c r="X929" s="131"/>
      <c r="Y929" s="131"/>
      <c r="Z929" s="131"/>
      <c r="AA929" s="128">
        <f t="shared" si="1133"/>
        <v>0</v>
      </c>
      <c r="AB929" s="128">
        <f t="shared" si="1137"/>
        <v>112655921</v>
      </c>
      <c r="AC929" s="175">
        <f t="shared" si="1139"/>
        <v>1</v>
      </c>
    </row>
    <row r="930" spans="2:29" ht="28.5" x14ac:dyDescent="0.2">
      <c r="B930" s="76" t="s">
        <v>1845</v>
      </c>
      <c r="C930" s="77" t="s">
        <v>1846</v>
      </c>
      <c r="D930" s="131"/>
      <c r="E930" s="188">
        <f>SUM('ADICIONES  2021'!C930:I930)</f>
        <v>10937000</v>
      </c>
      <c r="F930" s="131"/>
      <c r="G930" s="131"/>
      <c r="H930" s="131"/>
      <c r="I930" s="131"/>
      <c r="J930" s="131"/>
      <c r="K930" s="128">
        <f t="shared" si="1140"/>
        <v>10937000</v>
      </c>
      <c r="L930" s="131"/>
      <c r="M930" s="131"/>
      <c r="N930" s="131"/>
      <c r="O930" s="131"/>
      <c r="P930" s="131">
        <v>10937000</v>
      </c>
      <c r="Q930" s="424"/>
      <c r="R930" s="128">
        <f t="shared" si="1141"/>
        <v>10937000</v>
      </c>
      <c r="S930" s="131"/>
      <c r="T930" s="131"/>
      <c r="U930" s="131"/>
      <c r="V930" s="131"/>
      <c r="W930" s="131"/>
      <c r="X930" s="131"/>
      <c r="Y930" s="131"/>
      <c r="Z930" s="131"/>
      <c r="AA930" s="128">
        <f t="shared" si="1133"/>
        <v>0</v>
      </c>
      <c r="AB930" s="128">
        <f t="shared" si="1137"/>
        <v>10937000</v>
      </c>
      <c r="AC930" s="175">
        <f t="shared" si="1139"/>
        <v>1</v>
      </c>
    </row>
    <row r="931" spans="2:29" ht="28.5" x14ac:dyDescent="0.2">
      <c r="B931" s="76" t="s">
        <v>1845</v>
      </c>
      <c r="C931" s="77" t="s">
        <v>1846</v>
      </c>
      <c r="D931" s="131"/>
      <c r="E931" s="188">
        <f>SUM('ADICIONES  2021'!C931:I931)</f>
        <v>1166036001</v>
      </c>
      <c r="F931" s="131"/>
      <c r="G931" s="131"/>
      <c r="H931" s="131"/>
      <c r="I931" s="131"/>
      <c r="J931" s="131"/>
      <c r="K931" s="128">
        <f t="shared" si="1140"/>
        <v>1166036001</v>
      </c>
      <c r="L931" s="131"/>
      <c r="M931" s="131"/>
      <c r="N931" s="131"/>
      <c r="O931" s="131"/>
      <c r="P931" s="131">
        <v>1166036001</v>
      </c>
      <c r="Q931" s="424"/>
      <c r="R931" s="128">
        <f t="shared" si="1141"/>
        <v>1166036001</v>
      </c>
      <c r="S931" s="131"/>
      <c r="T931" s="131"/>
      <c r="U931" s="131"/>
      <c r="V931" s="131"/>
      <c r="W931" s="131"/>
      <c r="X931" s="131"/>
      <c r="Y931" s="131"/>
      <c r="Z931" s="131"/>
      <c r="AA931" s="128">
        <f t="shared" si="1133"/>
        <v>0</v>
      </c>
      <c r="AB931" s="128">
        <f t="shared" si="1137"/>
        <v>1166036001</v>
      </c>
      <c r="AC931" s="175">
        <f t="shared" si="1139"/>
        <v>1</v>
      </c>
    </row>
    <row r="932" spans="2:29" ht="28.5" x14ac:dyDescent="0.2">
      <c r="B932" s="76" t="s">
        <v>1845</v>
      </c>
      <c r="C932" s="77" t="s">
        <v>1846</v>
      </c>
      <c r="D932" s="131"/>
      <c r="E932" s="188">
        <f>SUM('ADICIONES  2021'!C932:I932)</f>
        <v>920162986.5</v>
      </c>
      <c r="F932" s="131"/>
      <c r="G932" s="131"/>
      <c r="H932" s="131"/>
      <c r="I932" s="131"/>
      <c r="J932" s="131"/>
      <c r="K932" s="128">
        <f t="shared" si="1140"/>
        <v>920162986.5</v>
      </c>
      <c r="L932" s="131"/>
      <c r="M932" s="131"/>
      <c r="N932" s="131"/>
      <c r="O932" s="131"/>
      <c r="P932" s="131">
        <v>920162986.5</v>
      </c>
      <c r="Q932" s="424"/>
      <c r="R932" s="128">
        <f t="shared" si="1141"/>
        <v>920162986.5</v>
      </c>
      <c r="S932" s="131"/>
      <c r="T932" s="131"/>
      <c r="U932" s="131"/>
      <c r="V932" s="131"/>
      <c r="W932" s="131"/>
      <c r="X932" s="131"/>
      <c r="Y932" s="131"/>
      <c r="Z932" s="131"/>
      <c r="AA932" s="128">
        <f t="shared" si="1133"/>
        <v>0</v>
      </c>
      <c r="AB932" s="128">
        <f t="shared" si="1137"/>
        <v>920162986.5</v>
      </c>
      <c r="AC932" s="175">
        <f t="shared" si="1139"/>
        <v>1</v>
      </c>
    </row>
    <row r="933" spans="2:29" ht="14.25" x14ac:dyDescent="0.2">
      <c r="B933" s="76" t="s">
        <v>1847</v>
      </c>
      <c r="C933" s="77" t="s">
        <v>1848</v>
      </c>
      <c r="D933" s="131"/>
      <c r="E933" s="188">
        <f>SUM('ADICIONES  2021'!C933:I933)</f>
        <v>2695161841.1199999</v>
      </c>
      <c r="F933" s="131"/>
      <c r="G933" s="131"/>
      <c r="H933" s="131"/>
      <c r="I933" s="131"/>
      <c r="J933" s="131"/>
      <c r="K933" s="128">
        <f t="shared" si="1140"/>
        <v>2695161841.1199999</v>
      </c>
      <c r="L933" s="131"/>
      <c r="M933" s="131"/>
      <c r="N933" s="131"/>
      <c r="O933" s="131"/>
      <c r="P933" s="131">
        <v>2695161841.1199999</v>
      </c>
      <c r="Q933" s="424"/>
      <c r="R933" s="128">
        <f t="shared" si="1141"/>
        <v>2695161841.1199999</v>
      </c>
      <c r="S933" s="131"/>
      <c r="T933" s="131"/>
      <c r="U933" s="131"/>
      <c r="V933" s="131"/>
      <c r="W933" s="131"/>
      <c r="X933" s="131"/>
      <c r="Y933" s="131"/>
      <c r="Z933" s="131"/>
      <c r="AA933" s="128">
        <f t="shared" si="1133"/>
        <v>0</v>
      </c>
      <c r="AB933" s="128">
        <f t="shared" si="1137"/>
        <v>2695161841.1199999</v>
      </c>
      <c r="AC933" s="175">
        <f t="shared" si="1139"/>
        <v>1</v>
      </c>
    </row>
    <row r="934" spans="2:29" ht="14.25" x14ac:dyDescent="0.2">
      <c r="B934" s="76" t="s">
        <v>1847</v>
      </c>
      <c r="C934" s="77" t="s">
        <v>1848</v>
      </c>
      <c r="D934" s="131"/>
      <c r="E934" s="188">
        <f>SUM('ADICIONES  2021'!C934:I934)</f>
        <v>13635000</v>
      </c>
      <c r="F934" s="131"/>
      <c r="G934" s="131"/>
      <c r="H934" s="131"/>
      <c r="I934" s="131"/>
      <c r="J934" s="131"/>
      <c r="K934" s="128">
        <f t="shared" si="1140"/>
        <v>13635000</v>
      </c>
      <c r="L934" s="131"/>
      <c r="M934" s="131"/>
      <c r="N934" s="131"/>
      <c r="O934" s="131"/>
      <c r="P934" s="131">
        <v>13635000</v>
      </c>
      <c r="Q934" s="424"/>
      <c r="R934" s="128">
        <f t="shared" si="1141"/>
        <v>13635000</v>
      </c>
      <c r="S934" s="131"/>
      <c r="T934" s="131"/>
      <c r="U934" s="131"/>
      <c r="V934" s="131"/>
      <c r="W934" s="131"/>
      <c r="X934" s="131"/>
      <c r="Y934" s="131"/>
      <c r="Z934" s="131"/>
      <c r="AA934" s="128">
        <f t="shared" si="1133"/>
        <v>0</v>
      </c>
      <c r="AB934" s="128">
        <f t="shared" si="1137"/>
        <v>13635000</v>
      </c>
      <c r="AC934" s="175">
        <f t="shared" si="1139"/>
        <v>1</v>
      </c>
    </row>
    <row r="935" spans="2:29" ht="14.25" x14ac:dyDescent="0.2">
      <c r="B935" s="76" t="s">
        <v>1847</v>
      </c>
      <c r="C935" s="77" t="s">
        <v>1848</v>
      </c>
      <c r="D935" s="131"/>
      <c r="E935" s="188">
        <f>SUM('ADICIONES  2021'!C935:I935)</f>
        <v>407273.67</v>
      </c>
      <c r="F935" s="131"/>
      <c r="G935" s="131"/>
      <c r="H935" s="131"/>
      <c r="I935" s="131"/>
      <c r="J935" s="131"/>
      <c r="K935" s="128">
        <f t="shared" si="1140"/>
        <v>407273.67</v>
      </c>
      <c r="L935" s="131"/>
      <c r="M935" s="131"/>
      <c r="N935" s="131"/>
      <c r="O935" s="131"/>
      <c r="P935" s="131">
        <v>407273.67</v>
      </c>
      <c r="Q935" s="424"/>
      <c r="R935" s="128">
        <f t="shared" si="1141"/>
        <v>407273.67</v>
      </c>
      <c r="S935" s="131"/>
      <c r="T935" s="131"/>
      <c r="U935" s="131"/>
      <c r="V935" s="131"/>
      <c r="W935" s="131"/>
      <c r="X935" s="131"/>
      <c r="Y935" s="131"/>
      <c r="Z935" s="131"/>
      <c r="AA935" s="128">
        <f t="shared" si="1133"/>
        <v>0</v>
      </c>
      <c r="AB935" s="128">
        <f t="shared" si="1137"/>
        <v>407273.67</v>
      </c>
      <c r="AC935" s="175">
        <f t="shared" si="1139"/>
        <v>1</v>
      </c>
    </row>
    <row r="936" spans="2:29" ht="14.25" x14ac:dyDescent="0.2">
      <c r="B936" s="76" t="s">
        <v>1847</v>
      </c>
      <c r="C936" s="77" t="s">
        <v>1848</v>
      </c>
      <c r="D936" s="131"/>
      <c r="E936" s="188">
        <f>SUM('ADICIONES  2021'!C936:I936)</f>
        <v>73280168</v>
      </c>
      <c r="F936" s="131"/>
      <c r="G936" s="131"/>
      <c r="H936" s="131"/>
      <c r="I936" s="131"/>
      <c r="J936" s="131"/>
      <c r="K936" s="128">
        <f t="shared" si="1140"/>
        <v>73280168</v>
      </c>
      <c r="L936" s="131"/>
      <c r="M936" s="131"/>
      <c r="N936" s="131"/>
      <c r="O936" s="131"/>
      <c r="P936" s="131">
        <v>73280168</v>
      </c>
      <c r="Q936" s="424"/>
      <c r="R936" s="128">
        <f t="shared" si="1141"/>
        <v>73280168</v>
      </c>
      <c r="S936" s="131"/>
      <c r="T936" s="131"/>
      <c r="U936" s="131"/>
      <c r="V936" s="131"/>
      <c r="W936" s="131"/>
      <c r="X936" s="131"/>
      <c r="Y936" s="131"/>
      <c r="Z936" s="131"/>
      <c r="AA936" s="128">
        <f t="shared" si="1133"/>
        <v>0</v>
      </c>
      <c r="AB936" s="128">
        <f t="shared" si="1137"/>
        <v>73280168</v>
      </c>
      <c r="AC936" s="175">
        <f t="shared" si="1139"/>
        <v>1</v>
      </c>
    </row>
    <row r="937" spans="2:29" ht="14.25" x14ac:dyDescent="0.2">
      <c r="B937" s="76" t="s">
        <v>1847</v>
      </c>
      <c r="C937" s="77" t="s">
        <v>1848</v>
      </c>
      <c r="D937" s="131"/>
      <c r="E937" s="188">
        <f>SUM('ADICIONES  2021'!C937:I937)</f>
        <v>450200</v>
      </c>
      <c r="F937" s="131"/>
      <c r="G937" s="131"/>
      <c r="H937" s="131"/>
      <c r="I937" s="131"/>
      <c r="J937" s="131"/>
      <c r="K937" s="128">
        <f t="shared" si="1140"/>
        <v>450200</v>
      </c>
      <c r="L937" s="131"/>
      <c r="M937" s="131"/>
      <c r="N937" s="131"/>
      <c r="O937" s="131"/>
      <c r="P937" s="131">
        <v>450200</v>
      </c>
      <c r="Q937" s="424"/>
      <c r="R937" s="128">
        <f t="shared" si="1141"/>
        <v>450200</v>
      </c>
      <c r="S937" s="131"/>
      <c r="T937" s="131"/>
      <c r="U937" s="131"/>
      <c r="V937" s="131"/>
      <c r="W937" s="131"/>
      <c r="X937" s="131"/>
      <c r="Y937" s="131"/>
      <c r="Z937" s="131"/>
      <c r="AA937" s="128">
        <f t="shared" si="1133"/>
        <v>0</v>
      </c>
      <c r="AB937" s="128">
        <f t="shared" si="1137"/>
        <v>450200</v>
      </c>
      <c r="AC937" s="175">
        <f t="shared" si="1139"/>
        <v>1</v>
      </c>
    </row>
    <row r="938" spans="2:29" ht="14.25" x14ac:dyDescent="0.2">
      <c r="B938" s="76" t="s">
        <v>1847</v>
      </c>
      <c r="C938" s="77" t="s">
        <v>1848</v>
      </c>
      <c r="D938" s="131"/>
      <c r="E938" s="188">
        <f>SUM('ADICIONES  2021'!C938:I938)</f>
        <v>153428321.09999999</v>
      </c>
      <c r="F938" s="131"/>
      <c r="G938" s="131"/>
      <c r="H938" s="131"/>
      <c r="I938" s="131"/>
      <c r="J938" s="131"/>
      <c r="K938" s="128">
        <f t="shared" si="1140"/>
        <v>153428321.09999999</v>
      </c>
      <c r="L938" s="131"/>
      <c r="M938" s="131"/>
      <c r="N938" s="131"/>
      <c r="O938" s="131"/>
      <c r="P938" s="131">
        <v>153428321.09999999</v>
      </c>
      <c r="Q938" s="424"/>
      <c r="R938" s="128">
        <f t="shared" si="1141"/>
        <v>153428321.09999999</v>
      </c>
      <c r="S938" s="131"/>
      <c r="T938" s="131"/>
      <c r="U938" s="131"/>
      <c r="V938" s="131"/>
      <c r="W938" s="131"/>
      <c r="X938" s="131"/>
      <c r="Y938" s="131"/>
      <c r="Z938" s="131"/>
      <c r="AA938" s="128">
        <f t="shared" si="1133"/>
        <v>0</v>
      </c>
      <c r="AB938" s="128">
        <f t="shared" si="1137"/>
        <v>153428321.09999999</v>
      </c>
      <c r="AC938" s="175">
        <f t="shared" si="1139"/>
        <v>1</v>
      </c>
    </row>
    <row r="939" spans="2:29" ht="14.25" x14ac:dyDescent="0.2">
      <c r="B939" s="76" t="s">
        <v>1847</v>
      </c>
      <c r="C939" s="77" t="s">
        <v>1848</v>
      </c>
      <c r="D939" s="131"/>
      <c r="E939" s="188">
        <f>SUM('ADICIONES  2021'!C939:I939)</f>
        <v>19900000</v>
      </c>
      <c r="F939" s="131"/>
      <c r="G939" s="131"/>
      <c r="H939" s="131"/>
      <c r="I939" s="131"/>
      <c r="J939" s="131"/>
      <c r="K939" s="128">
        <f t="shared" si="1140"/>
        <v>19900000</v>
      </c>
      <c r="L939" s="131"/>
      <c r="M939" s="131"/>
      <c r="N939" s="131"/>
      <c r="O939" s="131"/>
      <c r="P939" s="131">
        <v>19900000</v>
      </c>
      <c r="Q939" s="424"/>
      <c r="R939" s="128">
        <f t="shared" si="1141"/>
        <v>19900000</v>
      </c>
      <c r="S939" s="131"/>
      <c r="T939" s="131"/>
      <c r="U939" s="131"/>
      <c r="V939" s="131"/>
      <c r="W939" s="131"/>
      <c r="X939" s="131"/>
      <c r="Y939" s="131"/>
      <c r="Z939" s="131"/>
      <c r="AA939" s="128">
        <f t="shared" si="1133"/>
        <v>0</v>
      </c>
      <c r="AB939" s="128">
        <f t="shared" si="1137"/>
        <v>19900000</v>
      </c>
      <c r="AC939" s="175">
        <f t="shared" si="1139"/>
        <v>1</v>
      </c>
    </row>
    <row r="940" spans="2:29" ht="14.25" x14ac:dyDescent="0.2">
      <c r="B940" s="76" t="s">
        <v>1847</v>
      </c>
      <c r="C940" s="77" t="s">
        <v>1848</v>
      </c>
      <c r="D940" s="131"/>
      <c r="E940" s="188">
        <f>SUM('ADICIONES  2021'!C940:I940)</f>
        <v>71223068</v>
      </c>
      <c r="F940" s="131"/>
      <c r="G940" s="131"/>
      <c r="H940" s="131"/>
      <c r="I940" s="131"/>
      <c r="J940" s="131"/>
      <c r="K940" s="128">
        <f t="shared" si="1140"/>
        <v>71223068</v>
      </c>
      <c r="L940" s="131"/>
      <c r="M940" s="131"/>
      <c r="N940" s="131"/>
      <c r="O940" s="131"/>
      <c r="P940" s="131">
        <v>71223068</v>
      </c>
      <c r="Q940" s="424"/>
      <c r="R940" s="128">
        <f t="shared" si="1141"/>
        <v>71223068</v>
      </c>
      <c r="S940" s="131"/>
      <c r="T940" s="131"/>
      <c r="U940" s="131"/>
      <c r="V940" s="131"/>
      <c r="W940" s="131"/>
      <c r="X940" s="131"/>
      <c r="Y940" s="131"/>
      <c r="Z940" s="131"/>
      <c r="AA940" s="128">
        <f t="shared" si="1133"/>
        <v>0</v>
      </c>
      <c r="AB940" s="128">
        <f t="shared" si="1137"/>
        <v>71223068</v>
      </c>
      <c r="AC940" s="175">
        <f t="shared" si="1139"/>
        <v>1</v>
      </c>
    </row>
    <row r="941" spans="2:29" ht="14.25" x14ac:dyDescent="0.2">
      <c r="B941" s="76" t="s">
        <v>1847</v>
      </c>
      <c r="C941" s="77" t="s">
        <v>1848</v>
      </c>
      <c r="D941" s="131"/>
      <c r="E941" s="188">
        <f>SUM('ADICIONES  2021'!C941:I941)</f>
        <v>400000</v>
      </c>
      <c r="F941" s="131"/>
      <c r="G941" s="131"/>
      <c r="H941" s="131"/>
      <c r="I941" s="131"/>
      <c r="J941" s="131"/>
      <c r="K941" s="128">
        <f t="shared" si="1140"/>
        <v>400000</v>
      </c>
      <c r="L941" s="131"/>
      <c r="M941" s="131"/>
      <c r="N941" s="131"/>
      <c r="O941" s="131"/>
      <c r="P941" s="131">
        <v>400000</v>
      </c>
      <c r="Q941" s="424"/>
      <c r="R941" s="128">
        <f t="shared" si="1141"/>
        <v>400000</v>
      </c>
      <c r="S941" s="131"/>
      <c r="T941" s="131"/>
      <c r="U941" s="131"/>
      <c r="V941" s="131"/>
      <c r="W941" s="131"/>
      <c r="X941" s="131"/>
      <c r="Y941" s="131"/>
      <c r="Z941" s="131"/>
      <c r="AA941" s="128">
        <f t="shared" si="1133"/>
        <v>0</v>
      </c>
      <c r="AB941" s="128">
        <f t="shared" si="1137"/>
        <v>400000</v>
      </c>
      <c r="AC941" s="175">
        <f t="shared" si="1139"/>
        <v>1</v>
      </c>
    </row>
    <row r="942" spans="2:29" ht="14.25" x14ac:dyDescent="0.2">
      <c r="B942" s="76" t="s">
        <v>1847</v>
      </c>
      <c r="C942" s="77" t="s">
        <v>1848</v>
      </c>
      <c r="D942" s="131"/>
      <c r="E942" s="188">
        <f>SUM('ADICIONES  2021'!C942:I942)</f>
        <v>476922002</v>
      </c>
      <c r="F942" s="131"/>
      <c r="G942" s="131"/>
      <c r="H942" s="131"/>
      <c r="I942" s="131"/>
      <c r="J942" s="131"/>
      <c r="K942" s="128">
        <f t="shared" si="1140"/>
        <v>476922002</v>
      </c>
      <c r="L942" s="131"/>
      <c r="M942" s="131"/>
      <c r="N942" s="131"/>
      <c r="O942" s="131"/>
      <c r="P942" s="131">
        <v>476922002</v>
      </c>
      <c r="Q942" s="424"/>
      <c r="R942" s="128">
        <f t="shared" si="1141"/>
        <v>476922002</v>
      </c>
      <c r="S942" s="131"/>
      <c r="T942" s="131"/>
      <c r="U942" s="131"/>
      <c r="V942" s="131"/>
      <c r="W942" s="131"/>
      <c r="X942" s="131"/>
      <c r="Y942" s="131"/>
      <c r="Z942" s="131"/>
      <c r="AA942" s="128">
        <f t="shared" si="1133"/>
        <v>0</v>
      </c>
      <c r="AB942" s="128">
        <f t="shared" si="1137"/>
        <v>476922002</v>
      </c>
      <c r="AC942" s="175">
        <f t="shared" si="1139"/>
        <v>1</v>
      </c>
    </row>
    <row r="943" spans="2:29" ht="14.25" x14ac:dyDescent="0.2">
      <c r="B943" s="76" t="s">
        <v>1847</v>
      </c>
      <c r="C943" s="77" t="s">
        <v>1848</v>
      </c>
      <c r="D943" s="131"/>
      <c r="E943" s="188">
        <f>SUM('ADICIONES  2021'!C943:I943)</f>
        <v>158465735.84</v>
      </c>
      <c r="F943" s="131"/>
      <c r="G943" s="131"/>
      <c r="H943" s="131"/>
      <c r="I943" s="131"/>
      <c r="J943" s="131"/>
      <c r="K943" s="128">
        <f t="shared" si="1140"/>
        <v>158465735.84</v>
      </c>
      <c r="L943" s="131"/>
      <c r="M943" s="131"/>
      <c r="N943" s="131"/>
      <c r="O943" s="131"/>
      <c r="P943" s="131">
        <v>158465735.84</v>
      </c>
      <c r="Q943" s="424"/>
      <c r="R943" s="128">
        <f t="shared" si="1141"/>
        <v>158465735.84</v>
      </c>
      <c r="S943" s="131"/>
      <c r="T943" s="131"/>
      <c r="U943" s="131"/>
      <c r="V943" s="131"/>
      <c r="W943" s="131"/>
      <c r="X943" s="131"/>
      <c r="Y943" s="131"/>
      <c r="Z943" s="131"/>
      <c r="AA943" s="128">
        <f t="shared" si="1133"/>
        <v>0</v>
      </c>
      <c r="AB943" s="128">
        <f t="shared" si="1137"/>
        <v>158465735.84</v>
      </c>
      <c r="AC943" s="175">
        <f t="shared" si="1139"/>
        <v>1</v>
      </c>
    </row>
    <row r="944" spans="2:29" ht="14.25" x14ac:dyDescent="0.2">
      <c r="B944" s="76" t="s">
        <v>1847</v>
      </c>
      <c r="C944" s="77" t="s">
        <v>1848</v>
      </c>
      <c r="D944" s="131"/>
      <c r="E944" s="188">
        <f>SUM('ADICIONES  2021'!C944:I944)</f>
        <v>567785.43999999994</v>
      </c>
      <c r="F944" s="131"/>
      <c r="G944" s="131"/>
      <c r="H944" s="131"/>
      <c r="I944" s="131"/>
      <c r="J944" s="131"/>
      <c r="K944" s="128">
        <f t="shared" si="1140"/>
        <v>567785.43999999994</v>
      </c>
      <c r="L944" s="131"/>
      <c r="M944" s="131"/>
      <c r="N944" s="131"/>
      <c r="O944" s="131"/>
      <c r="P944" s="131">
        <v>567785.43999999994</v>
      </c>
      <c r="Q944" s="424"/>
      <c r="R944" s="128">
        <f t="shared" si="1141"/>
        <v>567785.43999999994</v>
      </c>
      <c r="S944" s="131"/>
      <c r="T944" s="131"/>
      <c r="U944" s="131"/>
      <c r="V944" s="131"/>
      <c r="W944" s="131"/>
      <c r="X944" s="131"/>
      <c r="Y944" s="131"/>
      <c r="Z944" s="131"/>
      <c r="AA944" s="128">
        <f t="shared" si="1133"/>
        <v>0</v>
      </c>
      <c r="AB944" s="128">
        <f t="shared" si="1137"/>
        <v>567785.43999999994</v>
      </c>
      <c r="AC944" s="175">
        <f t="shared" si="1139"/>
        <v>1</v>
      </c>
    </row>
    <row r="945" spans="2:29" ht="14.25" x14ac:dyDescent="0.2">
      <c r="B945" s="76" t="s">
        <v>1847</v>
      </c>
      <c r="C945" s="77" t="s">
        <v>1848</v>
      </c>
      <c r="D945" s="131"/>
      <c r="E945" s="188">
        <f>SUM('ADICIONES  2021'!C945:I945)</f>
        <v>3921720000</v>
      </c>
      <c r="F945" s="131"/>
      <c r="G945" s="131"/>
      <c r="H945" s="131"/>
      <c r="I945" s="131"/>
      <c r="J945" s="131"/>
      <c r="K945" s="128">
        <f t="shared" si="1140"/>
        <v>3921720000</v>
      </c>
      <c r="L945" s="131"/>
      <c r="M945" s="131"/>
      <c r="N945" s="131"/>
      <c r="O945" s="131"/>
      <c r="P945" s="131">
        <v>3921720000</v>
      </c>
      <c r="Q945" s="424"/>
      <c r="R945" s="128">
        <f t="shared" si="1141"/>
        <v>3921720000</v>
      </c>
      <c r="S945" s="131"/>
      <c r="T945" s="131"/>
      <c r="U945" s="131"/>
      <c r="V945" s="131"/>
      <c r="W945" s="131"/>
      <c r="X945" s="131"/>
      <c r="Y945" s="131"/>
      <c r="Z945" s="131"/>
      <c r="AA945" s="128">
        <f t="shared" si="1133"/>
        <v>0</v>
      </c>
      <c r="AB945" s="128">
        <f t="shared" si="1137"/>
        <v>3921720000</v>
      </c>
      <c r="AC945" s="175">
        <f t="shared" si="1139"/>
        <v>1</v>
      </c>
    </row>
    <row r="946" spans="2:29" ht="14.25" x14ac:dyDescent="0.2">
      <c r="B946" s="76" t="s">
        <v>1847</v>
      </c>
      <c r="C946" s="77" t="s">
        <v>1848</v>
      </c>
      <c r="D946" s="131"/>
      <c r="E946" s="188">
        <f>SUM('ADICIONES  2021'!C946:I946)</f>
        <v>12250741.050000001</v>
      </c>
      <c r="F946" s="131"/>
      <c r="G946" s="131"/>
      <c r="H946" s="131"/>
      <c r="I946" s="131"/>
      <c r="J946" s="131"/>
      <c r="K946" s="128">
        <f t="shared" si="1140"/>
        <v>12250741.050000001</v>
      </c>
      <c r="L946" s="131"/>
      <c r="M946" s="131"/>
      <c r="N946" s="131"/>
      <c r="O946" s="131"/>
      <c r="P946" s="131">
        <v>12250741.050000001</v>
      </c>
      <c r="Q946" s="424"/>
      <c r="R946" s="128">
        <f t="shared" si="1141"/>
        <v>12250741.050000001</v>
      </c>
      <c r="S946" s="131"/>
      <c r="T946" s="131"/>
      <c r="U946" s="131"/>
      <c r="V946" s="131"/>
      <c r="W946" s="131"/>
      <c r="X946" s="131"/>
      <c r="Y946" s="131"/>
      <c r="Z946" s="131"/>
      <c r="AA946" s="128">
        <f t="shared" si="1133"/>
        <v>0</v>
      </c>
      <c r="AB946" s="128">
        <f t="shared" si="1137"/>
        <v>12250741.050000001</v>
      </c>
      <c r="AC946" s="175">
        <f t="shared" si="1139"/>
        <v>1</v>
      </c>
    </row>
    <row r="947" spans="2:29" ht="14.25" x14ac:dyDescent="0.2">
      <c r="B947" s="76" t="s">
        <v>1847</v>
      </c>
      <c r="C947" s="77" t="s">
        <v>1848</v>
      </c>
      <c r="D947" s="131"/>
      <c r="E947" s="188">
        <f>SUM('ADICIONES  2021'!C947:I947)</f>
        <v>19934058.309999999</v>
      </c>
      <c r="F947" s="131"/>
      <c r="G947" s="131"/>
      <c r="H947" s="131"/>
      <c r="I947" s="131"/>
      <c r="J947" s="131"/>
      <c r="K947" s="128">
        <f t="shared" si="1140"/>
        <v>19934058.309999999</v>
      </c>
      <c r="L947" s="131"/>
      <c r="M947" s="131"/>
      <c r="N947" s="131"/>
      <c r="O947" s="131"/>
      <c r="P947" s="131">
        <v>19934058.309999999</v>
      </c>
      <c r="Q947" s="424"/>
      <c r="R947" s="128">
        <f t="shared" si="1141"/>
        <v>19934058.309999999</v>
      </c>
      <c r="S947" s="131"/>
      <c r="T947" s="131"/>
      <c r="U947" s="131"/>
      <c r="V947" s="131"/>
      <c r="W947" s="131"/>
      <c r="X947" s="131"/>
      <c r="Y947" s="131"/>
      <c r="Z947" s="131"/>
      <c r="AA947" s="128">
        <f t="shared" si="1133"/>
        <v>0</v>
      </c>
      <c r="AB947" s="128">
        <f t="shared" si="1137"/>
        <v>19934058.309999999</v>
      </c>
      <c r="AC947" s="175">
        <f t="shared" si="1139"/>
        <v>1</v>
      </c>
    </row>
    <row r="948" spans="2:29" ht="28.5" x14ac:dyDescent="0.2">
      <c r="B948" s="76" t="s">
        <v>1849</v>
      </c>
      <c r="C948" s="77" t="s">
        <v>1850</v>
      </c>
      <c r="D948" s="131"/>
      <c r="E948" s="188">
        <f>SUM('ADICIONES  2021'!C948:I948)</f>
        <v>19854946.030000001</v>
      </c>
      <c r="F948" s="131"/>
      <c r="G948" s="131"/>
      <c r="H948" s="131"/>
      <c r="I948" s="131"/>
      <c r="J948" s="131"/>
      <c r="K948" s="128">
        <f t="shared" si="1140"/>
        <v>19854946.030000001</v>
      </c>
      <c r="L948" s="131"/>
      <c r="M948" s="131"/>
      <c r="N948" s="131"/>
      <c r="O948" s="131"/>
      <c r="P948" s="131">
        <v>2072892085.22</v>
      </c>
      <c r="Q948" s="424"/>
      <c r="R948" s="128">
        <f t="shared" si="1141"/>
        <v>2072892085.22</v>
      </c>
      <c r="S948" s="131"/>
      <c r="T948" s="131"/>
      <c r="U948" s="131"/>
      <c r="V948" s="131"/>
      <c r="W948" s="131"/>
      <c r="X948" s="131"/>
      <c r="Y948" s="131"/>
      <c r="Z948" s="131"/>
      <c r="AA948" s="128">
        <f t="shared" si="1133"/>
        <v>0</v>
      </c>
      <c r="AB948" s="128">
        <f t="shared" si="1137"/>
        <v>2072892085.22</v>
      </c>
      <c r="AC948" s="175">
        <f t="shared" si="1139"/>
        <v>104.40179903223842</v>
      </c>
    </row>
    <row r="949" spans="2:29" ht="28.5" x14ac:dyDescent="0.2">
      <c r="B949" s="76" t="s">
        <v>1849</v>
      </c>
      <c r="C949" s="77" t="s">
        <v>1850</v>
      </c>
      <c r="D949" s="131"/>
      <c r="E949" s="188">
        <f>SUM('ADICIONES  2021'!C949:I949)</f>
        <v>2072892085.22</v>
      </c>
      <c r="F949" s="131"/>
      <c r="G949" s="131"/>
      <c r="H949" s="131"/>
      <c r="I949" s="131"/>
      <c r="J949" s="131"/>
      <c r="K949" s="128">
        <f t="shared" si="1140"/>
        <v>2072892085.22</v>
      </c>
      <c r="L949" s="131"/>
      <c r="M949" s="131"/>
      <c r="N949" s="131"/>
      <c r="O949" s="131"/>
      <c r="P949" s="131">
        <v>19854946.030000001</v>
      </c>
      <c r="Q949" s="424"/>
      <c r="R949" s="128">
        <f t="shared" si="1141"/>
        <v>19854946.030000001</v>
      </c>
      <c r="S949" s="131"/>
      <c r="T949" s="131"/>
      <c r="U949" s="131"/>
      <c r="V949" s="131"/>
      <c r="W949" s="131"/>
      <c r="X949" s="131"/>
      <c r="Y949" s="131"/>
      <c r="Z949" s="131"/>
      <c r="AA949" s="128">
        <f t="shared" si="1133"/>
        <v>0</v>
      </c>
      <c r="AB949" s="128">
        <f t="shared" si="1137"/>
        <v>19854946.030000001</v>
      </c>
      <c r="AC949" s="175">
        <f t="shared" si="1139"/>
        <v>9.578379005626218E-3</v>
      </c>
    </row>
    <row r="950" spans="2:29" ht="28.5" x14ac:dyDescent="0.2">
      <c r="B950" s="76" t="s">
        <v>1849</v>
      </c>
      <c r="C950" s="77" t="s">
        <v>1850</v>
      </c>
      <c r="D950" s="131"/>
      <c r="E950" s="188">
        <f>SUM('ADICIONES  2021'!C950:I950)</f>
        <v>5674288</v>
      </c>
      <c r="F950" s="131"/>
      <c r="G950" s="131"/>
      <c r="H950" s="131"/>
      <c r="I950" s="131"/>
      <c r="J950" s="131"/>
      <c r="K950" s="128">
        <f t="shared" si="1140"/>
        <v>5674288</v>
      </c>
      <c r="L950" s="131"/>
      <c r="M950" s="131"/>
      <c r="N950" s="131"/>
      <c r="O950" s="131"/>
      <c r="P950" s="131">
        <v>5674288</v>
      </c>
      <c r="Q950" s="424"/>
      <c r="R950" s="128">
        <f t="shared" si="1141"/>
        <v>5674288</v>
      </c>
      <c r="S950" s="131"/>
      <c r="T950" s="131"/>
      <c r="U950" s="131"/>
      <c r="V950" s="131"/>
      <c r="W950" s="131"/>
      <c r="X950" s="131"/>
      <c r="Y950" s="131"/>
      <c r="Z950" s="131"/>
      <c r="AA950" s="128">
        <f t="shared" si="1133"/>
        <v>0</v>
      </c>
      <c r="AB950" s="128">
        <f t="shared" si="1137"/>
        <v>5674288</v>
      </c>
      <c r="AC950" s="175">
        <f t="shared" si="1139"/>
        <v>1</v>
      </c>
    </row>
    <row r="951" spans="2:29" ht="28.5" x14ac:dyDescent="0.2">
      <c r="B951" s="76" t="s">
        <v>1849</v>
      </c>
      <c r="C951" s="77" t="s">
        <v>1850</v>
      </c>
      <c r="D951" s="131"/>
      <c r="E951" s="188">
        <f>SUM('ADICIONES  2021'!C951:I951)</f>
        <v>16782910.140000001</v>
      </c>
      <c r="F951" s="131"/>
      <c r="G951" s="131"/>
      <c r="H951" s="131"/>
      <c r="I951" s="131"/>
      <c r="J951" s="131"/>
      <c r="K951" s="128">
        <f t="shared" si="1140"/>
        <v>16782910.140000001</v>
      </c>
      <c r="L951" s="131"/>
      <c r="M951" s="131"/>
      <c r="N951" s="131"/>
      <c r="O951" s="131"/>
      <c r="P951" s="131">
        <v>16782910.140000001</v>
      </c>
      <c r="Q951" s="424"/>
      <c r="R951" s="128">
        <f t="shared" si="1141"/>
        <v>16782910.140000001</v>
      </c>
      <c r="S951" s="131"/>
      <c r="T951" s="131"/>
      <c r="U951" s="131"/>
      <c r="V951" s="131"/>
      <c r="W951" s="131"/>
      <c r="X951" s="131"/>
      <c r="Y951" s="131"/>
      <c r="Z951" s="131"/>
      <c r="AA951" s="128">
        <f t="shared" si="1133"/>
        <v>0</v>
      </c>
      <c r="AB951" s="128">
        <f t="shared" si="1137"/>
        <v>16782910.140000001</v>
      </c>
      <c r="AC951" s="175">
        <f t="shared" si="1139"/>
        <v>1</v>
      </c>
    </row>
    <row r="952" spans="2:29" ht="28.5" x14ac:dyDescent="0.2">
      <c r="B952" s="76" t="s">
        <v>1849</v>
      </c>
      <c r="C952" s="77" t="s">
        <v>1850</v>
      </c>
      <c r="D952" s="131"/>
      <c r="E952" s="188">
        <f>SUM('ADICIONES  2021'!C952:I952)</f>
        <v>11551551.130000001</v>
      </c>
      <c r="F952" s="131"/>
      <c r="G952" s="131"/>
      <c r="H952" s="131"/>
      <c r="I952" s="131"/>
      <c r="J952" s="131"/>
      <c r="K952" s="128">
        <f t="shared" si="1140"/>
        <v>11551551.130000001</v>
      </c>
      <c r="L952" s="131"/>
      <c r="M952" s="131"/>
      <c r="N952" s="131"/>
      <c r="O952" s="131"/>
      <c r="P952" s="131">
        <v>11551551.130000001</v>
      </c>
      <c r="Q952" s="424"/>
      <c r="R952" s="128">
        <f t="shared" si="1141"/>
        <v>11551551.130000001</v>
      </c>
      <c r="S952" s="131"/>
      <c r="T952" s="131"/>
      <c r="U952" s="131"/>
      <c r="V952" s="131"/>
      <c r="W952" s="131"/>
      <c r="X952" s="131"/>
      <c r="Y952" s="131"/>
      <c r="Z952" s="131"/>
      <c r="AA952" s="128">
        <f t="shared" si="1133"/>
        <v>0</v>
      </c>
      <c r="AB952" s="128">
        <f t="shared" si="1137"/>
        <v>11551551.130000001</v>
      </c>
      <c r="AC952" s="175">
        <f t="shared" si="1139"/>
        <v>1</v>
      </c>
    </row>
    <row r="953" spans="2:29" ht="28.5" x14ac:dyDescent="0.2">
      <c r="B953" s="76" t="s">
        <v>1849</v>
      </c>
      <c r="C953" s="77" t="s">
        <v>1850</v>
      </c>
      <c r="D953" s="131"/>
      <c r="E953" s="188">
        <f>SUM('ADICIONES  2021'!C953:I953)</f>
        <v>62000000</v>
      </c>
      <c r="F953" s="131"/>
      <c r="G953" s="131"/>
      <c r="H953" s="131"/>
      <c r="I953" s="131"/>
      <c r="J953" s="131"/>
      <c r="K953" s="128">
        <f t="shared" si="1140"/>
        <v>62000000</v>
      </c>
      <c r="L953" s="131"/>
      <c r="M953" s="131"/>
      <c r="N953" s="131"/>
      <c r="O953" s="131"/>
      <c r="P953" s="131">
        <v>62000000</v>
      </c>
      <c r="Q953" s="424"/>
      <c r="R953" s="128">
        <f t="shared" si="1141"/>
        <v>62000000</v>
      </c>
      <c r="S953" s="131"/>
      <c r="T953" s="131"/>
      <c r="U953" s="131"/>
      <c r="V953" s="131"/>
      <c r="W953" s="131"/>
      <c r="X953" s="131"/>
      <c r="Y953" s="131"/>
      <c r="Z953" s="131"/>
      <c r="AA953" s="128">
        <f t="shared" si="1133"/>
        <v>0</v>
      </c>
      <c r="AB953" s="128">
        <f t="shared" si="1137"/>
        <v>62000000</v>
      </c>
      <c r="AC953" s="175">
        <f t="shared" si="1139"/>
        <v>1</v>
      </c>
    </row>
    <row r="954" spans="2:29" ht="28.5" x14ac:dyDescent="0.2">
      <c r="B954" s="76" t="s">
        <v>1849</v>
      </c>
      <c r="C954" s="77" t="s">
        <v>1850</v>
      </c>
      <c r="D954" s="131"/>
      <c r="E954" s="188">
        <f>SUM('ADICIONES  2021'!C954:I954)</f>
        <v>1128419167.9200001</v>
      </c>
      <c r="F954" s="131"/>
      <c r="G954" s="131"/>
      <c r="H954" s="131"/>
      <c r="I954" s="131"/>
      <c r="J954" s="131"/>
      <c r="K954" s="128">
        <f t="shared" si="1140"/>
        <v>1128419167.9200001</v>
      </c>
      <c r="L954" s="131"/>
      <c r="M954" s="131"/>
      <c r="N954" s="131"/>
      <c r="O954" s="131"/>
      <c r="P954" s="131">
        <v>1128419167.9200001</v>
      </c>
      <c r="Q954" s="424"/>
      <c r="R954" s="128">
        <f t="shared" si="1141"/>
        <v>1128419167.9200001</v>
      </c>
      <c r="S954" s="131"/>
      <c r="T954" s="131"/>
      <c r="U954" s="131"/>
      <c r="V954" s="131"/>
      <c r="W954" s="131"/>
      <c r="X954" s="131"/>
      <c r="Y954" s="131"/>
      <c r="Z954" s="131"/>
      <c r="AA954" s="128">
        <f t="shared" si="1133"/>
        <v>0</v>
      </c>
      <c r="AB954" s="128">
        <f t="shared" si="1137"/>
        <v>1128419167.9200001</v>
      </c>
      <c r="AC954" s="175">
        <f t="shared" si="1139"/>
        <v>1</v>
      </c>
    </row>
    <row r="955" spans="2:29" ht="28.5" x14ac:dyDescent="0.2">
      <c r="B955" s="76" t="s">
        <v>1849</v>
      </c>
      <c r="C955" s="77" t="s">
        <v>1850</v>
      </c>
      <c r="D955" s="131"/>
      <c r="E955" s="188">
        <f>SUM('ADICIONES  2021'!C955:I955)</f>
        <v>43017705</v>
      </c>
      <c r="F955" s="131"/>
      <c r="G955" s="131"/>
      <c r="H955" s="131"/>
      <c r="I955" s="131"/>
      <c r="J955" s="131"/>
      <c r="K955" s="128">
        <f t="shared" si="1140"/>
        <v>43017705</v>
      </c>
      <c r="L955" s="131"/>
      <c r="M955" s="131"/>
      <c r="N955" s="131"/>
      <c r="O955" s="131"/>
      <c r="P955" s="131">
        <v>43017705</v>
      </c>
      <c r="Q955" s="424"/>
      <c r="R955" s="128">
        <f t="shared" si="1141"/>
        <v>43017705</v>
      </c>
      <c r="S955" s="131"/>
      <c r="T955" s="131"/>
      <c r="U955" s="131"/>
      <c r="V955" s="131"/>
      <c r="W955" s="131"/>
      <c r="X955" s="131"/>
      <c r="Y955" s="131"/>
      <c r="Z955" s="131"/>
      <c r="AA955" s="128">
        <f t="shared" si="1133"/>
        <v>0</v>
      </c>
      <c r="AB955" s="128">
        <f t="shared" si="1137"/>
        <v>43017705</v>
      </c>
      <c r="AC955" s="175">
        <f t="shared" si="1139"/>
        <v>1</v>
      </c>
    </row>
    <row r="956" spans="2:29" ht="28.5" x14ac:dyDescent="0.2">
      <c r="B956" s="76" t="s">
        <v>1849</v>
      </c>
      <c r="C956" s="77" t="s">
        <v>1850</v>
      </c>
      <c r="D956" s="131"/>
      <c r="E956" s="188">
        <f>SUM('ADICIONES  2021'!C956:I956)</f>
        <v>18902012.960000001</v>
      </c>
      <c r="F956" s="131"/>
      <c r="G956" s="131"/>
      <c r="H956" s="131"/>
      <c r="I956" s="131"/>
      <c r="J956" s="131"/>
      <c r="K956" s="128">
        <f t="shared" si="1140"/>
        <v>18902012.960000001</v>
      </c>
      <c r="L956" s="131"/>
      <c r="M956" s="131"/>
      <c r="N956" s="131"/>
      <c r="O956" s="131"/>
      <c r="P956" s="131">
        <v>18902012.960000001</v>
      </c>
      <c r="Q956" s="424"/>
      <c r="R956" s="128">
        <f t="shared" si="1141"/>
        <v>18902012.960000001</v>
      </c>
      <c r="S956" s="131"/>
      <c r="T956" s="131"/>
      <c r="U956" s="131"/>
      <c r="V956" s="131"/>
      <c r="W956" s="131"/>
      <c r="X956" s="131"/>
      <c r="Y956" s="131"/>
      <c r="Z956" s="131"/>
      <c r="AA956" s="128">
        <f t="shared" si="1133"/>
        <v>0</v>
      </c>
      <c r="AB956" s="128">
        <f t="shared" si="1137"/>
        <v>18902012.960000001</v>
      </c>
      <c r="AC956" s="175">
        <f t="shared" si="1139"/>
        <v>1</v>
      </c>
    </row>
    <row r="957" spans="2:29" ht="28.5" x14ac:dyDescent="0.2">
      <c r="B957" s="76" t="s">
        <v>1849</v>
      </c>
      <c r="C957" s="77" t="s">
        <v>1850</v>
      </c>
      <c r="D957" s="131"/>
      <c r="E957" s="188">
        <f>SUM('ADICIONES  2021'!C957:I957)</f>
        <v>1120007430.79</v>
      </c>
      <c r="F957" s="131"/>
      <c r="G957" s="131"/>
      <c r="H957" s="131"/>
      <c r="I957" s="131"/>
      <c r="J957" s="131"/>
      <c r="K957" s="128">
        <f t="shared" si="1140"/>
        <v>1120007430.79</v>
      </c>
      <c r="L957" s="131"/>
      <c r="M957" s="131"/>
      <c r="N957" s="131"/>
      <c r="O957" s="131"/>
      <c r="P957" s="131">
        <v>1120007430.79</v>
      </c>
      <c r="Q957" s="424"/>
      <c r="R957" s="128">
        <f t="shared" si="1141"/>
        <v>1120007430.79</v>
      </c>
      <c r="S957" s="131"/>
      <c r="T957" s="131"/>
      <c r="U957" s="131"/>
      <c r="V957" s="131"/>
      <c r="W957" s="131"/>
      <c r="X957" s="131"/>
      <c r="Y957" s="131"/>
      <c r="Z957" s="131"/>
      <c r="AA957" s="128">
        <f t="shared" si="1133"/>
        <v>0</v>
      </c>
      <c r="AB957" s="128">
        <f t="shared" si="1137"/>
        <v>1120007430.79</v>
      </c>
      <c r="AC957" s="175">
        <f t="shared" si="1139"/>
        <v>1</v>
      </c>
    </row>
    <row r="958" spans="2:29" ht="28.5" x14ac:dyDescent="0.2">
      <c r="B958" s="76" t="s">
        <v>1849</v>
      </c>
      <c r="C958" s="77" t="s">
        <v>1850</v>
      </c>
      <c r="D958" s="131"/>
      <c r="E958" s="188">
        <f>SUM('ADICIONES  2021'!C958:I958)</f>
        <v>132530138.45999999</v>
      </c>
      <c r="F958" s="131"/>
      <c r="G958" s="131"/>
      <c r="H958" s="131"/>
      <c r="I958" s="131"/>
      <c r="J958" s="131"/>
      <c r="K958" s="128">
        <f t="shared" si="1140"/>
        <v>132530138.45999999</v>
      </c>
      <c r="L958" s="131"/>
      <c r="M958" s="131"/>
      <c r="N958" s="131"/>
      <c r="O958" s="131"/>
      <c r="P958" s="131">
        <v>132530138.45999999</v>
      </c>
      <c r="Q958" s="424"/>
      <c r="R958" s="128">
        <f t="shared" si="1141"/>
        <v>132530138.45999999</v>
      </c>
      <c r="S958" s="131"/>
      <c r="T958" s="131"/>
      <c r="U958" s="131"/>
      <c r="V958" s="131"/>
      <c r="W958" s="131"/>
      <c r="X958" s="131"/>
      <c r="Y958" s="131"/>
      <c r="Z958" s="131"/>
      <c r="AA958" s="128">
        <f t="shared" si="1133"/>
        <v>0</v>
      </c>
      <c r="AB958" s="128">
        <f t="shared" si="1137"/>
        <v>132530138.45999999</v>
      </c>
      <c r="AC958" s="175">
        <f t="shared" si="1139"/>
        <v>1</v>
      </c>
    </row>
    <row r="959" spans="2:29" ht="28.5" x14ac:dyDescent="0.2">
      <c r="B959" s="76" t="s">
        <v>1849</v>
      </c>
      <c r="C959" s="77" t="s">
        <v>1850</v>
      </c>
      <c r="D959" s="131"/>
      <c r="E959" s="188">
        <f>SUM('ADICIONES  2021'!C959:I959)</f>
        <v>8035590</v>
      </c>
      <c r="F959" s="131"/>
      <c r="G959" s="131"/>
      <c r="H959" s="131"/>
      <c r="I959" s="131"/>
      <c r="J959" s="131"/>
      <c r="K959" s="128">
        <f t="shared" si="1140"/>
        <v>8035590</v>
      </c>
      <c r="L959" s="131"/>
      <c r="M959" s="131"/>
      <c r="N959" s="131"/>
      <c r="O959" s="131"/>
      <c r="P959" s="131">
        <v>8035590</v>
      </c>
      <c r="Q959" s="424"/>
      <c r="R959" s="128">
        <f t="shared" si="1141"/>
        <v>8035590</v>
      </c>
      <c r="S959" s="131"/>
      <c r="T959" s="131"/>
      <c r="U959" s="131"/>
      <c r="V959" s="131"/>
      <c r="W959" s="131"/>
      <c r="X959" s="131"/>
      <c r="Y959" s="131"/>
      <c r="Z959" s="131"/>
      <c r="AA959" s="128">
        <f t="shared" si="1133"/>
        <v>0</v>
      </c>
      <c r="AB959" s="128">
        <f t="shared" si="1137"/>
        <v>8035590</v>
      </c>
      <c r="AC959" s="175">
        <f t="shared" si="1139"/>
        <v>1</v>
      </c>
    </row>
    <row r="960" spans="2:29" ht="28.5" x14ac:dyDescent="0.2">
      <c r="B960" s="76" t="s">
        <v>1849</v>
      </c>
      <c r="C960" s="77" t="s">
        <v>1850</v>
      </c>
      <c r="D960" s="131"/>
      <c r="E960" s="188">
        <f>SUM('ADICIONES  2021'!C960:I960)</f>
        <v>8933370</v>
      </c>
      <c r="F960" s="131"/>
      <c r="G960" s="131"/>
      <c r="H960" s="131"/>
      <c r="I960" s="131"/>
      <c r="J960" s="131"/>
      <c r="K960" s="128">
        <f t="shared" si="1140"/>
        <v>8933370</v>
      </c>
      <c r="L960" s="131"/>
      <c r="M960" s="131"/>
      <c r="N960" s="131"/>
      <c r="O960" s="131"/>
      <c r="P960" s="131">
        <v>8933370</v>
      </c>
      <c r="Q960" s="424"/>
      <c r="R960" s="128">
        <f t="shared" si="1141"/>
        <v>8933370</v>
      </c>
      <c r="S960" s="131"/>
      <c r="T960" s="131"/>
      <c r="U960" s="131"/>
      <c r="V960" s="131"/>
      <c r="W960" s="131"/>
      <c r="X960" s="131"/>
      <c r="Y960" s="131"/>
      <c r="Z960" s="131"/>
      <c r="AA960" s="128">
        <f t="shared" si="1133"/>
        <v>0</v>
      </c>
      <c r="AB960" s="128">
        <f t="shared" si="1137"/>
        <v>8933370</v>
      </c>
      <c r="AC960" s="175">
        <f t="shared" si="1139"/>
        <v>1</v>
      </c>
    </row>
    <row r="961" spans="1:29" ht="28.5" x14ac:dyDescent="0.2">
      <c r="B961" s="76" t="s">
        <v>1849</v>
      </c>
      <c r="C961" s="77" t="s">
        <v>1850</v>
      </c>
      <c r="D961" s="131"/>
      <c r="E961" s="188">
        <f>SUM('ADICIONES  2021'!C961:I961)</f>
        <v>10453972</v>
      </c>
      <c r="F961" s="131"/>
      <c r="G961" s="131"/>
      <c r="H961" s="131"/>
      <c r="I961" s="131"/>
      <c r="J961" s="131"/>
      <c r="K961" s="128">
        <f t="shared" si="1140"/>
        <v>10453972</v>
      </c>
      <c r="L961" s="131"/>
      <c r="M961" s="131"/>
      <c r="N961" s="131"/>
      <c r="O961" s="131"/>
      <c r="P961" s="131">
        <v>10453972</v>
      </c>
      <c r="Q961" s="424"/>
      <c r="R961" s="128">
        <f t="shared" si="1141"/>
        <v>10453972</v>
      </c>
      <c r="S961" s="131"/>
      <c r="T961" s="131"/>
      <c r="U961" s="131"/>
      <c r="V961" s="131"/>
      <c r="W961" s="131"/>
      <c r="X961" s="131"/>
      <c r="Y961" s="131"/>
      <c r="Z961" s="131"/>
      <c r="AA961" s="128">
        <f t="shared" si="1133"/>
        <v>0</v>
      </c>
      <c r="AB961" s="128">
        <f t="shared" si="1137"/>
        <v>10453972</v>
      </c>
      <c r="AC961" s="175">
        <f t="shared" si="1139"/>
        <v>1</v>
      </c>
    </row>
    <row r="962" spans="1:29" ht="28.5" x14ac:dyDescent="0.2">
      <c r="B962" s="76" t="s">
        <v>1849</v>
      </c>
      <c r="C962" s="77" t="s">
        <v>1850</v>
      </c>
      <c r="D962" s="131"/>
      <c r="E962" s="188">
        <f>SUM('ADICIONES  2021'!C962:I962)</f>
        <v>637773</v>
      </c>
      <c r="F962" s="131"/>
      <c r="G962" s="131"/>
      <c r="H962" s="131"/>
      <c r="I962" s="131"/>
      <c r="J962" s="131"/>
      <c r="K962" s="128">
        <f t="shared" si="1140"/>
        <v>637773</v>
      </c>
      <c r="L962" s="131"/>
      <c r="M962" s="131"/>
      <c r="N962" s="131"/>
      <c r="O962" s="131"/>
      <c r="P962" s="131">
        <v>637773</v>
      </c>
      <c r="Q962" s="424"/>
      <c r="R962" s="128">
        <f t="shared" si="1141"/>
        <v>637773</v>
      </c>
      <c r="S962" s="131"/>
      <c r="T962" s="131"/>
      <c r="U962" s="131"/>
      <c r="V962" s="131"/>
      <c r="W962" s="131"/>
      <c r="X962" s="131"/>
      <c r="Y962" s="131"/>
      <c r="Z962" s="131"/>
      <c r="AA962" s="128">
        <f t="shared" si="1133"/>
        <v>0</v>
      </c>
      <c r="AB962" s="128">
        <f t="shared" si="1137"/>
        <v>637773</v>
      </c>
      <c r="AC962" s="175">
        <f t="shared" si="1139"/>
        <v>1</v>
      </c>
    </row>
    <row r="963" spans="1:29" s="5" customFormat="1" ht="31.5" x14ac:dyDescent="0.2">
      <c r="A963" s="100">
        <v>1</v>
      </c>
      <c r="B963" s="81" t="s">
        <v>850</v>
      </c>
      <c r="C963" s="79" t="s">
        <v>1851</v>
      </c>
      <c r="D963" s="130">
        <f>+D964</f>
        <v>0</v>
      </c>
      <c r="E963" s="187">
        <f>SUM('ADICIONES  2021'!C963:I963)</f>
        <v>0</v>
      </c>
      <c r="F963" s="130">
        <f t="shared" ref="F963:J963" si="1142">+F964</f>
        <v>0</v>
      </c>
      <c r="G963" s="130">
        <f t="shared" si="1142"/>
        <v>0</v>
      </c>
      <c r="H963" s="130">
        <f t="shared" si="1142"/>
        <v>0</v>
      </c>
      <c r="I963" s="130">
        <f t="shared" si="1142"/>
        <v>0</v>
      </c>
      <c r="J963" s="130">
        <f t="shared" si="1142"/>
        <v>0</v>
      </c>
      <c r="K963" s="127">
        <f t="shared" si="1140"/>
        <v>0</v>
      </c>
      <c r="L963" s="130">
        <f t="shared" ref="L963:Q963" si="1143">+L964</f>
        <v>0</v>
      </c>
      <c r="M963" s="130">
        <f t="shared" si="1143"/>
        <v>0</v>
      </c>
      <c r="N963" s="130">
        <f t="shared" si="1143"/>
        <v>0</v>
      </c>
      <c r="O963" s="130">
        <f t="shared" si="1143"/>
        <v>737320</v>
      </c>
      <c r="P963" s="130">
        <f t="shared" si="1143"/>
        <v>0</v>
      </c>
      <c r="Q963" s="423">
        <f t="shared" si="1143"/>
        <v>456420</v>
      </c>
      <c r="R963" s="127">
        <f t="shared" si="1141"/>
        <v>1193740</v>
      </c>
      <c r="S963" s="130">
        <f t="shared" ref="S963:Z963" si="1144">+S964</f>
        <v>0</v>
      </c>
      <c r="T963" s="130">
        <f t="shared" si="1144"/>
        <v>0</v>
      </c>
      <c r="U963" s="130">
        <f t="shared" si="1144"/>
        <v>0</v>
      </c>
      <c r="V963" s="130">
        <f t="shared" si="1144"/>
        <v>0</v>
      </c>
      <c r="W963" s="130">
        <f t="shared" si="1144"/>
        <v>0</v>
      </c>
      <c r="X963" s="130">
        <f t="shared" si="1144"/>
        <v>0</v>
      </c>
      <c r="Y963" s="130">
        <f t="shared" si="1144"/>
        <v>0</v>
      </c>
      <c r="Z963" s="130">
        <f t="shared" si="1144"/>
        <v>0</v>
      </c>
      <c r="AA963" s="127">
        <f t="shared" si="1133"/>
        <v>0</v>
      </c>
      <c r="AB963" s="127">
        <f t="shared" si="1137"/>
        <v>1193740</v>
      </c>
      <c r="AC963" s="176">
        <v>0</v>
      </c>
    </row>
    <row r="964" spans="1:29" ht="14.25" x14ac:dyDescent="0.2">
      <c r="B964" s="76" t="s">
        <v>1126</v>
      </c>
      <c r="C964" s="77" t="s">
        <v>1127</v>
      </c>
      <c r="D964" s="131"/>
      <c r="E964" s="188">
        <f>SUM('ADICIONES  2021'!C964:I964)</f>
        <v>0</v>
      </c>
      <c r="F964" s="131"/>
      <c r="G964" s="131"/>
      <c r="H964" s="131"/>
      <c r="I964" s="131"/>
      <c r="J964" s="131"/>
      <c r="K964" s="128">
        <f t="shared" si="1140"/>
        <v>0</v>
      </c>
      <c r="L964" s="131"/>
      <c r="M964" s="131"/>
      <c r="N964" s="131"/>
      <c r="O964" s="131">
        <v>737320</v>
      </c>
      <c r="P964" s="131"/>
      <c r="Q964" s="424">
        <v>456420</v>
      </c>
      <c r="R964" s="128">
        <f t="shared" si="1141"/>
        <v>1193740</v>
      </c>
      <c r="S964" s="131"/>
      <c r="T964" s="131"/>
      <c r="U964" s="131"/>
      <c r="V964" s="131"/>
      <c r="W964" s="131"/>
      <c r="X964" s="131"/>
      <c r="Y964" s="131"/>
      <c r="Z964" s="131"/>
      <c r="AA964" s="128">
        <f t="shared" si="1133"/>
        <v>0</v>
      </c>
      <c r="AB964" s="128">
        <f t="shared" si="1137"/>
        <v>1193740</v>
      </c>
      <c r="AC964" s="175">
        <v>0</v>
      </c>
    </row>
    <row r="965" spans="1:29" ht="15.75" x14ac:dyDescent="0.2">
      <c r="B965" s="81" t="s">
        <v>1852</v>
      </c>
      <c r="C965" s="79" t="s">
        <v>1853</v>
      </c>
      <c r="D965" s="130">
        <f>+D966</f>
        <v>0</v>
      </c>
      <c r="E965" s="187">
        <f>SUM('ADICIONES  2021'!C965:I965)</f>
        <v>26740484269.560001</v>
      </c>
      <c r="F965" s="130">
        <f t="shared" ref="F965:J967" si="1145">+F966</f>
        <v>0</v>
      </c>
      <c r="G965" s="130">
        <f t="shared" si="1145"/>
        <v>0</v>
      </c>
      <c r="H965" s="130">
        <f t="shared" si="1145"/>
        <v>0</v>
      </c>
      <c r="I965" s="130">
        <f t="shared" si="1145"/>
        <v>0</v>
      </c>
      <c r="J965" s="130">
        <f t="shared" si="1145"/>
        <v>0</v>
      </c>
      <c r="K965" s="128">
        <f t="shared" si="1140"/>
        <v>26740484269.560001</v>
      </c>
      <c r="L965" s="130">
        <f t="shared" ref="L965:Q967" si="1146">+L966</f>
        <v>0</v>
      </c>
      <c r="M965" s="130">
        <f t="shared" si="1146"/>
        <v>0</v>
      </c>
      <c r="N965" s="130">
        <f t="shared" si="1146"/>
        <v>0</v>
      </c>
      <c r="O965" s="130">
        <f t="shared" si="1146"/>
        <v>0</v>
      </c>
      <c r="P965" s="130">
        <f t="shared" si="1146"/>
        <v>26740484269.560001</v>
      </c>
      <c r="Q965" s="423">
        <f t="shared" si="1146"/>
        <v>0</v>
      </c>
      <c r="R965" s="128">
        <f t="shared" si="1141"/>
        <v>26740484269.560001</v>
      </c>
      <c r="S965" s="130">
        <f t="shared" ref="S965:Z967" si="1147">+S966</f>
        <v>0</v>
      </c>
      <c r="T965" s="130">
        <f t="shared" si="1147"/>
        <v>0</v>
      </c>
      <c r="U965" s="130">
        <f t="shared" si="1147"/>
        <v>0</v>
      </c>
      <c r="V965" s="130">
        <f t="shared" si="1147"/>
        <v>0</v>
      </c>
      <c r="W965" s="130">
        <f t="shared" si="1147"/>
        <v>0</v>
      </c>
      <c r="X965" s="130">
        <f t="shared" si="1147"/>
        <v>0</v>
      </c>
      <c r="Y965" s="130">
        <f t="shared" si="1147"/>
        <v>0</v>
      </c>
      <c r="Z965" s="130">
        <f t="shared" si="1147"/>
        <v>0</v>
      </c>
      <c r="AA965" s="128">
        <f t="shared" si="1133"/>
        <v>0</v>
      </c>
      <c r="AB965" s="128">
        <f t="shared" si="1137"/>
        <v>26740484269.560001</v>
      </c>
      <c r="AC965" s="175">
        <f t="shared" si="1139"/>
        <v>1</v>
      </c>
    </row>
    <row r="966" spans="1:29" ht="15.75" x14ac:dyDescent="0.2">
      <c r="A966" s="396">
        <v>1</v>
      </c>
      <c r="B966" s="81" t="s">
        <v>1656</v>
      </c>
      <c r="C966" s="79" t="s">
        <v>1657</v>
      </c>
      <c r="D966" s="130">
        <f>+D967</f>
        <v>0</v>
      </c>
      <c r="E966" s="187">
        <f>SUM('ADICIONES  2021'!C966:I966)</f>
        <v>26740484269.560001</v>
      </c>
      <c r="F966" s="130">
        <f t="shared" si="1145"/>
        <v>0</v>
      </c>
      <c r="G966" s="130">
        <f t="shared" si="1145"/>
        <v>0</v>
      </c>
      <c r="H966" s="130">
        <f t="shared" si="1145"/>
        <v>0</v>
      </c>
      <c r="I966" s="130">
        <f t="shared" si="1145"/>
        <v>0</v>
      </c>
      <c r="J966" s="130">
        <f t="shared" si="1145"/>
        <v>0</v>
      </c>
      <c r="K966" s="128">
        <f t="shared" si="1140"/>
        <v>26740484269.560001</v>
      </c>
      <c r="L966" s="130">
        <f t="shared" si="1146"/>
        <v>0</v>
      </c>
      <c r="M966" s="130">
        <f t="shared" si="1146"/>
        <v>0</v>
      </c>
      <c r="N966" s="130">
        <f t="shared" si="1146"/>
        <v>0</v>
      </c>
      <c r="O966" s="130">
        <f t="shared" si="1146"/>
        <v>0</v>
      </c>
      <c r="P966" s="130">
        <f t="shared" si="1146"/>
        <v>26740484269.560001</v>
      </c>
      <c r="Q966" s="423">
        <f t="shared" si="1146"/>
        <v>0</v>
      </c>
      <c r="R966" s="128">
        <f t="shared" si="1141"/>
        <v>26740484269.560001</v>
      </c>
      <c r="S966" s="130">
        <f t="shared" si="1147"/>
        <v>0</v>
      </c>
      <c r="T966" s="130">
        <f t="shared" si="1147"/>
        <v>0</v>
      </c>
      <c r="U966" s="130">
        <f t="shared" si="1147"/>
        <v>0</v>
      </c>
      <c r="V966" s="130">
        <f t="shared" si="1147"/>
        <v>0</v>
      </c>
      <c r="W966" s="130">
        <f t="shared" si="1147"/>
        <v>0</v>
      </c>
      <c r="X966" s="130">
        <f t="shared" si="1147"/>
        <v>0</v>
      </c>
      <c r="Y966" s="130">
        <f t="shared" si="1147"/>
        <v>0</v>
      </c>
      <c r="Z966" s="130">
        <f t="shared" si="1147"/>
        <v>0</v>
      </c>
      <c r="AA966" s="128">
        <f t="shared" si="1133"/>
        <v>0</v>
      </c>
      <c r="AB966" s="128">
        <f t="shared" si="1137"/>
        <v>26740484269.560001</v>
      </c>
      <c r="AC966" s="175">
        <f t="shared" si="1139"/>
        <v>1</v>
      </c>
    </row>
    <row r="967" spans="1:29" ht="15.75" x14ac:dyDescent="0.2">
      <c r="B967" s="81" t="s">
        <v>1658</v>
      </c>
      <c r="C967" s="79" t="s">
        <v>1659</v>
      </c>
      <c r="D967" s="130">
        <f>+D968</f>
        <v>0</v>
      </c>
      <c r="E967" s="187">
        <f>SUM('ADICIONES  2021'!C967:I967)</f>
        <v>26740484269.560001</v>
      </c>
      <c r="F967" s="130">
        <f t="shared" si="1145"/>
        <v>0</v>
      </c>
      <c r="G967" s="130">
        <f t="shared" si="1145"/>
        <v>0</v>
      </c>
      <c r="H967" s="130">
        <f t="shared" si="1145"/>
        <v>0</v>
      </c>
      <c r="I967" s="130">
        <f t="shared" si="1145"/>
        <v>0</v>
      </c>
      <c r="J967" s="130">
        <f t="shared" si="1145"/>
        <v>0</v>
      </c>
      <c r="K967" s="128">
        <f t="shared" si="1140"/>
        <v>26740484269.560001</v>
      </c>
      <c r="L967" s="130">
        <f t="shared" si="1146"/>
        <v>0</v>
      </c>
      <c r="M967" s="130">
        <f t="shared" si="1146"/>
        <v>0</v>
      </c>
      <c r="N967" s="130">
        <f t="shared" si="1146"/>
        <v>0</v>
      </c>
      <c r="O967" s="130">
        <f t="shared" si="1146"/>
        <v>0</v>
      </c>
      <c r="P967" s="130">
        <f t="shared" si="1146"/>
        <v>26740484269.560001</v>
      </c>
      <c r="Q967" s="423">
        <f t="shared" si="1146"/>
        <v>0</v>
      </c>
      <c r="R967" s="128">
        <f t="shared" si="1141"/>
        <v>26740484269.560001</v>
      </c>
      <c r="S967" s="130">
        <f t="shared" si="1147"/>
        <v>0</v>
      </c>
      <c r="T967" s="130">
        <f t="shared" si="1147"/>
        <v>0</v>
      </c>
      <c r="U967" s="130">
        <f t="shared" si="1147"/>
        <v>0</v>
      </c>
      <c r="V967" s="130">
        <f t="shared" si="1147"/>
        <v>0</v>
      </c>
      <c r="W967" s="130">
        <f t="shared" si="1147"/>
        <v>0</v>
      </c>
      <c r="X967" s="130">
        <f t="shared" si="1147"/>
        <v>0</v>
      </c>
      <c r="Y967" s="130">
        <f t="shared" si="1147"/>
        <v>0</v>
      </c>
      <c r="Z967" s="130">
        <f t="shared" si="1147"/>
        <v>0</v>
      </c>
      <c r="AA967" s="128">
        <f t="shared" si="1133"/>
        <v>0</v>
      </c>
      <c r="AB967" s="128">
        <f t="shared" si="1137"/>
        <v>26740484269.560001</v>
      </c>
      <c r="AC967" s="175">
        <f t="shared" si="1139"/>
        <v>1</v>
      </c>
    </row>
    <row r="968" spans="1:29" ht="31.5" x14ac:dyDescent="0.2">
      <c r="B968" s="81" t="s">
        <v>1660</v>
      </c>
      <c r="C968" s="79" t="s">
        <v>1661</v>
      </c>
      <c r="D968" s="130">
        <f>SUM(D969:D987)</f>
        <v>0</v>
      </c>
      <c r="E968" s="187">
        <f>SUM('ADICIONES  2021'!C968:I968)</f>
        <v>26740484269.560001</v>
      </c>
      <c r="F968" s="130">
        <f t="shared" ref="F968:J968" si="1148">SUM(F969:F987)</f>
        <v>0</v>
      </c>
      <c r="G968" s="130">
        <f t="shared" si="1148"/>
        <v>0</v>
      </c>
      <c r="H968" s="130">
        <f t="shared" si="1148"/>
        <v>0</v>
      </c>
      <c r="I968" s="130">
        <f t="shared" si="1148"/>
        <v>0</v>
      </c>
      <c r="J968" s="130">
        <f t="shared" si="1148"/>
        <v>0</v>
      </c>
      <c r="K968" s="128">
        <f t="shared" si="1140"/>
        <v>26740484269.560001</v>
      </c>
      <c r="L968" s="130">
        <f t="shared" ref="L968:Q968" si="1149">SUM(L969:L987)</f>
        <v>0</v>
      </c>
      <c r="M968" s="130">
        <f t="shared" si="1149"/>
        <v>0</v>
      </c>
      <c r="N968" s="130">
        <f t="shared" si="1149"/>
        <v>0</v>
      </c>
      <c r="O968" s="130">
        <f t="shared" si="1149"/>
        <v>0</v>
      </c>
      <c r="P968" s="130">
        <f t="shared" si="1149"/>
        <v>26740484269.560001</v>
      </c>
      <c r="Q968" s="423">
        <f t="shared" si="1149"/>
        <v>0</v>
      </c>
      <c r="R968" s="128">
        <f t="shared" si="1141"/>
        <v>26740484269.560001</v>
      </c>
      <c r="S968" s="130">
        <f t="shared" ref="S968:Z968" si="1150">SUM(S969:S987)</f>
        <v>0</v>
      </c>
      <c r="T968" s="130">
        <f t="shared" si="1150"/>
        <v>0</v>
      </c>
      <c r="U968" s="130">
        <f t="shared" si="1150"/>
        <v>0</v>
      </c>
      <c r="V968" s="130">
        <f t="shared" si="1150"/>
        <v>0</v>
      </c>
      <c r="W968" s="130">
        <f t="shared" si="1150"/>
        <v>0</v>
      </c>
      <c r="X968" s="130">
        <f t="shared" si="1150"/>
        <v>0</v>
      </c>
      <c r="Y968" s="130">
        <f t="shared" si="1150"/>
        <v>0</v>
      </c>
      <c r="Z968" s="130">
        <f t="shared" si="1150"/>
        <v>0</v>
      </c>
      <c r="AA968" s="128">
        <f t="shared" si="1133"/>
        <v>0</v>
      </c>
      <c r="AB968" s="128">
        <f t="shared" si="1137"/>
        <v>26740484269.560001</v>
      </c>
      <c r="AC968" s="175">
        <f t="shared" si="1139"/>
        <v>1</v>
      </c>
    </row>
    <row r="969" spans="1:29" ht="14.25" x14ac:dyDescent="0.2">
      <c r="B969" s="76" t="s">
        <v>1854</v>
      </c>
      <c r="C969" s="77" t="s">
        <v>1855</v>
      </c>
      <c r="D969" s="131"/>
      <c r="E969" s="188">
        <f>SUM('ADICIONES  2021'!C969:I969)</f>
        <v>233441300</v>
      </c>
      <c r="F969" s="131"/>
      <c r="G969" s="131"/>
      <c r="H969" s="131"/>
      <c r="I969" s="131"/>
      <c r="J969" s="131"/>
      <c r="K969" s="128">
        <f t="shared" si="1140"/>
        <v>233441300</v>
      </c>
      <c r="L969" s="131"/>
      <c r="M969" s="131"/>
      <c r="N969" s="131"/>
      <c r="O969" s="131"/>
      <c r="P969" s="131">
        <v>233441300</v>
      </c>
      <c r="Q969" s="424"/>
      <c r="R969" s="128">
        <f t="shared" si="1141"/>
        <v>233441300</v>
      </c>
      <c r="S969" s="131"/>
      <c r="T969" s="131"/>
      <c r="U969" s="131"/>
      <c r="V969" s="131"/>
      <c r="W969" s="131"/>
      <c r="X969" s="131"/>
      <c r="Y969" s="131"/>
      <c r="Z969" s="131"/>
      <c r="AA969" s="128">
        <f t="shared" si="1133"/>
        <v>0</v>
      </c>
      <c r="AB969" s="128">
        <f t="shared" si="1137"/>
        <v>233441300</v>
      </c>
      <c r="AC969" s="175">
        <f t="shared" si="1139"/>
        <v>1</v>
      </c>
    </row>
    <row r="970" spans="1:29" ht="28.5" x14ac:dyDescent="0.2">
      <c r="B970" s="76" t="s">
        <v>1856</v>
      </c>
      <c r="C970" s="77" t="s">
        <v>1857</v>
      </c>
      <c r="D970" s="131"/>
      <c r="E970" s="188">
        <f>SUM('ADICIONES  2021'!C970:I970)</f>
        <v>1434077627</v>
      </c>
      <c r="F970" s="131"/>
      <c r="G970" s="131"/>
      <c r="H970" s="131"/>
      <c r="I970" s="131"/>
      <c r="J970" s="131"/>
      <c r="K970" s="128">
        <f t="shared" si="1140"/>
        <v>1434077627</v>
      </c>
      <c r="L970" s="131"/>
      <c r="M970" s="131"/>
      <c r="N970" s="131"/>
      <c r="O970" s="131"/>
      <c r="P970" s="131">
        <v>1434077627</v>
      </c>
      <c r="Q970" s="424"/>
      <c r="R970" s="128">
        <f t="shared" si="1141"/>
        <v>1434077627</v>
      </c>
      <c r="S970" s="131"/>
      <c r="T970" s="131"/>
      <c r="U970" s="131"/>
      <c r="V970" s="131"/>
      <c r="W970" s="131"/>
      <c r="X970" s="131"/>
      <c r="Y970" s="131"/>
      <c r="Z970" s="131"/>
      <c r="AA970" s="128">
        <f t="shared" si="1133"/>
        <v>0</v>
      </c>
      <c r="AB970" s="128">
        <f t="shared" si="1137"/>
        <v>1434077627</v>
      </c>
      <c r="AC970" s="175">
        <f t="shared" si="1139"/>
        <v>1</v>
      </c>
    </row>
    <row r="971" spans="1:29" ht="28.5" x14ac:dyDescent="0.2">
      <c r="B971" s="76" t="s">
        <v>1856</v>
      </c>
      <c r="C971" s="77" t="s">
        <v>1857</v>
      </c>
      <c r="D971" s="131"/>
      <c r="E971" s="188">
        <f>SUM('ADICIONES  2021'!C971:I971)</f>
        <v>1867033692</v>
      </c>
      <c r="F971" s="131"/>
      <c r="G971" s="131"/>
      <c r="H971" s="131"/>
      <c r="I971" s="131"/>
      <c r="J971" s="131"/>
      <c r="K971" s="128">
        <f t="shared" si="1140"/>
        <v>1867033692</v>
      </c>
      <c r="L971" s="131"/>
      <c r="M971" s="131"/>
      <c r="N971" s="131"/>
      <c r="O971" s="131"/>
      <c r="P971" s="131">
        <v>1867033692</v>
      </c>
      <c r="Q971" s="424"/>
      <c r="R971" s="128">
        <f t="shared" si="1141"/>
        <v>1867033692</v>
      </c>
      <c r="S971" s="131"/>
      <c r="T971" s="131"/>
      <c r="U971" s="131"/>
      <c r="V971" s="131"/>
      <c r="W971" s="131"/>
      <c r="X971" s="131"/>
      <c r="Y971" s="131"/>
      <c r="Z971" s="131"/>
      <c r="AA971" s="128">
        <f t="shared" si="1133"/>
        <v>0</v>
      </c>
      <c r="AB971" s="128">
        <f t="shared" si="1137"/>
        <v>1867033692</v>
      </c>
      <c r="AC971" s="175">
        <f t="shared" si="1139"/>
        <v>1</v>
      </c>
    </row>
    <row r="972" spans="1:29" ht="14.25" x14ac:dyDescent="0.2">
      <c r="B972" s="76" t="s">
        <v>1858</v>
      </c>
      <c r="C972" s="77" t="s">
        <v>1859</v>
      </c>
      <c r="D972" s="131"/>
      <c r="E972" s="188">
        <f>SUM('ADICIONES  2021'!C972:I972)</f>
        <v>8254716.1600000001</v>
      </c>
      <c r="F972" s="131"/>
      <c r="G972" s="131"/>
      <c r="H972" s="131"/>
      <c r="I972" s="131"/>
      <c r="J972" s="131"/>
      <c r="K972" s="128">
        <f t="shared" si="1140"/>
        <v>8254716.1600000001</v>
      </c>
      <c r="L972" s="131"/>
      <c r="M972" s="131"/>
      <c r="N972" s="131"/>
      <c r="O972" s="131"/>
      <c r="P972" s="131">
        <v>8254716.1600000001</v>
      </c>
      <c r="Q972" s="424"/>
      <c r="R972" s="128">
        <f t="shared" si="1141"/>
        <v>8254716.1600000001</v>
      </c>
      <c r="S972" s="131"/>
      <c r="T972" s="131"/>
      <c r="U972" s="131"/>
      <c r="V972" s="131"/>
      <c r="W972" s="131"/>
      <c r="X972" s="131"/>
      <c r="Y972" s="131"/>
      <c r="Z972" s="131"/>
      <c r="AA972" s="128">
        <f t="shared" si="1133"/>
        <v>0</v>
      </c>
      <c r="AB972" s="128">
        <f t="shared" si="1137"/>
        <v>8254716.1600000001</v>
      </c>
      <c r="AC972" s="175">
        <f t="shared" si="1139"/>
        <v>1</v>
      </c>
    </row>
    <row r="973" spans="1:29" ht="14.25" x14ac:dyDescent="0.2">
      <c r="B973" s="76" t="s">
        <v>1858</v>
      </c>
      <c r="C973" s="77" t="s">
        <v>1859</v>
      </c>
      <c r="D973" s="131"/>
      <c r="E973" s="188">
        <f>SUM('ADICIONES  2021'!C973:I973)</f>
        <v>79999980</v>
      </c>
      <c r="F973" s="131"/>
      <c r="G973" s="131"/>
      <c r="H973" s="131"/>
      <c r="I973" s="131"/>
      <c r="J973" s="131"/>
      <c r="K973" s="128">
        <f t="shared" si="1140"/>
        <v>79999980</v>
      </c>
      <c r="L973" s="131"/>
      <c r="M973" s="131"/>
      <c r="N973" s="131"/>
      <c r="O973" s="131"/>
      <c r="P973" s="131">
        <v>79999980</v>
      </c>
      <c r="Q973" s="424"/>
      <c r="R973" s="128">
        <f t="shared" si="1141"/>
        <v>79999980</v>
      </c>
      <c r="S973" s="131"/>
      <c r="T973" s="131"/>
      <c r="U973" s="131"/>
      <c r="V973" s="131"/>
      <c r="W973" s="131"/>
      <c r="X973" s="131"/>
      <c r="Y973" s="131"/>
      <c r="Z973" s="131"/>
      <c r="AA973" s="128">
        <f t="shared" si="1133"/>
        <v>0</v>
      </c>
      <c r="AB973" s="128">
        <f t="shared" si="1137"/>
        <v>79999980</v>
      </c>
      <c r="AC973" s="175">
        <f t="shared" si="1139"/>
        <v>1</v>
      </c>
    </row>
    <row r="974" spans="1:29" ht="14.25" x14ac:dyDescent="0.2">
      <c r="B974" s="76" t="s">
        <v>1858</v>
      </c>
      <c r="C974" s="77" t="s">
        <v>1859</v>
      </c>
      <c r="D974" s="131"/>
      <c r="E974" s="188">
        <f>SUM('ADICIONES  2021'!C974:I974)</f>
        <v>6354037655.6199999</v>
      </c>
      <c r="F974" s="131"/>
      <c r="G974" s="131"/>
      <c r="H974" s="131"/>
      <c r="I974" s="131"/>
      <c r="J974" s="131"/>
      <c r="K974" s="128">
        <f t="shared" si="1140"/>
        <v>6354037655.6199999</v>
      </c>
      <c r="L974" s="131"/>
      <c r="M974" s="131"/>
      <c r="N974" s="131"/>
      <c r="O974" s="131"/>
      <c r="P974" s="131">
        <v>6354037655.6199999</v>
      </c>
      <c r="Q974" s="424"/>
      <c r="R974" s="128">
        <f t="shared" si="1141"/>
        <v>6354037655.6199999</v>
      </c>
      <c r="S974" s="131"/>
      <c r="T974" s="131"/>
      <c r="U974" s="131"/>
      <c r="V974" s="131"/>
      <c r="W974" s="131"/>
      <c r="X974" s="131"/>
      <c r="Y974" s="131"/>
      <c r="Z974" s="131"/>
      <c r="AA974" s="128">
        <f t="shared" si="1133"/>
        <v>0</v>
      </c>
      <c r="AB974" s="128">
        <f t="shared" si="1137"/>
        <v>6354037655.6199999</v>
      </c>
      <c r="AC974" s="175">
        <f t="shared" si="1139"/>
        <v>1</v>
      </c>
    </row>
    <row r="975" spans="1:29" ht="14.25" x14ac:dyDescent="0.2">
      <c r="B975" s="76" t="s">
        <v>1858</v>
      </c>
      <c r="C975" s="77" t="s">
        <v>1859</v>
      </c>
      <c r="D975" s="131"/>
      <c r="E975" s="188">
        <f>SUM('ADICIONES  2021'!C975:I975)</f>
        <v>5410499.25</v>
      </c>
      <c r="F975" s="131"/>
      <c r="G975" s="131"/>
      <c r="H975" s="131"/>
      <c r="I975" s="131"/>
      <c r="J975" s="131"/>
      <c r="K975" s="128">
        <f t="shared" si="1140"/>
        <v>5410499.25</v>
      </c>
      <c r="L975" s="131"/>
      <c r="M975" s="131"/>
      <c r="N975" s="131"/>
      <c r="O975" s="131"/>
      <c r="P975" s="131">
        <v>5410499.25</v>
      </c>
      <c r="Q975" s="424"/>
      <c r="R975" s="128">
        <f t="shared" si="1141"/>
        <v>5410499.25</v>
      </c>
      <c r="S975" s="131"/>
      <c r="T975" s="131"/>
      <c r="U975" s="131"/>
      <c r="V975" s="131"/>
      <c r="W975" s="131"/>
      <c r="X975" s="131"/>
      <c r="Y975" s="131"/>
      <c r="Z975" s="131"/>
      <c r="AA975" s="128">
        <f t="shared" si="1133"/>
        <v>0</v>
      </c>
      <c r="AB975" s="128">
        <f t="shared" si="1137"/>
        <v>5410499.25</v>
      </c>
      <c r="AC975" s="175">
        <f t="shared" si="1139"/>
        <v>1</v>
      </c>
    </row>
    <row r="976" spans="1:29" ht="14.25" x14ac:dyDescent="0.2">
      <c r="B976" s="76" t="s">
        <v>1858</v>
      </c>
      <c r="C976" s="77" t="s">
        <v>1859</v>
      </c>
      <c r="D976" s="131"/>
      <c r="E976" s="188">
        <f>SUM('ADICIONES  2021'!C976:I976)</f>
        <v>233334</v>
      </c>
      <c r="F976" s="131"/>
      <c r="G976" s="131"/>
      <c r="H976" s="131"/>
      <c r="I976" s="131"/>
      <c r="J976" s="131"/>
      <c r="K976" s="128">
        <f t="shared" si="1140"/>
        <v>233334</v>
      </c>
      <c r="L976" s="131"/>
      <c r="M976" s="131"/>
      <c r="N976" s="131"/>
      <c r="O976" s="131"/>
      <c r="P976" s="131">
        <v>233334</v>
      </c>
      <c r="Q976" s="424"/>
      <c r="R976" s="128">
        <f t="shared" si="1141"/>
        <v>233334</v>
      </c>
      <c r="S976" s="131"/>
      <c r="T976" s="131"/>
      <c r="U976" s="131"/>
      <c r="V976" s="131"/>
      <c r="W976" s="131"/>
      <c r="X976" s="131"/>
      <c r="Y976" s="131"/>
      <c r="Z976" s="131"/>
      <c r="AA976" s="128">
        <f t="shared" ref="AA976:AA987" si="1151">SUM(S976:Z976)</f>
        <v>0</v>
      </c>
      <c r="AB976" s="128">
        <f t="shared" si="1137"/>
        <v>233334</v>
      </c>
      <c r="AC976" s="175">
        <f t="shared" si="1139"/>
        <v>1</v>
      </c>
    </row>
    <row r="977" spans="1:29" ht="14.25" x14ac:dyDescent="0.2">
      <c r="B977" s="76" t="s">
        <v>1858</v>
      </c>
      <c r="C977" s="77" t="s">
        <v>1859</v>
      </c>
      <c r="D977" s="131"/>
      <c r="E977" s="188">
        <f>SUM('ADICIONES  2021'!C977:I977)</f>
        <v>573503224</v>
      </c>
      <c r="F977" s="131"/>
      <c r="G977" s="131"/>
      <c r="H977" s="131"/>
      <c r="I977" s="131"/>
      <c r="J977" s="131"/>
      <c r="K977" s="128">
        <f t="shared" si="1140"/>
        <v>573503224</v>
      </c>
      <c r="L977" s="131"/>
      <c r="M977" s="131"/>
      <c r="N977" s="131"/>
      <c r="O977" s="131"/>
      <c r="P977" s="131">
        <v>573503224</v>
      </c>
      <c r="Q977" s="424"/>
      <c r="R977" s="128">
        <f t="shared" si="1141"/>
        <v>573503224</v>
      </c>
      <c r="S977" s="131"/>
      <c r="T977" s="131"/>
      <c r="U977" s="131"/>
      <c r="V977" s="131"/>
      <c r="W977" s="131"/>
      <c r="X977" s="131"/>
      <c r="Y977" s="131"/>
      <c r="Z977" s="131"/>
      <c r="AA977" s="128">
        <f t="shared" si="1151"/>
        <v>0</v>
      </c>
      <c r="AB977" s="128">
        <f t="shared" si="1137"/>
        <v>573503224</v>
      </c>
      <c r="AC977" s="175">
        <f t="shared" si="1139"/>
        <v>1</v>
      </c>
    </row>
    <row r="978" spans="1:29" ht="14.25" x14ac:dyDescent="0.2">
      <c r="B978" s="76" t="s">
        <v>1858</v>
      </c>
      <c r="C978" s="77" t="s">
        <v>1859</v>
      </c>
      <c r="D978" s="131"/>
      <c r="E978" s="188">
        <f>SUM('ADICIONES  2021'!C978:I978)</f>
        <v>158246.32999999999</v>
      </c>
      <c r="F978" s="131"/>
      <c r="G978" s="131"/>
      <c r="H978" s="131"/>
      <c r="I978" s="131"/>
      <c r="J978" s="131"/>
      <c r="K978" s="128">
        <f t="shared" si="1140"/>
        <v>158246.32999999999</v>
      </c>
      <c r="L978" s="131"/>
      <c r="M978" s="131"/>
      <c r="N978" s="131"/>
      <c r="O978" s="131"/>
      <c r="P978" s="131">
        <v>158246.32999999999</v>
      </c>
      <c r="Q978" s="424"/>
      <c r="R978" s="128">
        <f t="shared" si="1141"/>
        <v>158246.32999999999</v>
      </c>
      <c r="S978" s="131"/>
      <c r="T978" s="131"/>
      <c r="U978" s="131"/>
      <c r="V978" s="131"/>
      <c r="W978" s="131"/>
      <c r="X978" s="131"/>
      <c r="Y978" s="131"/>
      <c r="Z978" s="131"/>
      <c r="AA978" s="128">
        <f t="shared" si="1151"/>
        <v>0</v>
      </c>
      <c r="AB978" s="128">
        <f t="shared" si="1137"/>
        <v>158246.32999999999</v>
      </c>
      <c r="AC978" s="175">
        <f t="shared" si="1139"/>
        <v>1</v>
      </c>
    </row>
    <row r="979" spans="1:29" ht="14.25" x14ac:dyDescent="0.2">
      <c r="B979" s="76" t="s">
        <v>1858</v>
      </c>
      <c r="C979" s="77" t="s">
        <v>1859</v>
      </c>
      <c r="D979" s="131"/>
      <c r="E979" s="188">
        <f>SUM('ADICIONES  2021'!C979:I979)</f>
        <v>3387051.02</v>
      </c>
      <c r="F979" s="131"/>
      <c r="G979" s="131"/>
      <c r="H979" s="131"/>
      <c r="I979" s="131"/>
      <c r="J979" s="131"/>
      <c r="K979" s="128">
        <f t="shared" si="1140"/>
        <v>3387051.02</v>
      </c>
      <c r="L979" s="131"/>
      <c r="M979" s="131"/>
      <c r="N979" s="131"/>
      <c r="O979" s="131"/>
      <c r="P979" s="131">
        <v>3387051.02</v>
      </c>
      <c r="Q979" s="424"/>
      <c r="R979" s="128">
        <f t="shared" si="1141"/>
        <v>3387051.02</v>
      </c>
      <c r="S979" s="131"/>
      <c r="T979" s="131"/>
      <c r="U979" s="131"/>
      <c r="V979" s="131"/>
      <c r="W979" s="131"/>
      <c r="X979" s="131"/>
      <c r="Y979" s="131"/>
      <c r="Z979" s="131"/>
      <c r="AA979" s="128">
        <f t="shared" si="1151"/>
        <v>0</v>
      </c>
      <c r="AB979" s="128">
        <f t="shared" ref="AB979:AB987" si="1152">+R979+AA979</f>
        <v>3387051.02</v>
      </c>
      <c r="AC979" s="175">
        <f t="shared" si="1139"/>
        <v>1</v>
      </c>
    </row>
    <row r="980" spans="1:29" ht="14.25" x14ac:dyDescent="0.2">
      <c r="B980" s="76" t="s">
        <v>1858</v>
      </c>
      <c r="C980" s="77" t="s">
        <v>1859</v>
      </c>
      <c r="D980" s="131"/>
      <c r="E980" s="188">
        <f>SUM('ADICIONES  2021'!C980:I980)</f>
        <v>1058927</v>
      </c>
      <c r="F980" s="131"/>
      <c r="G980" s="131"/>
      <c r="H980" s="131"/>
      <c r="I980" s="131"/>
      <c r="J980" s="131"/>
      <c r="K980" s="128">
        <f t="shared" si="1140"/>
        <v>1058927</v>
      </c>
      <c r="L980" s="131"/>
      <c r="M980" s="131"/>
      <c r="N980" s="131"/>
      <c r="O980" s="131"/>
      <c r="P980" s="131">
        <v>1058927</v>
      </c>
      <c r="Q980" s="424"/>
      <c r="R980" s="128">
        <f t="shared" si="1141"/>
        <v>1058927</v>
      </c>
      <c r="S980" s="131"/>
      <c r="T980" s="131"/>
      <c r="U980" s="131"/>
      <c r="V980" s="131"/>
      <c r="W980" s="131"/>
      <c r="X980" s="131"/>
      <c r="Y980" s="131"/>
      <c r="Z980" s="131"/>
      <c r="AA980" s="128">
        <f t="shared" si="1151"/>
        <v>0</v>
      </c>
      <c r="AB980" s="128">
        <f t="shared" si="1152"/>
        <v>1058927</v>
      </c>
      <c r="AC980" s="175">
        <f t="shared" si="1139"/>
        <v>1</v>
      </c>
    </row>
    <row r="981" spans="1:29" ht="14.25" x14ac:dyDescent="0.2">
      <c r="B981" s="76" t="s">
        <v>1858</v>
      </c>
      <c r="C981" s="77" t="s">
        <v>1859</v>
      </c>
      <c r="D981" s="131"/>
      <c r="E981" s="188">
        <f>SUM('ADICIONES  2021'!C981:I981)</f>
        <v>2435496.7799999998</v>
      </c>
      <c r="F981" s="131"/>
      <c r="G981" s="131"/>
      <c r="H981" s="131"/>
      <c r="I981" s="131"/>
      <c r="J981" s="131"/>
      <c r="K981" s="128">
        <f t="shared" si="1140"/>
        <v>2435496.7799999998</v>
      </c>
      <c r="L981" s="131"/>
      <c r="M981" s="131"/>
      <c r="N981" s="131"/>
      <c r="O981" s="131"/>
      <c r="P981" s="131">
        <v>2435496.7799999998</v>
      </c>
      <c r="Q981" s="424"/>
      <c r="R981" s="128">
        <f t="shared" si="1141"/>
        <v>2435496.7799999998</v>
      </c>
      <c r="S981" s="131"/>
      <c r="T981" s="131"/>
      <c r="U981" s="131"/>
      <c r="V981" s="131"/>
      <c r="W981" s="131"/>
      <c r="X981" s="131"/>
      <c r="Y981" s="131"/>
      <c r="Z981" s="131"/>
      <c r="AA981" s="128">
        <f t="shared" si="1151"/>
        <v>0</v>
      </c>
      <c r="AB981" s="128">
        <f t="shared" si="1152"/>
        <v>2435496.7799999998</v>
      </c>
      <c r="AC981" s="175">
        <f t="shared" si="1139"/>
        <v>1</v>
      </c>
    </row>
    <row r="982" spans="1:29" ht="14.25" x14ac:dyDescent="0.2">
      <c r="B982" s="76" t="s">
        <v>1858</v>
      </c>
      <c r="C982" s="77" t="s">
        <v>1859</v>
      </c>
      <c r="D982" s="131"/>
      <c r="E982" s="188">
        <f>SUM('ADICIONES  2021'!C982:I982)</f>
        <v>50100000</v>
      </c>
      <c r="F982" s="131"/>
      <c r="G982" s="131"/>
      <c r="H982" s="131"/>
      <c r="I982" s="131"/>
      <c r="J982" s="131"/>
      <c r="K982" s="128">
        <f t="shared" si="1140"/>
        <v>50100000</v>
      </c>
      <c r="L982" s="131"/>
      <c r="M982" s="131"/>
      <c r="N982" s="131"/>
      <c r="O982" s="131"/>
      <c r="P982" s="131">
        <v>50100000</v>
      </c>
      <c r="Q982" s="424"/>
      <c r="R982" s="128">
        <f t="shared" si="1141"/>
        <v>50100000</v>
      </c>
      <c r="S982" s="131"/>
      <c r="T982" s="131"/>
      <c r="U982" s="131"/>
      <c r="V982" s="131"/>
      <c r="W982" s="131"/>
      <c r="X982" s="131"/>
      <c r="Y982" s="131"/>
      <c r="Z982" s="131"/>
      <c r="AA982" s="128">
        <f t="shared" si="1151"/>
        <v>0</v>
      </c>
      <c r="AB982" s="128">
        <f t="shared" si="1152"/>
        <v>50100000</v>
      </c>
      <c r="AC982" s="175">
        <f t="shared" si="1139"/>
        <v>1</v>
      </c>
    </row>
    <row r="983" spans="1:29" ht="14.25" x14ac:dyDescent="0.2">
      <c r="B983" s="76" t="s">
        <v>1858</v>
      </c>
      <c r="C983" s="77" t="s">
        <v>1859</v>
      </c>
      <c r="D983" s="131"/>
      <c r="E983" s="188">
        <f>SUM('ADICIONES  2021'!C983:I983)</f>
        <v>16500000</v>
      </c>
      <c r="F983" s="131"/>
      <c r="G983" s="131"/>
      <c r="H983" s="131"/>
      <c r="I983" s="131"/>
      <c r="J983" s="131"/>
      <c r="K983" s="128">
        <f t="shared" si="1140"/>
        <v>16500000</v>
      </c>
      <c r="L983" s="131"/>
      <c r="M983" s="131"/>
      <c r="N983" s="131"/>
      <c r="O983" s="131"/>
      <c r="P983" s="131">
        <v>16500000</v>
      </c>
      <c r="Q983" s="424"/>
      <c r="R983" s="128">
        <f t="shared" si="1141"/>
        <v>16500000</v>
      </c>
      <c r="S983" s="131"/>
      <c r="T983" s="131"/>
      <c r="U983" s="131"/>
      <c r="V983" s="131"/>
      <c r="W983" s="131"/>
      <c r="X983" s="131"/>
      <c r="Y983" s="131"/>
      <c r="Z983" s="131"/>
      <c r="AA983" s="128">
        <f t="shared" si="1151"/>
        <v>0</v>
      </c>
      <c r="AB983" s="128">
        <f t="shared" si="1152"/>
        <v>16500000</v>
      </c>
      <c r="AC983" s="175">
        <f t="shared" ref="AC983:AC987" si="1153">+AB983/K983</f>
        <v>1</v>
      </c>
    </row>
    <row r="984" spans="1:29" ht="14.25" x14ac:dyDescent="0.2">
      <c r="B984" s="76" t="s">
        <v>1858</v>
      </c>
      <c r="C984" s="77" t="s">
        <v>1859</v>
      </c>
      <c r="D984" s="131"/>
      <c r="E984" s="188">
        <f>SUM('ADICIONES  2021'!C984:I984)</f>
        <v>4132604</v>
      </c>
      <c r="F984" s="131"/>
      <c r="G984" s="131"/>
      <c r="H984" s="131"/>
      <c r="I984" s="131"/>
      <c r="J984" s="131"/>
      <c r="K984" s="128">
        <f t="shared" ref="K984:K987" si="1154">+D984+E984-F984+G984-H984</f>
        <v>4132604</v>
      </c>
      <c r="L984" s="131"/>
      <c r="M984" s="131"/>
      <c r="N984" s="131"/>
      <c r="O984" s="131"/>
      <c r="P984" s="131">
        <v>4132604</v>
      </c>
      <c r="Q984" s="424"/>
      <c r="R984" s="128">
        <f t="shared" ref="R984:R987" si="1155">SUM(L984:Q984)</f>
        <v>4132604</v>
      </c>
      <c r="S984" s="131"/>
      <c r="T984" s="131"/>
      <c r="U984" s="131"/>
      <c r="V984" s="131"/>
      <c r="W984" s="131"/>
      <c r="X984" s="131"/>
      <c r="Y984" s="131"/>
      <c r="Z984" s="131"/>
      <c r="AA984" s="128">
        <f t="shared" si="1151"/>
        <v>0</v>
      </c>
      <c r="AB984" s="128">
        <f t="shared" si="1152"/>
        <v>4132604</v>
      </c>
      <c r="AC984" s="175">
        <f t="shared" si="1153"/>
        <v>1</v>
      </c>
    </row>
    <row r="985" spans="1:29" ht="14.25" x14ac:dyDescent="0.2">
      <c r="B985" s="76" t="s">
        <v>1858</v>
      </c>
      <c r="C985" s="77" t="s">
        <v>1859</v>
      </c>
      <c r="D985" s="131"/>
      <c r="E985" s="188">
        <f>SUM('ADICIONES  2021'!C985:I985)</f>
        <v>499616810.38999999</v>
      </c>
      <c r="F985" s="131"/>
      <c r="G985" s="131"/>
      <c r="H985" s="131"/>
      <c r="I985" s="131"/>
      <c r="J985" s="131"/>
      <c r="K985" s="128">
        <f t="shared" si="1154"/>
        <v>499616810.38999999</v>
      </c>
      <c r="L985" s="131"/>
      <c r="M985" s="131"/>
      <c r="N985" s="131"/>
      <c r="O985" s="131"/>
      <c r="P985" s="131">
        <v>499616810.38999999</v>
      </c>
      <c r="Q985" s="424"/>
      <c r="R985" s="128">
        <f t="shared" si="1155"/>
        <v>499616810.38999999</v>
      </c>
      <c r="S985" s="131"/>
      <c r="T985" s="131"/>
      <c r="U985" s="131"/>
      <c r="V985" s="131"/>
      <c r="W985" s="131"/>
      <c r="X985" s="131"/>
      <c r="Y985" s="131"/>
      <c r="Z985" s="131"/>
      <c r="AA985" s="128">
        <f t="shared" si="1151"/>
        <v>0</v>
      </c>
      <c r="AB985" s="128">
        <f t="shared" si="1152"/>
        <v>499616810.38999999</v>
      </c>
      <c r="AC985" s="175">
        <f t="shared" si="1153"/>
        <v>1</v>
      </c>
    </row>
    <row r="986" spans="1:29" ht="14.25" x14ac:dyDescent="0.2">
      <c r="B986" s="76" t="s">
        <v>1858</v>
      </c>
      <c r="C986" s="77" t="s">
        <v>1859</v>
      </c>
      <c r="D986" s="131"/>
      <c r="E986" s="188">
        <f>SUM('ADICIONES  2021'!C986:I986)</f>
        <v>6056617823.2399998</v>
      </c>
      <c r="F986" s="131"/>
      <c r="G986" s="131"/>
      <c r="H986" s="131"/>
      <c r="I986" s="131"/>
      <c r="J986" s="131"/>
      <c r="K986" s="128">
        <f t="shared" si="1154"/>
        <v>6056617823.2399998</v>
      </c>
      <c r="L986" s="131"/>
      <c r="M986" s="131"/>
      <c r="N986" s="131"/>
      <c r="O986" s="131"/>
      <c r="P986" s="131">
        <v>6056617823.2399998</v>
      </c>
      <c r="Q986" s="424"/>
      <c r="R986" s="128">
        <f t="shared" si="1155"/>
        <v>6056617823.2399998</v>
      </c>
      <c r="S986" s="131"/>
      <c r="T986" s="131"/>
      <c r="U986" s="131"/>
      <c r="V986" s="131"/>
      <c r="W986" s="131"/>
      <c r="X986" s="131"/>
      <c r="Y986" s="131"/>
      <c r="Z986" s="131"/>
      <c r="AA986" s="128">
        <f t="shared" si="1151"/>
        <v>0</v>
      </c>
      <c r="AB986" s="128">
        <f t="shared" si="1152"/>
        <v>6056617823.2399998</v>
      </c>
      <c r="AC986" s="175">
        <f t="shared" si="1153"/>
        <v>1</v>
      </c>
    </row>
    <row r="987" spans="1:29" thickBot="1" x14ac:dyDescent="0.25">
      <c r="B987" s="158" t="s">
        <v>1858</v>
      </c>
      <c r="C987" s="221" t="s">
        <v>1859</v>
      </c>
      <c r="D987" s="308"/>
      <c r="E987" s="188">
        <f>SUM('ADICIONES  2021'!C987:I987)</f>
        <v>9550485282.7700005</v>
      </c>
      <c r="F987" s="308"/>
      <c r="G987" s="308"/>
      <c r="H987" s="308"/>
      <c r="I987" s="308"/>
      <c r="J987" s="308"/>
      <c r="K987" s="129">
        <f t="shared" si="1154"/>
        <v>9550485282.7700005</v>
      </c>
      <c r="L987" s="308"/>
      <c r="M987" s="308"/>
      <c r="N987" s="308"/>
      <c r="O987" s="308"/>
      <c r="P987" s="308">
        <v>9550485282.7700005</v>
      </c>
      <c r="Q987" s="428"/>
      <c r="R987" s="129">
        <f t="shared" si="1155"/>
        <v>9550485282.7700005</v>
      </c>
      <c r="S987" s="308"/>
      <c r="T987" s="308"/>
      <c r="U987" s="308"/>
      <c r="V987" s="308"/>
      <c r="W987" s="308"/>
      <c r="X987" s="308"/>
      <c r="Y987" s="308"/>
      <c r="Z987" s="308"/>
      <c r="AA987" s="129">
        <f t="shared" si="1151"/>
        <v>0</v>
      </c>
      <c r="AB987" s="129">
        <f t="shared" si="1152"/>
        <v>9550485282.7700005</v>
      </c>
      <c r="AC987" s="259">
        <f t="shared" si="1153"/>
        <v>1</v>
      </c>
    </row>
    <row r="988" spans="1:29" s="142" customFormat="1" ht="20.25" thickBot="1" x14ac:dyDescent="0.25">
      <c r="A988" s="141">
        <v>1</v>
      </c>
      <c r="B988" s="461" t="s">
        <v>22</v>
      </c>
      <c r="C988" s="462"/>
      <c r="D988" s="355">
        <f>+D768+D965</f>
        <v>130199862756.89999</v>
      </c>
      <c r="E988" s="387">
        <f t="shared" ref="E988:AB988" si="1156">+E768+E965</f>
        <v>75418818249.779999</v>
      </c>
      <c r="F988" s="355">
        <f t="shared" si="1156"/>
        <v>0</v>
      </c>
      <c r="G988" s="355">
        <f t="shared" si="1156"/>
        <v>2500000000</v>
      </c>
      <c r="H988" s="355">
        <f t="shared" si="1156"/>
        <v>350000000</v>
      </c>
      <c r="I988" s="355">
        <f t="shared" si="1156"/>
        <v>0</v>
      </c>
      <c r="J988" s="355">
        <f t="shared" si="1156"/>
        <v>0</v>
      </c>
      <c r="K988" s="355">
        <f t="shared" si="1156"/>
        <v>207768681006.67999</v>
      </c>
      <c r="L988" s="355">
        <f t="shared" si="1156"/>
        <v>14396430252.819202</v>
      </c>
      <c r="M988" s="355">
        <f t="shared" si="1156"/>
        <v>9194413809.0683994</v>
      </c>
      <c r="N988" s="355">
        <f t="shared" si="1156"/>
        <v>15323833234.066198</v>
      </c>
      <c r="O988" s="355">
        <f t="shared" si="1156"/>
        <v>13705612361.3916</v>
      </c>
      <c r="P988" s="355">
        <f t="shared" si="1156"/>
        <v>68548905619.364807</v>
      </c>
      <c r="Q988" s="429">
        <f t="shared" si="1156"/>
        <v>10783369269.4132</v>
      </c>
      <c r="R988" s="355">
        <f t="shared" si="1156"/>
        <v>131952564546.12341</v>
      </c>
      <c r="S988" s="355">
        <f t="shared" si="1156"/>
        <v>14792855704.080799</v>
      </c>
      <c r="T988" s="355">
        <f t="shared" si="1156"/>
        <v>0</v>
      </c>
      <c r="U988" s="355">
        <f t="shared" si="1156"/>
        <v>0</v>
      </c>
      <c r="V988" s="355">
        <f t="shared" si="1156"/>
        <v>0</v>
      </c>
      <c r="W988" s="355">
        <f t="shared" si="1156"/>
        <v>0</v>
      </c>
      <c r="X988" s="355">
        <f t="shared" si="1156"/>
        <v>0</v>
      </c>
      <c r="Y988" s="355">
        <f t="shared" si="1156"/>
        <v>0</v>
      </c>
      <c r="Z988" s="355">
        <f t="shared" si="1156"/>
        <v>0</v>
      </c>
      <c r="AA988" s="355">
        <f t="shared" si="1156"/>
        <v>14792855704.080799</v>
      </c>
      <c r="AB988" s="355">
        <f t="shared" si="1156"/>
        <v>146745420250.20422</v>
      </c>
      <c r="AC988" s="356">
        <f>AB988/K988</f>
        <v>0.70629230324413617</v>
      </c>
    </row>
    <row r="989" spans="1:29" x14ac:dyDescent="0.2">
      <c r="A989" s="100">
        <v>1</v>
      </c>
      <c r="B989" s="20"/>
      <c r="C989" s="3"/>
      <c r="D989" s="342"/>
      <c r="E989" s="189"/>
      <c r="F989" s="150"/>
      <c r="G989" s="150"/>
      <c r="H989" s="150"/>
      <c r="I989" s="147"/>
      <c r="J989" s="147"/>
      <c r="K989" s="147"/>
      <c r="L989" s="147"/>
      <c r="M989" s="147"/>
      <c r="N989" s="147"/>
      <c r="O989" s="147"/>
      <c r="P989" s="147"/>
      <c r="Q989" s="421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77"/>
    </row>
    <row r="990" spans="1:29" ht="19.5" x14ac:dyDescent="0.2">
      <c r="A990" s="100">
        <v>1</v>
      </c>
      <c r="B990" s="452" t="s">
        <v>263</v>
      </c>
      <c r="C990" s="453"/>
      <c r="D990" s="343"/>
      <c r="E990" s="343"/>
      <c r="F990" s="343"/>
      <c r="G990" s="343"/>
      <c r="H990" s="343"/>
      <c r="I990" s="343"/>
      <c r="J990" s="343"/>
      <c r="K990" s="343"/>
      <c r="L990" s="128"/>
      <c r="M990" s="128"/>
      <c r="N990" s="128"/>
      <c r="O990" s="128"/>
      <c r="P990" s="128"/>
      <c r="Q990" s="413"/>
      <c r="R990" s="128"/>
      <c r="S990" s="128"/>
      <c r="T990" s="128"/>
      <c r="U990" s="128"/>
      <c r="V990" s="128"/>
      <c r="W990" s="128"/>
      <c r="X990" s="128"/>
      <c r="Y990" s="128"/>
      <c r="Z990" s="128"/>
      <c r="AA990" s="128"/>
      <c r="AB990" s="128"/>
      <c r="AC990" s="175"/>
    </row>
    <row r="991" spans="1:29" ht="39" thickBot="1" x14ac:dyDescent="0.25">
      <c r="A991" s="100">
        <v>1</v>
      </c>
      <c r="B991" s="267"/>
      <c r="C991" s="268" t="s">
        <v>374</v>
      </c>
      <c r="D991" s="344"/>
      <c r="E991" s="275">
        <f>SUM('ADICIONES  2021'!C991:I991)</f>
        <v>5270880557.3299999</v>
      </c>
      <c r="F991" s="276"/>
      <c r="G991" s="276"/>
      <c r="H991" s="276"/>
      <c r="I991" s="269"/>
      <c r="J991" s="269"/>
      <c r="K991" s="269">
        <f t="shared" ref="K991" si="1157">+D991+E991-F991+G991-H991</f>
        <v>5270880557.3299999</v>
      </c>
      <c r="L991" s="269">
        <v>0</v>
      </c>
      <c r="M991" s="269">
        <v>0</v>
      </c>
      <c r="N991" s="269"/>
      <c r="O991" s="269"/>
      <c r="P991" s="269">
        <v>0</v>
      </c>
      <c r="Q991" s="430">
        <v>0</v>
      </c>
      <c r="R991" s="277">
        <f t="shared" ref="R991" si="1158">SUM(L991:Q991)</f>
        <v>0</v>
      </c>
      <c r="S991" s="269">
        <v>0</v>
      </c>
      <c r="T991" s="269"/>
      <c r="U991" s="269"/>
      <c r="V991" s="269"/>
      <c r="W991" s="269"/>
      <c r="X991" s="269"/>
      <c r="Y991" s="269"/>
      <c r="Z991" s="269"/>
      <c r="AA991" s="269">
        <f t="shared" ref="AA991" si="1159">SUM(S991:Z991)</f>
        <v>0</v>
      </c>
      <c r="AB991" s="269">
        <f t="shared" ref="AB991" si="1160">+R991+AA991</f>
        <v>0</v>
      </c>
      <c r="AC991" s="270">
        <f t="shared" ref="AC991" si="1161">+AB991/K991</f>
        <v>0</v>
      </c>
    </row>
    <row r="992" spans="1:29" s="170" customFormat="1" ht="20.25" thickBot="1" x14ac:dyDescent="0.25">
      <c r="A992" s="171">
        <v>1</v>
      </c>
      <c r="B992" s="463" t="s">
        <v>264</v>
      </c>
      <c r="C992" s="464"/>
      <c r="D992" s="345">
        <f>+D991</f>
        <v>0</v>
      </c>
      <c r="E992" s="278">
        <f>+E991</f>
        <v>5270880557.3299999</v>
      </c>
      <c r="F992" s="279">
        <f t="shared" ref="F992:AB992" si="1162">+F991</f>
        <v>0</v>
      </c>
      <c r="G992" s="279">
        <f t="shared" si="1162"/>
        <v>0</v>
      </c>
      <c r="H992" s="279">
        <f t="shared" si="1162"/>
        <v>0</v>
      </c>
      <c r="I992" s="279">
        <f t="shared" si="1162"/>
        <v>0</v>
      </c>
      <c r="J992" s="279">
        <f t="shared" si="1162"/>
        <v>0</v>
      </c>
      <c r="K992" s="279">
        <f t="shared" si="1162"/>
        <v>5270880557.3299999</v>
      </c>
      <c r="L992" s="279">
        <f t="shared" si="1162"/>
        <v>0</v>
      </c>
      <c r="M992" s="279">
        <f t="shared" si="1162"/>
        <v>0</v>
      </c>
      <c r="N992" s="279">
        <f t="shared" si="1162"/>
        <v>0</v>
      </c>
      <c r="O992" s="279">
        <f t="shared" si="1162"/>
        <v>0</v>
      </c>
      <c r="P992" s="279">
        <f t="shared" si="1162"/>
        <v>0</v>
      </c>
      <c r="Q992" s="431">
        <f t="shared" si="1162"/>
        <v>0</v>
      </c>
      <c r="R992" s="279">
        <f t="shared" si="1162"/>
        <v>0</v>
      </c>
      <c r="S992" s="279">
        <f t="shared" si="1162"/>
        <v>0</v>
      </c>
      <c r="T992" s="279">
        <f t="shared" si="1162"/>
        <v>0</v>
      </c>
      <c r="U992" s="279">
        <f t="shared" si="1162"/>
        <v>0</v>
      </c>
      <c r="V992" s="279">
        <f t="shared" si="1162"/>
        <v>0</v>
      </c>
      <c r="W992" s="279">
        <f t="shared" si="1162"/>
        <v>0</v>
      </c>
      <c r="X992" s="279">
        <f t="shared" si="1162"/>
        <v>0</v>
      </c>
      <c r="Y992" s="279">
        <f t="shared" si="1162"/>
        <v>0</v>
      </c>
      <c r="Z992" s="279">
        <f t="shared" si="1162"/>
        <v>0</v>
      </c>
      <c r="AA992" s="279">
        <f t="shared" si="1162"/>
        <v>0</v>
      </c>
      <c r="AB992" s="279">
        <f t="shared" si="1162"/>
        <v>0</v>
      </c>
      <c r="AC992" s="255">
        <f>+AB992/K992</f>
        <v>0</v>
      </c>
    </row>
    <row r="993" spans="1:29" x14ac:dyDescent="0.2">
      <c r="A993" s="100">
        <v>1</v>
      </c>
      <c r="B993" s="20"/>
      <c r="C993" s="3"/>
      <c r="D993" s="342"/>
      <c r="E993" s="189"/>
      <c r="F993" s="150"/>
      <c r="G993" s="150"/>
      <c r="H993" s="150"/>
      <c r="I993" s="147"/>
      <c r="J993" s="147"/>
      <c r="K993" s="147"/>
      <c r="L993" s="147"/>
      <c r="M993" s="147"/>
      <c r="N993" s="147"/>
      <c r="O993" s="147"/>
      <c r="P993" s="147"/>
      <c r="Q993" s="421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77"/>
    </row>
    <row r="994" spans="1:29" ht="19.5" x14ac:dyDescent="0.2">
      <c r="A994" s="100">
        <v>1</v>
      </c>
      <c r="B994" s="452" t="s">
        <v>31</v>
      </c>
      <c r="C994" s="453"/>
      <c r="D994" s="333"/>
      <c r="E994" s="187"/>
      <c r="F994" s="187"/>
      <c r="G994" s="187"/>
      <c r="H994" s="187"/>
      <c r="I994" s="187"/>
      <c r="J994" s="187"/>
      <c r="K994" s="187"/>
      <c r="L994" s="127"/>
      <c r="M994" s="127"/>
      <c r="N994" s="127"/>
      <c r="O994" s="127"/>
      <c r="P994" s="127"/>
      <c r="Q994" s="408"/>
      <c r="R994" s="127"/>
      <c r="S994" s="127"/>
      <c r="T994" s="127"/>
      <c r="U994" s="127"/>
      <c r="V994" s="127"/>
      <c r="W994" s="127"/>
      <c r="X994" s="127"/>
      <c r="Y994" s="127"/>
      <c r="Z994" s="127"/>
      <c r="AA994" s="127"/>
      <c r="AB994" s="128"/>
      <c r="AC994" s="176"/>
    </row>
    <row r="995" spans="1:29" s="142" customFormat="1" ht="19.5" x14ac:dyDescent="0.2">
      <c r="A995" s="141">
        <v>1</v>
      </c>
      <c r="B995" s="166" t="s">
        <v>382</v>
      </c>
      <c r="C995" s="167" t="s">
        <v>1110</v>
      </c>
      <c r="D995" s="346">
        <f>+D996+D1004</f>
        <v>629043594392</v>
      </c>
      <c r="E995" s="306">
        <f>SUM('ADICIONES  2021'!C995:I995)</f>
        <v>0</v>
      </c>
      <c r="F995" s="168">
        <f t="shared" ref="F995:J995" si="1163">+F996+F1004</f>
        <v>0</v>
      </c>
      <c r="G995" s="168">
        <f t="shared" si="1163"/>
        <v>0</v>
      </c>
      <c r="H995" s="168">
        <f t="shared" si="1163"/>
        <v>0</v>
      </c>
      <c r="I995" s="168">
        <f t="shared" si="1163"/>
        <v>193347367060</v>
      </c>
      <c r="J995" s="168">
        <f t="shared" si="1163"/>
        <v>0</v>
      </c>
      <c r="K995" s="162">
        <f t="shared" ref="K995:K1016" si="1164">+D995+E995-F995+G995-H995</f>
        <v>629043594392</v>
      </c>
      <c r="L995" s="168">
        <f t="shared" ref="L995:Q995" si="1165">+L996+L1004</f>
        <v>54948368576</v>
      </c>
      <c r="M995" s="168">
        <f t="shared" si="1165"/>
        <v>44277029266</v>
      </c>
      <c r="N995" s="168">
        <f t="shared" si="1165"/>
        <v>43852207389</v>
      </c>
      <c r="O995" s="168">
        <f t="shared" si="1165"/>
        <v>42768251549</v>
      </c>
      <c r="P995" s="168">
        <f t="shared" si="1165"/>
        <v>43417649059.919998</v>
      </c>
      <c r="Q995" s="432">
        <f t="shared" si="1165"/>
        <v>43638832675</v>
      </c>
      <c r="R995" s="162">
        <f>SUM(L995:Q995)</f>
        <v>272902338514.91998</v>
      </c>
      <c r="S995" s="168">
        <f t="shared" ref="S995:Z995" si="1166">+S996+S1004</f>
        <v>61706391253</v>
      </c>
      <c r="T995" s="168">
        <f t="shared" si="1166"/>
        <v>0</v>
      </c>
      <c r="U995" s="168">
        <f t="shared" si="1166"/>
        <v>0</v>
      </c>
      <c r="V995" s="168">
        <f t="shared" si="1166"/>
        <v>0</v>
      </c>
      <c r="W995" s="168">
        <f t="shared" si="1166"/>
        <v>0</v>
      </c>
      <c r="X995" s="168">
        <f t="shared" si="1166"/>
        <v>0</v>
      </c>
      <c r="Y995" s="168">
        <f t="shared" si="1166"/>
        <v>0</v>
      </c>
      <c r="Z995" s="168">
        <f t="shared" si="1166"/>
        <v>0</v>
      </c>
      <c r="AA995" s="162">
        <f>SUM(S995:Z995)</f>
        <v>61706391253</v>
      </c>
      <c r="AB995" s="386">
        <f>+R995+AA995</f>
        <v>334608729767.91998</v>
      </c>
      <c r="AC995" s="173">
        <f t="shared" ref="AC995:AC1016" si="1167">+AB995/K995</f>
        <v>0.53193249681102772</v>
      </c>
    </row>
    <row r="996" spans="1:29" s="142" customFormat="1" ht="19.5" x14ac:dyDescent="0.2">
      <c r="A996" s="141">
        <v>1</v>
      </c>
      <c r="B996" s="166" t="s">
        <v>383</v>
      </c>
      <c r="C996" s="167" t="s">
        <v>1111</v>
      </c>
      <c r="D996" s="346">
        <f>+D997</f>
        <v>628393594392</v>
      </c>
      <c r="E996" s="306">
        <f>SUM('ADICIONES  2021'!C996:I996)</f>
        <v>0</v>
      </c>
      <c r="F996" s="168">
        <f t="shared" ref="F996:J999" si="1168">+F997</f>
        <v>0</v>
      </c>
      <c r="G996" s="168">
        <f t="shared" si="1168"/>
        <v>0</v>
      </c>
      <c r="H996" s="168">
        <f t="shared" si="1168"/>
        <v>0</v>
      </c>
      <c r="I996" s="168">
        <f t="shared" si="1168"/>
        <v>193347367060</v>
      </c>
      <c r="J996" s="168">
        <f t="shared" si="1168"/>
        <v>0</v>
      </c>
      <c r="K996" s="162">
        <f t="shared" si="1164"/>
        <v>628393594392</v>
      </c>
      <c r="L996" s="168">
        <f t="shared" ref="L996:Q999" si="1169">+L997</f>
        <v>54920512781</v>
      </c>
      <c r="M996" s="168">
        <f t="shared" si="1169"/>
        <v>44269498496</v>
      </c>
      <c r="N996" s="168">
        <f t="shared" si="1169"/>
        <v>43848802519</v>
      </c>
      <c r="O996" s="168">
        <f t="shared" si="1169"/>
        <v>42445040611</v>
      </c>
      <c r="P996" s="168">
        <f t="shared" si="1169"/>
        <v>42979790929</v>
      </c>
      <c r="Q996" s="432">
        <f t="shared" si="1169"/>
        <v>42822433533</v>
      </c>
      <c r="R996" s="162">
        <f t="shared" ref="R996:R1016" si="1170">SUM(L996:Q996)</f>
        <v>271286078869</v>
      </c>
      <c r="S996" s="168">
        <f t="shared" ref="S996:Z999" si="1171">+S997</f>
        <v>61688551056</v>
      </c>
      <c r="T996" s="168">
        <f t="shared" si="1171"/>
        <v>0</v>
      </c>
      <c r="U996" s="168">
        <f t="shared" si="1171"/>
        <v>0</v>
      </c>
      <c r="V996" s="168">
        <f t="shared" si="1171"/>
        <v>0</v>
      </c>
      <c r="W996" s="168">
        <f t="shared" si="1171"/>
        <v>0</v>
      </c>
      <c r="X996" s="168">
        <f t="shared" si="1171"/>
        <v>0</v>
      </c>
      <c r="Y996" s="168">
        <f t="shared" si="1171"/>
        <v>0</v>
      </c>
      <c r="Z996" s="168">
        <f t="shared" si="1171"/>
        <v>0</v>
      </c>
      <c r="AA996" s="162">
        <f t="shared" ref="AA996:AA1016" si="1172">SUM(S996:Z996)</f>
        <v>61688551056</v>
      </c>
      <c r="AB996" s="386">
        <f t="shared" ref="AB996:AB1016" si="1173">+R996+AA996</f>
        <v>332974629925</v>
      </c>
      <c r="AC996" s="173">
        <f t="shared" si="1167"/>
        <v>0.52988227903113561</v>
      </c>
    </row>
    <row r="997" spans="1:29" s="142" customFormat="1" ht="19.5" x14ac:dyDescent="0.2">
      <c r="A997" s="141">
        <v>1</v>
      </c>
      <c r="B997" s="166" t="s">
        <v>535</v>
      </c>
      <c r="C997" s="167" t="s">
        <v>1112</v>
      </c>
      <c r="D997" s="346">
        <f>+D998</f>
        <v>628393594392</v>
      </c>
      <c r="E997" s="306">
        <f>SUM('ADICIONES  2021'!C997:I997)</f>
        <v>0</v>
      </c>
      <c r="F997" s="168">
        <f t="shared" si="1168"/>
        <v>0</v>
      </c>
      <c r="G997" s="168">
        <f t="shared" si="1168"/>
        <v>0</v>
      </c>
      <c r="H997" s="168">
        <f t="shared" si="1168"/>
        <v>0</v>
      </c>
      <c r="I997" s="168">
        <f t="shared" si="1168"/>
        <v>193347367060</v>
      </c>
      <c r="J997" s="168">
        <f t="shared" si="1168"/>
        <v>0</v>
      </c>
      <c r="K997" s="162">
        <f t="shared" si="1164"/>
        <v>628393594392</v>
      </c>
      <c r="L997" s="168">
        <f t="shared" si="1169"/>
        <v>54920512781</v>
      </c>
      <c r="M997" s="168">
        <f t="shared" si="1169"/>
        <v>44269498496</v>
      </c>
      <c r="N997" s="168">
        <f t="shared" si="1169"/>
        <v>43848802519</v>
      </c>
      <c r="O997" s="168">
        <f t="shared" si="1169"/>
        <v>42445040611</v>
      </c>
      <c r="P997" s="168">
        <f t="shared" si="1169"/>
        <v>42979790929</v>
      </c>
      <c r="Q997" s="432">
        <f t="shared" si="1169"/>
        <v>42822433533</v>
      </c>
      <c r="R997" s="162">
        <f t="shared" si="1170"/>
        <v>271286078869</v>
      </c>
      <c r="S997" s="168">
        <f t="shared" si="1171"/>
        <v>61688551056</v>
      </c>
      <c r="T997" s="168">
        <f t="shared" si="1171"/>
        <v>0</v>
      </c>
      <c r="U997" s="168">
        <f t="shared" si="1171"/>
        <v>0</v>
      </c>
      <c r="V997" s="168">
        <f t="shared" si="1171"/>
        <v>0</v>
      </c>
      <c r="W997" s="168">
        <f t="shared" si="1171"/>
        <v>0</v>
      </c>
      <c r="X997" s="168">
        <f t="shared" si="1171"/>
        <v>0</v>
      </c>
      <c r="Y997" s="168">
        <f t="shared" si="1171"/>
        <v>0</v>
      </c>
      <c r="Z997" s="168">
        <f t="shared" si="1171"/>
        <v>0</v>
      </c>
      <c r="AA997" s="162">
        <f t="shared" si="1172"/>
        <v>61688551056</v>
      </c>
      <c r="AB997" s="386">
        <f t="shared" si="1173"/>
        <v>332974629925</v>
      </c>
      <c r="AC997" s="173">
        <f t="shared" si="1167"/>
        <v>0.52988227903113561</v>
      </c>
    </row>
    <row r="998" spans="1:29" s="142" customFormat="1" ht="19.5" x14ac:dyDescent="0.2">
      <c r="A998" s="141">
        <v>1</v>
      </c>
      <c r="B998" s="166" t="s">
        <v>608</v>
      </c>
      <c r="C998" s="167" t="s">
        <v>609</v>
      </c>
      <c r="D998" s="346">
        <f>+D999</f>
        <v>628393594392</v>
      </c>
      <c r="E998" s="306">
        <f>SUM('ADICIONES  2021'!C998:I998)</f>
        <v>0</v>
      </c>
      <c r="F998" s="168">
        <f t="shared" si="1168"/>
        <v>0</v>
      </c>
      <c r="G998" s="168">
        <f t="shared" si="1168"/>
        <v>0</v>
      </c>
      <c r="H998" s="168">
        <f t="shared" si="1168"/>
        <v>0</v>
      </c>
      <c r="I998" s="168">
        <f t="shared" si="1168"/>
        <v>193347367060</v>
      </c>
      <c r="J998" s="168">
        <f t="shared" si="1168"/>
        <v>0</v>
      </c>
      <c r="K998" s="162">
        <f t="shared" si="1164"/>
        <v>628393594392</v>
      </c>
      <c r="L998" s="168">
        <f t="shared" si="1169"/>
        <v>54920512781</v>
      </c>
      <c r="M998" s="168">
        <f t="shared" si="1169"/>
        <v>44269498496</v>
      </c>
      <c r="N998" s="168">
        <f t="shared" si="1169"/>
        <v>43848802519</v>
      </c>
      <c r="O998" s="168">
        <f t="shared" si="1169"/>
        <v>42445040611</v>
      </c>
      <c r="P998" s="168">
        <f t="shared" si="1169"/>
        <v>42979790929</v>
      </c>
      <c r="Q998" s="432">
        <f t="shared" si="1169"/>
        <v>42822433533</v>
      </c>
      <c r="R998" s="162">
        <f t="shared" si="1170"/>
        <v>271286078869</v>
      </c>
      <c r="S998" s="168">
        <f t="shared" si="1171"/>
        <v>61688551056</v>
      </c>
      <c r="T998" s="168">
        <f t="shared" si="1171"/>
        <v>0</v>
      </c>
      <c r="U998" s="168">
        <f t="shared" si="1171"/>
        <v>0</v>
      </c>
      <c r="V998" s="168">
        <f t="shared" si="1171"/>
        <v>0</v>
      </c>
      <c r="W998" s="168">
        <f t="shared" si="1171"/>
        <v>0</v>
      </c>
      <c r="X998" s="168">
        <f t="shared" si="1171"/>
        <v>0</v>
      </c>
      <c r="Y998" s="168">
        <f t="shared" si="1171"/>
        <v>0</v>
      </c>
      <c r="Z998" s="168">
        <f t="shared" si="1171"/>
        <v>0</v>
      </c>
      <c r="AA998" s="162">
        <f t="shared" si="1172"/>
        <v>61688551056</v>
      </c>
      <c r="AB998" s="386">
        <f t="shared" si="1173"/>
        <v>332974629925</v>
      </c>
      <c r="AC998" s="173">
        <f t="shared" si="1167"/>
        <v>0.52988227903113561</v>
      </c>
    </row>
    <row r="999" spans="1:29" s="63" customFormat="1" ht="19.5" x14ac:dyDescent="0.2">
      <c r="A999" s="397">
        <v>1</v>
      </c>
      <c r="B999" s="89" t="s">
        <v>610</v>
      </c>
      <c r="C999" s="92" t="s">
        <v>611</v>
      </c>
      <c r="D999" s="347">
        <f>+D1000</f>
        <v>628393594392</v>
      </c>
      <c r="E999" s="187">
        <f>SUM('ADICIONES  2021'!C999:I999)</f>
        <v>0</v>
      </c>
      <c r="F999" s="133">
        <f t="shared" si="1168"/>
        <v>0</v>
      </c>
      <c r="G999" s="133">
        <f t="shared" si="1168"/>
        <v>0</v>
      </c>
      <c r="H999" s="133">
        <f t="shared" si="1168"/>
        <v>0</v>
      </c>
      <c r="I999" s="133">
        <f t="shared" si="1168"/>
        <v>193347367060</v>
      </c>
      <c r="J999" s="133">
        <f t="shared" si="1168"/>
        <v>0</v>
      </c>
      <c r="K999" s="78">
        <f t="shared" si="1164"/>
        <v>628393594392</v>
      </c>
      <c r="L999" s="133">
        <f t="shared" si="1169"/>
        <v>54920512781</v>
      </c>
      <c r="M999" s="133">
        <f t="shared" si="1169"/>
        <v>44269498496</v>
      </c>
      <c r="N999" s="133">
        <f t="shared" si="1169"/>
        <v>43848802519</v>
      </c>
      <c r="O999" s="133">
        <f t="shared" si="1169"/>
        <v>42445040611</v>
      </c>
      <c r="P999" s="133">
        <f t="shared" si="1169"/>
        <v>42979790929</v>
      </c>
      <c r="Q999" s="433">
        <f t="shared" si="1169"/>
        <v>42822433533</v>
      </c>
      <c r="R999" s="162">
        <f t="shared" si="1170"/>
        <v>271286078869</v>
      </c>
      <c r="S999" s="133">
        <f t="shared" si="1171"/>
        <v>61688551056</v>
      </c>
      <c r="T999" s="133">
        <f t="shared" si="1171"/>
        <v>0</v>
      </c>
      <c r="U999" s="133">
        <f t="shared" si="1171"/>
        <v>0</v>
      </c>
      <c r="V999" s="133">
        <f t="shared" si="1171"/>
        <v>0</v>
      </c>
      <c r="W999" s="133">
        <f t="shared" si="1171"/>
        <v>0</v>
      </c>
      <c r="X999" s="133">
        <f t="shared" si="1171"/>
        <v>0</v>
      </c>
      <c r="Y999" s="133">
        <f t="shared" si="1171"/>
        <v>0</v>
      </c>
      <c r="Z999" s="133">
        <f t="shared" si="1171"/>
        <v>0</v>
      </c>
      <c r="AA999" s="162">
        <f t="shared" si="1172"/>
        <v>61688551056</v>
      </c>
      <c r="AB999" s="386">
        <f t="shared" si="1173"/>
        <v>332974629925</v>
      </c>
      <c r="AC999" s="174">
        <f t="shared" si="1167"/>
        <v>0.52988227903113561</v>
      </c>
    </row>
    <row r="1000" spans="1:29" s="63" customFormat="1" ht="19.5" x14ac:dyDescent="0.2">
      <c r="A1000" s="397">
        <v>1</v>
      </c>
      <c r="B1000" s="89" t="s">
        <v>612</v>
      </c>
      <c r="C1000" s="92" t="s">
        <v>613</v>
      </c>
      <c r="D1000" s="347">
        <f>+D1001+D1002</f>
        <v>628393594392</v>
      </c>
      <c r="E1000" s="187">
        <f>SUM('ADICIONES  2021'!C1000:I1000)</f>
        <v>0</v>
      </c>
      <c r="F1000" s="133">
        <f t="shared" ref="F1000:J1000" si="1174">+F1001+F1002</f>
        <v>0</v>
      </c>
      <c r="G1000" s="133">
        <f t="shared" si="1174"/>
        <v>0</v>
      </c>
      <c r="H1000" s="133">
        <f t="shared" si="1174"/>
        <v>0</v>
      </c>
      <c r="I1000" s="133">
        <f t="shared" si="1174"/>
        <v>193347367060</v>
      </c>
      <c r="J1000" s="133">
        <f t="shared" si="1174"/>
        <v>0</v>
      </c>
      <c r="K1000" s="78">
        <f t="shared" si="1164"/>
        <v>628393594392</v>
      </c>
      <c r="L1000" s="133">
        <f t="shared" ref="L1000:Q1000" si="1175">+L1001+L1002</f>
        <v>54920512781</v>
      </c>
      <c r="M1000" s="133">
        <f t="shared" si="1175"/>
        <v>44269498496</v>
      </c>
      <c r="N1000" s="133">
        <f t="shared" si="1175"/>
        <v>43848802519</v>
      </c>
      <c r="O1000" s="133">
        <f t="shared" si="1175"/>
        <v>42445040611</v>
      </c>
      <c r="P1000" s="133">
        <f t="shared" si="1175"/>
        <v>42979790929</v>
      </c>
      <c r="Q1000" s="433">
        <f t="shared" si="1175"/>
        <v>42822433533</v>
      </c>
      <c r="R1000" s="162">
        <f t="shared" si="1170"/>
        <v>271286078869</v>
      </c>
      <c r="S1000" s="133">
        <f t="shared" ref="S1000:Z1000" si="1176">+S1001+S1002</f>
        <v>61688551056</v>
      </c>
      <c r="T1000" s="133">
        <f t="shared" si="1176"/>
        <v>0</v>
      </c>
      <c r="U1000" s="133">
        <f t="shared" si="1176"/>
        <v>0</v>
      </c>
      <c r="V1000" s="133">
        <f t="shared" si="1176"/>
        <v>0</v>
      </c>
      <c r="W1000" s="133">
        <f t="shared" si="1176"/>
        <v>0</v>
      </c>
      <c r="X1000" s="133">
        <f t="shared" si="1176"/>
        <v>0</v>
      </c>
      <c r="Y1000" s="133">
        <f t="shared" si="1176"/>
        <v>0</v>
      </c>
      <c r="Z1000" s="133">
        <f t="shared" si="1176"/>
        <v>0</v>
      </c>
      <c r="AA1000" s="162">
        <f t="shared" si="1172"/>
        <v>61688551056</v>
      </c>
      <c r="AB1000" s="386">
        <f t="shared" si="1173"/>
        <v>332974629925</v>
      </c>
      <c r="AC1000" s="174">
        <f t="shared" si="1167"/>
        <v>0.52988227903113561</v>
      </c>
    </row>
    <row r="1001" spans="1:29" s="19" customFormat="1" ht="19.5" x14ac:dyDescent="0.2">
      <c r="A1001" s="71"/>
      <c r="B1001" s="237" t="s">
        <v>1113</v>
      </c>
      <c r="C1001" s="238" t="s">
        <v>1114</v>
      </c>
      <c r="D1001" s="348">
        <v>628393594392</v>
      </c>
      <c r="E1001" s="188">
        <f>SUM('ADICIONES  2021'!C1001:I1001)</f>
        <v>0</v>
      </c>
      <c r="F1001" s="134"/>
      <c r="G1001" s="134"/>
      <c r="H1001" s="134"/>
      <c r="I1001" s="134">
        <v>193347367060</v>
      </c>
      <c r="J1001" s="134"/>
      <c r="K1001" s="126">
        <f t="shared" si="1164"/>
        <v>628393594392</v>
      </c>
      <c r="L1001" s="134">
        <v>54920512781</v>
      </c>
      <c r="M1001" s="134">
        <v>44269498496</v>
      </c>
      <c r="N1001" s="134">
        <v>43848802519</v>
      </c>
      <c r="O1001" s="134">
        <v>42445040611</v>
      </c>
      <c r="P1001" s="134">
        <v>42979790929</v>
      </c>
      <c r="Q1001" s="434">
        <v>42822433533</v>
      </c>
      <c r="R1001" s="162">
        <f t="shared" si="1170"/>
        <v>271286078869</v>
      </c>
      <c r="S1001" s="134">
        <v>61688551056</v>
      </c>
      <c r="T1001" s="134"/>
      <c r="U1001" s="134"/>
      <c r="V1001" s="134"/>
      <c r="W1001" s="134"/>
      <c r="X1001" s="134"/>
      <c r="Y1001" s="134"/>
      <c r="Z1001" s="134"/>
      <c r="AA1001" s="162">
        <f t="shared" si="1172"/>
        <v>61688551056</v>
      </c>
      <c r="AB1001" s="386">
        <f t="shared" si="1173"/>
        <v>332974629925</v>
      </c>
      <c r="AC1001" s="180">
        <f t="shared" si="1167"/>
        <v>0.52988227903113561</v>
      </c>
    </row>
    <row r="1002" spans="1:29" s="63" customFormat="1" ht="19.5" hidden="1" x14ac:dyDescent="0.2">
      <c r="A1002" s="397"/>
      <c r="B1002" s="89" t="s">
        <v>616</v>
      </c>
      <c r="C1002" s="92" t="s">
        <v>1115</v>
      </c>
      <c r="D1002" s="347">
        <f>+D1003</f>
        <v>0</v>
      </c>
      <c r="E1002" s="187">
        <f>SUM('ADICIONES  2021'!C1002:I1002)</f>
        <v>0</v>
      </c>
      <c r="F1002" s="133">
        <f t="shared" ref="F1002:J1002" si="1177">+F1003</f>
        <v>0</v>
      </c>
      <c r="G1002" s="133">
        <f t="shared" si="1177"/>
        <v>0</v>
      </c>
      <c r="H1002" s="133">
        <f t="shared" si="1177"/>
        <v>0</v>
      </c>
      <c r="I1002" s="133">
        <f t="shared" si="1177"/>
        <v>0</v>
      </c>
      <c r="J1002" s="133">
        <f t="shared" si="1177"/>
        <v>0</v>
      </c>
      <c r="K1002" s="78">
        <f t="shared" si="1164"/>
        <v>0</v>
      </c>
      <c r="L1002" s="133">
        <f t="shared" ref="L1002:Q1002" si="1178">+L1003</f>
        <v>0</v>
      </c>
      <c r="M1002" s="133">
        <f t="shared" si="1178"/>
        <v>0</v>
      </c>
      <c r="N1002" s="133">
        <f t="shared" si="1178"/>
        <v>0</v>
      </c>
      <c r="O1002" s="133">
        <v>0</v>
      </c>
      <c r="P1002" s="133">
        <f t="shared" si="1178"/>
        <v>0</v>
      </c>
      <c r="Q1002" s="433">
        <f t="shared" si="1178"/>
        <v>0</v>
      </c>
      <c r="R1002" s="162">
        <f t="shared" si="1170"/>
        <v>0</v>
      </c>
      <c r="S1002" s="133">
        <f t="shared" ref="S1002:Z1002" si="1179">+S1003</f>
        <v>0</v>
      </c>
      <c r="T1002" s="133">
        <f t="shared" si="1179"/>
        <v>0</v>
      </c>
      <c r="U1002" s="133">
        <f t="shared" si="1179"/>
        <v>0</v>
      </c>
      <c r="V1002" s="133">
        <f t="shared" si="1179"/>
        <v>0</v>
      </c>
      <c r="W1002" s="133">
        <f t="shared" si="1179"/>
        <v>0</v>
      </c>
      <c r="X1002" s="133">
        <f t="shared" si="1179"/>
        <v>0</v>
      </c>
      <c r="Y1002" s="133">
        <f t="shared" si="1179"/>
        <v>0</v>
      </c>
      <c r="Z1002" s="133">
        <f t="shared" si="1179"/>
        <v>0</v>
      </c>
      <c r="AA1002" s="162">
        <f t="shared" si="1172"/>
        <v>0</v>
      </c>
      <c r="AB1002" s="162">
        <f t="shared" si="1173"/>
        <v>0</v>
      </c>
      <c r="AC1002" s="174" t="e">
        <f t="shared" si="1167"/>
        <v>#DIV/0!</v>
      </c>
    </row>
    <row r="1003" spans="1:29" s="19" customFormat="1" ht="19.5" hidden="1" x14ac:dyDescent="0.2">
      <c r="A1003" s="71"/>
      <c r="B1003" s="90" t="s">
        <v>1116</v>
      </c>
      <c r="C1003" s="91" t="s">
        <v>1117</v>
      </c>
      <c r="D1003" s="348">
        <v>0</v>
      </c>
      <c r="E1003" s="188">
        <f>SUM('ADICIONES  2021'!C1003:I1003)</f>
        <v>0</v>
      </c>
      <c r="F1003" s="134"/>
      <c r="G1003" s="134"/>
      <c r="H1003" s="134"/>
      <c r="I1003" s="134"/>
      <c r="J1003" s="134"/>
      <c r="K1003" s="128">
        <f t="shared" si="1164"/>
        <v>0</v>
      </c>
      <c r="L1003" s="134">
        <v>0</v>
      </c>
      <c r="M1003" s="134"/>
      <c r="N1003" s="134"/>
      <c r="O1003" s="134"/>
      <c r="P1003" s="134"/>
      <c r="Q1003" s="434"/>
      <c r="R1003" s="162">
        <f t="shared" si="1170"/>
        <v>0</v>
      </c>
      <c r="S1003" s="134"/>
      <c r="T1003" s="134"/>
      <c r="U1003" s="134"/>
      <c r="V1003" s="134"/>
      <c r="W1003" s="134"/>
      <c r="X1003" s="134"/>
      <c r="Y1003" s="134"/>
      <c r="Z1003" s="134"/>
      <c r="AA1003" s="162">
        <f t="shared" si="1172"/>
        <v>0</v>
      </c>
      <c r="AB1003" s="162">
        <f t="shared" si="1173"/>
        <v>0</v>
      </c>
      <c r="AC1003" s="175" t="e">
        <f t="shared" si="1167"/>
        <v>#DIV/0!</v>
      </c>
    </row>
    <row r="1004" spans="1:29" s="63" customFormat="1" ht="19.5" x14ac:dyDescent="0.2">
      <c r="A1004" s="397">
        <v>1</v>
      </c>
      <c r="B1004" s="89" t="s">
        <v>698</v>
      </c>
      <c r="C1004" s="92" t="s">
        <v>1118</v>
      </c>
      <c r="D1004" s="347">
        <f>+D1005+D1009+D1014</f>
        <v>650000000</v>
      </c>
      <c r="E1004" s="187">
        <f>SUM('ADICIONES  2021'!C1004:I1004)</f>
        <v>0</v>
      </c>
      <c r="F1004" s="133">
        <f t="shared" ref="F1004:J1004" si="1180">+F1005+F1009+F1014</f>
        <v>0</v>
      </c>
      <c r="G1004" s="133">
        <f t="shared" si="1180"/>
        <v>0</v>
      </c>
      <c r="H1004" s="133">
        <f t="shared" si="1180"/>
        <v>0</v>
      </c>
      <c r="I1004" s="133">
        <f t="shared" si="1180"/>
        <v>0</v>
      </c>
      <c r="J1004" s="133">
        <f t="shared" si="1180"/>
        <v>0</v>
      </c>
      <c r="K1004" s="78">
        <f t="shared" si="1164"/>
        <v>650000000</v>
      </c>
      <c r="L1004" s="133">
        <f t="shared" ref="L1004:Q1004" si="1181">+L1005+L1009+L1014</f>
        <v>27855795</v>
      </c>
      <c r="M1004" s="133">
        <f t="shared" si="1181"/>
        <v>7530770</v>
      </c>
      <c r="N1004" s="133">
        <f t="shared" si="1181"/>
        <v>3404870</v>
      </c>
      <c r="O1004" s="133">
        <f t="shared" si="1181"/>
        <v>323210938</v>
      </c>
      <c r="P1004" s="133">
        <f t="shared" si="1181"/>
        <v>437858130.92000002</v>
      </c>
      <c r="Q1004" s="433">
        <f t="shared" si="1181"/>
        <v>816399142</v>
      </c>
      <c r="R1004" s="162">
        <f t="shared" si="1170"/>
        <v>1616259645.9200001</v>
      </c>
      <c r="S1004" s="133">
        <f t="shared" ref="S1004:Z1004" si="1182">+S1005+S1009+S1014</f>
        <v>17840197</v>
      </c>
      <c r="T1004" s="133">
        <f t="shared" si="1182"/>
        <v>0</v>
      </c>
      <c r="U1004" s="133">
        <f t="shared" si="1182"/>
        <v>0</v>
      </c>
      <c r="V1004" s="133">
        <f t="shared" si="1182"/>
        <v>0</v>
      </c>
      <c r="W1004" s="133">
        <f t="shared" si="1182"/>
        <v>0</v>
      </c>
      <c r="X1004" s="133">
        <f t="shared" si="1182"/>
        <v>0</v>
      </c>
      <c r="Y1004" s="133">
        <f t="shared" si="1182"/>
        <v>0</v>
      </c>
      <c r="Z1004" s="133">
        <f t="shared" si="1182"/>
        <v>0</v>
      </c>
      <c r="AA1004" s="162">
        <f t="shared" si="1172"/>
        <v>17840197</v>
      </c>
      <c r="AB1004" s="162">
        <f t="shared" si="1173"/>
        <v>1634099842.9200001</v>
      </c>
      <c r="AC1004" s="174">
        <f t="shared" si="1167"/>
        <v>2.5139997583384615</v>
      </c>
    </row>
    <row r="1005" spans="1:29" s="63" customFormat="1" ht="19.5" x14ac:dyDescent="0.2">
      <c r="A1005" s="397">
        <v>1</v>
      </c>
      <c r="B1005" s="89" t="s">
        <v>1084</v>
      </c>
      <c r="C1005" s="92" t="s">
        <v>709</v>
      </c>
      <c r="D1005" s="347">
        <f>+D1006</f>
        <v>150000000</v>
      </c>
      <c r="E1005" s="187">
        <f>SUM('ADICIONES  2021'!C1005:I1005)</f>
        <v>0</v>
      </c>
      <c r="F1005" s="133">
        <f t="shared" ref="F1005:J1007" si="1183">+F1006</f>
        <v>0</v>
      </c>
      <c r="G1005" s="133">
        <f t="shared" si="1183"/>
        <v>0</v>
      </c>
      <c r="H1005" s="133">
        <f t="shared" si="1183"/>
        <v>0</v>
      </c>
      <c r="I1005" s="133">
        <f t="shared" si="1183"/>
        <v>0</v>
      </c>
      <c r="J1005" s="133">
        <f t="shared" si="1183"/>
        <v>0</v>
      </c>
      <c r="K1005" s="78">
        <f t="shared" si="1164"/>
        <v>150000000</v>
      </c>
      <c r="L1005" s="133">
        <f t="shared" ref="L1005:Q1007" si="1184">+L1006</f>
        <v>2114931</v>
      </c>
      <c r="M1005" s="133">
        <f t="shared" si="1184"/>
        <v>1866768</v>
      </c>
      <c r="N1005" s="133">
        <f t="shared" si="1184"/>
        <v>1992190</v>
      </c>
      <c r="O1005" s="133">
        <f t="shared" si="1184"/>
        <v>2674646</v>
      </c>
      <c r="P1005" s="133">
        <f t="shared" si="1184"/>
        <v>2835042</v>
      </c>
      <c r="Q1005" s="433">
        <f t="shared" si="1184"/>
        <v>3014069</v>
      </c>
      <c r="R1005" s="162">
        <f t="shared" si="1170"/>
        <v>14497646</v>
      </c>
      <c r="S1005" s="133">
        <f t="shared" ref="S1005:Z1007" si="1185">+S1006</f>
        <v>3728474</v>
      </c>
      <c r="T1005" s="133">
        <f t="shared" si="1185"/>
        <v>0</v>
      </c>
      <c r="U1005" s="133">
        <f t="shared" si="1185"/>
        <v>0</v>
      </c>
      <c r="V1005" s="133">
        <f t="shared" si="1185"/>
        <v>0</v>
      </c>
      <c r="W1005" s="133">
        <f t="shared" si="1185"/>
        <v>0</v>
      </c>
      <c r="X1005" s="133">
        <f t="shared" si="1185"/>
        <v>0</v>
      </c>
      <c r="Y1005" s="133">
        <f t="shared" si="1185"/>
        <v>0</v>
      </c>
      <c r="Z1005" s="133">
        <f t="shared" si="1185"/>
        <v>0</v>
      </c>
      <c r="AA1005" s="162">
        <f t="shared" si="1172"/>
        <v>3728474</v>
      </c>
      <c r="AB1005" s="162">
        <f t="shared" si="1173"/>
        <v>18226120</v>
      </c>
      <c r="AC1005" s="174">
        <f t="shared" si="1167"/>
        <v>0.12150746666666666</v>
      </c>
    </row>
    <row r="1006" spans="1:29" s="63" customFormat="1" ht="19.5" x14ac:dyDescent="0.2">
      <c r="A1006" s="397"/>
      <c r="B1006" s="89" t="s">
        <v>710</v>
      </c>
      <c r="C1006" s="92" t="s">
        <v>1086</v>
      </c>
      <c r="D1006" s="347">
        <f>+D1007</f>
        <v>150000000</v>
      </c>
      <c r="E1006" s="187">
        <f>SUM('ADICIONES  2021'!C1006:I1006)</f>
        <v>0</v>
      </c>
      <c r="F1006" s="133">
        <f t="shared" si="1183"/>
        <v>0</v>
      </c>
      <c r="G1006" s="133">
        <f t="shared" si="1183"/>
        <v>0</v>
      </c>
      <c r="H1006" s="133">
        <f t="shared" si="1183"/>
        <v>0</v>
      </c>
      <c r="I1006" s="133">
        <f t="shared" si="1183"/>
        <v>0</v>
      </c>
      <c r="J1006" s="133">
        <f t="shared" si="1183"/>
        <v>0</v>
      </c>
      <c r="K1006" s="78">
        <f t="shared" si="1164"/>
        <v>150000000</v>
      </c>
      <c r="L1006" s="133">
        <f t="shared" si="1184"/>
        <v>2114931</v>
      </c>
      <c r="M1006" s="133">
        <f t="shared" si="1184"/>
        <v>1866768</v>
      </c>
      <c r="N1006" s="133">
        <f t="shared" si="1184"/>
        <v>1992190</v>
      </c>
      <c r="O1006" s="133">
        <f t="shared" si="1184"/>
        <v>2674646</v>
      </c>
      <c r="P1006" s="133">
        <f t="shared" si="1184"/>
        <v>2835042</v>
      </c>
      <c r="Q1006" s="433">
        <f t="shared" si="1184"/>
        <v>3014069</v>
      </c>
      <c r="R1006" s="162">
        <f t="shared" si="1170"/>
        <v>14497646</v>
      </c>
      <c r="S1006" s="133">
        <f t="shared" si="1185"/>
        <v>3728474</v>
      </c>
      <c r="T1006" s="133">
        <f t="shared" si="1185"/>
        <v>0</v>
      </c>
      <c r="U1006" s="133">
        <f t="shared" si="1185"/>
        <v>0</v>
      </c>
      <c r="V1006" s="133">
        <f t="shared" si="1185"/>
        <v>0</v>
      </c>
      <c r="W1006" s="133">
        <f t="shared" si="1185"/>
        <v>0</v>
      </c>
      <c r="X1006" s="133">
        <f t="shared" si="1185"/>
        <v>0</v>
      </c>
      <c r="Y1006" s="133">
        <f t="shared" si="1185"/>
        <v>0</v>
      </c>
      <c r="Z1006" s="133">
        <f t="shared" si="1185"/>
        <v>0</v>
      </c>
      <c r="AA1006" s="162">
        <f t="shared" si="1172"/>
        <v>3728474</v>
      </c>
      <c r="AB1006" s="162">
        <f t="shared" si="1173"/>
        <v>18226120</v>
      </c>
      <c r="AC1006" s="174">
        <f t="shared" si="1167"/>
        <v>0.12150746666666666</v>
      </c>
    </row>
    <row r="1007" spans="1:29" s="63" customFormat="1" ht="19.5" x14ac:dyDescent="0.2">
      <c r="A1007" s="397"/>
      <c r="B1007" s="89" t="s">
        <v>712</v>
      </c>
      <c r="C1007" s="92" t="s">
        <v>611</v>
      </c>
      <c r="D1007" s="347">
        <f>+D1008</f>
        <v>150000000</v>
      </c>
      <c r="E1007" s="187">
        <f>SUM('ADICIONES  2021'!C1007:I1007)</f>
        <v>0</v>
      </c>
      <c r="F1007" s="133">
        <f t="shared" si="1183"/>
        <v>0</v>
      </c>
      <c r="G1007" s="133">
        <f t="shared" si="1183"/>
        <v>0</v>
      </c>
      <c r="H1007" s="133">
        <f t="shared" si="1183"/>
        <v>0</v>
      </c>
      <c r="I1007" s="133">
        <f t="shared" si="1183"/>
        <v>0</v>
      </c>
      <c r="J1007" s="133">
        <f t="shared" si="1183"/>
        <v>0</v>
      </c>
      <c r="K1007" s="78">
        <f t="shared" si="1164"/>
        <v>150000000</v>
      </c>
      <c r="L1007" s="133">
        <f t="shared" si="1184"/>
        <v>2114931</v>
      </c>
      <c r="M1007" s="133">
        <f t="shared" si="1184"/>
        <v>1866768</v>
      </c>
      <c r="N1007" s="133">
        <f t="shared" si="1184"/>
        <v>1992190</v>
      </c>
      <c r="O1007" s="133">
        <f t="shared" si="1184"/>
        <v>2674646</v>
      </c>
      <c r="P1007" s="133">
        <f t="shared" si="1184"/>
        <v>2835042</v>
      </c>
      <c r="Q1007" s="433">
        <f t="shared" si="1184"/>
        <v>3014069</v>
      </c>
      <c r="R1007" s="162">
        <f t="shared" si="1170"/>
        <v>14497646</v>
      </c>
      <c r="S1007" s="133">
        <f t="shared" si="1185"/>
        <v>3728474</v>
      </c>
      <c r="T1007" s="133">
        <f t="shared" si="1185"/>
        <v>0</v>
      </c>
      <c r="U1007" s="133">
        <f t="shared" si="1185"/>
        <v>0</v>
      </c>
      <c r="V1007" s="133">
        <f t="shared" si="1185"/>
        <v>0</v>
      </c>
      <c r="W1007" s="133">
        <f t="shared" si="1185"/>
        <v>0</v>
      </c>
      <c r="X1007" s="133">
        <f t="shared" si="1185"/>
        <v>0</v>
      </c>
      <c r="Y1007" s="133">
        <f t="shared" si="1185"/>
        <v>0</v>
      </c>
      <c r="Z1007" s="133">
        <f t="shared" si="1185"/>
        <v>0</v>
      </c>
      <c r="AA1007" s="162">
        <f t="shared" si="1172"/>
        <v>3728474</v>
      </c>
      <c r="AB1007" s="162">
        <f t="shared" si="1173"/>
        <v>18226120</v>
      </c>
      <c r="AC1007" s="174">
        <f t="shared" si="1167"/>
        <v>0.12150746666666666</v>
      </c>
    </row>
    <row r="1008" spans="1:29" s="19" customFormat="1" ht="19.5" x14ac:dyDescent="0.2">
      <c r="A1008" s="71"/>
      <c r="B1008" s="237" t="s">
        <v>1088</v>
      </c>
      <c r="C1008" s="238" t="s">
        <v>1114</v>
      </c>
      <c r="D1008" s="348">
        <v>150000000</v>
      </c>
      <c r="E1008" s="188">
        <f>SUM('ADICIONES  2021'!C1008:I1008)</f>
        <v>0</v>
      </c>
      <c r="F1008" s="134"/>
      <c r="G1008" s="134"/>
      <c r="H1008" s="134"/>
      <c r="I1008" s="134"/>
      <c r="J1008" s="134"/>
      <c r="K1008" s="126">
        <f t="shared" si="1164"/>
        <v>150000000</v>
      </c>
      <c r="L1008" s="134">
        <v>2114931</v>
      </c>
      <c r="M1008" s="134">
        <v>1866768</v>
      </c>
      <c r="N1008" s="134">
        <v>1992190</v>
      </c>
      <c r="O1008" s="134">
        <v>2674646</v>
      </c>
      <c r="P1008" s="134">
        <v>2835042</v>
      </c>
      <c r="Q1008" s="434">
        <v>3014069</v>
      </c>
      <c r="R1008" s="162">
        <f t="shared" si="1170"/>
        <v>14497646</v>
      </c>
      <c r="S1008" s="134">
        <v>3728474</v>
      </c>
      <c r="T1008" s="134"/>
      <c r="U1008" s="134"/>
      <c r="V1008" s="134"/>
      <c r="W1008" s="134"/>
      <c r="X1008" s="134"/>
      <c r="Y1008" s="134"/>
      <c r="Z1008" s="134"/>
      <c r="AA1008" s="162">
        <f t="shared" si="1172"/>
        <v>3728474</v>
      </c>
      <c r="AB1008" s="162">
        <f t="shared" si="1173"/>
        <v>18226120</v>
      </c>
      <c r="AC1008" s="180">
        <f t="shared" si="1167"/>
        <v>0.12150746666666666</v>
      </c>
    </row>
    <row r="1009" spans="1:29" s="63" customFormat="1" ht="19.5" hidden="1" x14ac:dyDescent="0.2">
      <c r="A1009" s="397">
        <v>1</v>
      </c>
      <c r="B1009" s="89" t="s">
        <v>822</v>
      </c>
      <c r="C1009" s="92" t="s">
        <v>1119</v>
      </c>
      <c r="D1009" s="347">
        <f>+D1010+D1011</f>
        <v>0</v>
      </c>
      <c r="E1009" s="187">
        <f>SUM('ADICIONES  2021'!C1009:I1009)</f>
        <v>0</v>
      </c>
      <c r="F1009" s="133">
        <f t="shared" ref="F1009:J1009" si="1186">+F1010+F1011</f>
        <v>0</v>
      </c>
      <c r="G1009" s="133">
        <f t="shared" si="1186"/>
        <v>0</v>
      </c>
      <c r="H1009" s="133">
        <f t="shared" si="1186"/>
        <v>0</v>
      </c>
      <c r="I1009" s="133">
        <f t="shared" si="1186"/>
        <v>0</v>
      </c>
      <c r="J1009" s="133">
        <f t="shared" si="1186"/>
        <v>0</v>
      </c>
      <c r="K1009" s="78">
        <f t="shared" si="1164"/>
        <v>0</v>
      </c>
      <c r="L1009" s="133">
        <f t="shared" ref="L1009:Q1009" si="1187">+L1010+L1011</f>
        <v>0</v>
      </c>
      <c r="M1009" s="133">
        <f t="shared" si="1187"/>
        <v>0</v>
      </c>
      <c r="N1009" s="133">
        <f t="shared" si="1187"/>
        <v>0</v>
      </c>
      <c r="O1009" s="133">
        <f t="shared" si="1187"/>
        <v>0</v>
      </c>
      <c r="P1009" s="133">
        <f t="shared" si="1187"/>
        <v>0</v>
      </c>
      <c r="Q1009" s="433">
        <f t="shared" si="1187"/>
        <v>0</v>
      </c>
      <c r="R1009" s="162">
        <f t="shared" si="1170"/>
        <v>0</v>
      </c>
      <c r="S1009" s="133">
        <f t="shared" ref="S1009:Z1009" si="1188">+S1010+S1011</f>
        <v>0</v>
      </c>
      <c r="T1009" s="133">
        <f t="shared" si="1188"/>
        <v>0</v>
      </c>
      <c r="U1009" s="133">
        <f t="shared" si="1188"/>
        <v>0</v>
      </c>
      <c r="V1009" s="133">
        <f t="shared" si="1188"/>
        <v>0</v>
      </c>
      <c r="W1009" s="133">
        <f t="shared" si="1188"/>
        <v>0</v>
      </c>
      <c r="X1009" s="133">
        <f t="shared" si="1188"/>
        <v>0</v>
      </c>
      <c r="Y1009" s="133">
        <f t="shared" si="1188"/>
        <v>0</v>
      </c>
      <c r="Z1009" s="133">
        <f t="shared" si="1188"/>
        <v>0</v>
      </c>
      <c r="AA1009" s="162">
        <f t="shared" si="1172"/>
        <v>0</v>
      </c>
      <c r="AB1009" s="162">
        <f t="shared" si="1173"/>
        <v>0</v>
      </c>
      <c r="AC1009" s="174" t="e">
        <f t="shared" si="1167"/>
        <v>#DIV/0!</v>
      </c>
    </row>
    <row r="1010" spans="1:29" s="19" customFormat="1" ht="19.5" hidden="1" x14ac:dyDescent="0.2">
      <c r="A1010" s="71"/>
      <c r="B1010" s="237" t="s">
        <v>1120</v>
      </c>
      <c r="C1010" s="238" t="s">
        <v>1121</v>
      </c>
      <c r="D1010" s="348">
        <v>0</v>
      </c>
      <c r="E1010" s="188">
        <f>SUM('ADICIONES  2021'!C1010:I1010)</f>
        <v>0</v>
      </c>
      <c r="F1010" s="134"/>
      <c r="G1010" s="134"/>
      <c r="H1010" s="134"/>
      <c r="I1010" s="134"/>
      <c r="J1010" s="134"/>
      <c r="K1010" s="126">
        <f t="shared" si="1164"/>
        <v>0</v>
      </c>
      <c r="L1010" s="134"/>
      <c r="M1010" s="134"/>
      <c r="N1010" s="134"/>
      <c r="O1010" s="134"/>
      <c r="P1010" s="134"/>
      <c r="Q1010" s="434"/>
      <c r="R1010" s="162">
        <f t="shared" si="1170"/>
        <v>0</v>
      </c>
      <c r="S1010" s="134"/>
      <c r="T1010" s="134"/>
      <c r="U1010" s="134"/>
      <c r="V1010" s="134"/>
      <c r="W1010" s="134"/>
      <c r="X1010" s="134"/>
      <c r="Y1010" s="134"/>
      <c r="Z1010" s="134"/>
      <c r="AA1010" s="162">
        <f t="shared" si="1172"/>
        <v>0</v>
      </c>
      <c r="AB1010" s="162">
        <f t="shared" si="1173"/>
        <v>0</v>
      </c>
      <c r="AC1010" s="180" t="e">
        <f t="shared" si="1167"/>
        <v>#DIV/0!</v>
      </c>
    </row>
    <row r="1011" spans="1:29" s="63" customFormat="1" ht="19.5" hidden="1" x14ac:dyDescent="0.2">
      <c r="A1011" s="397"/>
      <c r="B1011" s="89" t="s">
        <v>823</v>
      </c>
      <c r="C1011" s="92" t="s">
        <v>1122</v>
      </c>
      <c r="D1011" s="347">
        <f>SUM(D1012:D1013)</f>
        <v>0</v>
      </c>
      <c r="E1011" s="187">
        <f>SUM('ADICIONES  2021'!C1011:I1011)</f>
        <v>0</v>
      </c>
      <c r="F1011" s="133">
        <f t="shared" ref="F1011:J1011" si="1189">SUM(F1012:F1013)</f>
        <v>0</v>
      </c>
      <c r="G1011" s="133">
        <f t="shared" si="1189"/>
        <v>0</v>
      </c>
      <c r="H1011" s="133">
        <f t="shared" si="1189"/>
        <v>0</v>
      </c>
      <c r="I1011" s="133">
        <f t="shared" si="1189"/>
        <v>0</v>
      </c>
      <c r="J1011" s="133">
        <f t="shared" si="1189"/>
        <v>0</v>
      </c>
      <c r="K1011" s="78">
        <f t="shared" si="1164"/>
        <v>0</v>
      </c>
      <c r="L1011" s="133">
        <f t="shared" ref="L1011:Q1011" si="1190">SUM(L1012:L1013)</f>
        <v>0</v>
      </c>
      <c r="M1011" s="133">
        <f t="shared" si="1190"/>
        <v>0</v>
      </c>
      <c r="N1011" s="133">
        <f t="shared" si="1190"/>
        <v>0</v>
      </c>
      <c r="O1011" s="133">
        <f t="shared" si="1190"/>
        <v>0</v>
      </c>
      <c r="P1011" s="133">
        <f t="shared" si="1190"/>
        <v>0</v>
      </c>
      <c r="Q1011" s="433">
        <f t="shared" si="1190"/>
        <v>0</v>
      </c>
      <c r="R1011" s="162">
        <f t="shared" si="1170"/>
        <v>0</v>
      </c>
      <c r="S1011" s="133">
        <f t="shared" ref="S1011:Z1011" si="1191">SUM(S1012:S1013)</f>
        <v>0</v>
      </c>
      <c r="T1011" s="133">
        <f t="shared" si="1191"/>
        <v>0</v>
      </c>
      <c r="U1011" s="133">
        <f t="shared" si="1191"/>
        <v>0</v>
      </c>
      <c r="V1011" s="133">
        <f t="shared" si="1191"/>
        <v>0</v>
      </c>
      <c r="W1011" s="133">
        <f t="shared" si="1191"/>
        <v>0</v>
      </c>
      <c r="X1011" s="133">
        <f t="shared" si="1191"/>
        <v>0</v>
      </c>
      <c r="Y1011" s="133">
        <f t="shared" si="1191"/>
        <v>0</v>
      </c>
      <c r="Z1011" s="133">
        <f t="shared" si="1191"/>
        <v>0</v>
      </c>
      <c r="AA1011" s="162">
        <f t="shared" si="1172"/>
        <v>0</v>
      </c>
      <c r="AB1011" s="162">
        <f t="shared" si="1173"/>
        <v>0</v>
      </c>
      <c r="AC1011" s="174" t="e">
        <f t="shared" si="1167"/>
        <v>#DIV/0!</v>
      </c>
    </row>
    <row r="1012" spans="1:29" s="19" customFormat="1" ht="19.5" hidden="1" x14ac:dyDescent="0.2">
      <c r="A1012" s="71"/>
      <c r="B1012" s="237" t="s">
        <v>1123</v>
      </c>
      <c r="C1012" s="238" t="s">
        <v>611</v>
      </c>
      <c r="D1012" s="348">
        <v>0</v>
      </c>
      <c r="E1012" s="188">
        <f>SUM('ADICIONES  2021'!C1012:I1012)</f>
        <v>0</v>
      </c>
      <c r="F1012" s="134"/>
      <c r="G1012" s="134"/>
      <c r="H1012" s="134"/>
      <c r="I1012" s="134"/>
      <c r="J1012" s="134"/>
      <c r="K1012" s="126">
        <f t="shared" si="1164"/>
        <v>0</v>
      </c>
      <c r="L1012" s="134"/>
      <c r="M1012" s="134"/>
      <c r="N1012" s="134"/>
      <c r="O1012" s="134"/>
      <c r="P1012" s="134"/>
      <c r="Q1012" s="434"/>
      <c r="R1012" s="162">
        <f t="shared" si="1170"/>
        <v>0</v>
      </c>
      <c r="S1012" s="134"/>
      <c r="T1012" s="134"/>
      <c r="U1012" s="134"/>
      <c r="V1012" s="134"/>
      <c r="W1012" s="134"/>
      <c r="X1012" s="134"/>
      <c r="Y1012" s="134"/>
      <c r="Z1012" s="134"/>
      <c r="AA1012" s="162">
        <f t="shared" si="1172"/>
        <v>0</v>
      </c>
      <c r="AB1012" s="162">
        <f t="shared" si="1173"/>
        <v>0</v>
      </c>
      <c r="AC1012" s="180" t="e">
        <f t="shared" si="1167"/>
        <v>#DIV/0!</v>
      </c>
    </row>
    <row r="1013" spans="1:29" s="19" customFormat="1" ht="19.5" hidden="1" x14ac:dyDescent="0.2">
      <c r="A1013" s="71"/>
      <c r="B1013" s="237" t="s">
        <v>1124</v>
      </c>
      <c r="C1013" s="238" t="s">
        <v>1125</v>
      </c>
      <c r="D1013" s="348">
        <v>0</v>
      </c>
      <c r="E1013" s="188">
        <f>SUM('ADICIONES  2021'!C1013:I1013)</f>
        <v>0</v>
      </c>
      <c r="F1013" s="134"/>
      <c r="G1013" s="134"/>
      <c r="H1013" s="134"/>
      <c r="I1013" s="134"/>
      <c r="J1013" s="134"/>
      <c r="K1013" s="126">
        <f t="shared" si="1164"/>
        <v>0</v>
      </c>
      <c r="L1013" s="134"/>
      <c r="M1013" s="134"/>
      <c r="N1013" s="134"/>
      <c r="O1013" s="134"/>
      <c r="P1013" s="134"/>
      <c r="Q1013" s="434"/>
      <c r="R1013" s="162">
        <f t="shared" si="1170"/>
        <v>0</v>
      </c>
      <c r="S1013" s="134"/>
      <c r="T1013" s="134"/>
      <c r="U1013" s="134"/>
      <c r="V1013" s="134"/>
      <c r="W1013" s="134"/>
      <c r="X1013" s="134"/>
      <c r="Y1013" s="134"/>
      <c r="Z1013" s="134"/>
      <c r="AA1013" s="162">
        <f t="shared" si="1172"/>
        <v>0</v>
      </c>
      <c r="AB1013" s="162">
        <f t="shared" si="1173"/>
        <v>0</v>
      </c>
      <c r="AC1013" s="180" t="e">
        <f t="shared" si="1167"/>
        <v>#DIV/0!</v>
      </c>
    </row>
    <row r="1014" spans="1:29" s="63" customFormat="1" ht="31.5" x14ac:dyDescent="0.2">
      <c r="A1014" s="397">
        <v>1</v>
      </c>
      <c r="B1014" s="89" t="s">
        <v>850</v>
      </c>
      <c r="C1014" s="92" t="s">
        <v>851</v>
      </c>
      <c r="D1014" s="347">
        <f>+D1015+D1016</f>
        <v>500000000</v>
      </c>
      <c r="E1014" s="187">
        <f>SUM('ADICIONES  2021'!C1014:I1014)</f>
        <v>0</v>
      </c>
      <c r="F1014" s="133">
        <f t="shared" ref="F1014:J1014" si="1192">+F1015+F1016</f>
        <v>0</v>
      </c>
      <c r="G1014" s="133">
        <f t="shared" si="1192"/>
        <v>0</v>
      </c>
      <c r="H1014" s="133">
        <f t="shared" si="1192"/>
        <v>0</v>
      </c>
      <c r="I1014" s="133">
        <f t="shared" si="1192"/>
        <v>0</v>
      </c>
      <c r="J1014" s="133">
        <f t="shared" si="1192"/>
        <v>0</v>
      </c>
      <c r="K1014" s="78">
        <f t="shared" si="1164"/>
        <v>500000000</v>
      </c>
      <c r="L1014" s="133">
        <f t="shared" ref="L1014:Q1014" si="1193">+L1015+L1016</f>
        <v>25740864</v>
      </c>
      <c r="M1014" s="133">
        <f t="shared" si="1193"/>
        <v>5664002</v>
      </c>
      <c r="N1014" s="133">
        <f t="shared" si="1193"/>
        <v>1412680</v>
      </c>
      <c r="O1014" s="133">
        <f t="shared" si="1193"/>
        <v>320536292</v>
      </c>
      <c r="P1014" s="133">
        <f t="shared" si="1193"/>
        <v>435023088.92000002</v>
      </c>
      <c r="Q1014" s="433">
        <f t="shared" si="1193"/>
        <v>813385073</v>
      </c>
      <c r="R1014" s="162">
        <f>SUM(L1014:Q1014)</f>
        <v>1601761999.9200001</v>
      </c>
      <c r="S1014" s="133">
        <f t="shared" ref="S1014:Z1014" si="1194">+S1015+S1016</f>
        <v>14111723</v>
      </c>
      <c r="T1014" s="133">
        <f t="shared" si="1194"/>
        <v>0</v>
      </c>
      <c r="U1014" s="133">
        <f t="shared" si="1194"/>
        <v>0</v>
      </c>
      <c r="V1014" s="133">
        <f t="shared" si="1194"/>
        <v>0</v>
      </c>
      <c r="W1014" s="133">
        <f t="shared" si="1194"/>
        <v>0</v>
      </c>
      <c r="X1014" s="133">
        <f t="shared" si="1194"/>
        <v>0</v>
      </c>
      <c r="Y1014" s="133">
        <f t="shared" si="1194"/>
        <v>0</v>
      </c>
      <c r="Z1014" s="133">
        <f t="shared" si="1194"/>
        <v>0</v>
      </c>
      <c r="AA1014" s="162">
        <f t="shared" si="1172"/>
        <v>14111723</v>
      </c>
      <c r="AB1014" s="162">
        <f t="shared" si="1173"/>
        <v>1615873722.9200001</v>
      </c>
      <c r="AC1014" s="174">
        <f t="shared" si="1167"/>
        <v>3.23174744584</v>
      </c>
    </row>
    <row r="1015" spans="1:29" thickBot="1" x14ac:dyDescent="0.25">
      <c r="B1015" s="256" t="s">
        <v>852</v>
      </c>
      <c r="C1015" s="257" t="s">
        <v>853</v>
      </c>
      <c r="D1015" s="350">
        <v>500000000</v>
      </c>
      <c r="E1015" s="222">
        <f>SUM('ADICIONES  2021'!C1015:I1015)</f>
        <v>0</v>
      </c>
      <c r="F1015" s="258"/>
      <c r="G1015" s="258"/>
      <c r="H1015" s="258"/>
      <c r="I1015" s="258"/>
      <c r="J1015" s="258"/>
      <c r="K1015" s="129">
        <f t="shared" si="1164"/>
        <v>500000000</v>
      </c>
      <c r="L1015" s="258">
        <v>25740864</v>
      </c>
      <c r="M1015" s="258">
        <v>5664002</v>
      </c>
      <c r="N1015" s="258">
        <v>1412680</v>
      </c>
      <c r="O1015" s="258">
        <v>320536292</v>
      </c>
      <c r="P1015" s="258">
        <v>435023088.92000002</v>
      </c>
      <c r="Q1015" s="435">
        <v>813385073</v>
      </c>
      <c r="R1015" s="129">
        <f t="shared" si="1170"/>
        <v>1601761999.9200001</v>
      </c>
      <c r="S1015" s="258">
        <v>14111723</v>
      </c>
      <c r="T1015" s="258"/>
      <c r="U1015" s="258"/>
      <c r="V1015" s="258"/>
      <c r="W1015" s="258"/>
      <c r="X1015" s="258"/>
      <c r="Y1015" s="258"/>
      <c r="Z1015" s="258"/>
      <c r="AA1015" s="129">
        <f t="shared" si="1172"/>
        <v>14111723</v>
      </c>
      <c r="AB1015" s="129">
        <f t="shared" si="1173"/>
        <v>1615873722.9200001</v>
      </c>
      <c r="AC1015" s="259">
        <f t="shared" si="1167"/>
        <v>3.23174744584</v>
      </c>
    </row>
    <row r="1016" spans="1:29" hidden="1" thickBot="1" x14ac:dyDescent="0.25">
      <c r="B1016" s="438" t="s">
        <v>1126</v>
      </c>
      <c r="C1016" s="439" t="s">
        <v>1127</v>
      </c>
      <c r="D1016" s="440">
        <v>0</v>
      </c>
      <c r="E1016" s="190">
        <f>SUM('ADICIONES  2021'!C1016:I1016)</f>
        <v>0</v>
      </c>
      <c r="F1016" s="441"/>
      <c r="G1016" s="441"/>
      <c r="H1016" s="441"/>
      <c r="I1016" s="441"/>
      <c r="J1016" s="441"/>
      <c r="K1016" s="442">
        <f t="shared" si="1164"/>
        <v>0</v>
      </c>
      <c r="L1016" s="441">
        <v>0</v>
      </c>
      <c r="M1016" s="441">
        <v>0</v>
      </c>
      <c r="N1016" s="441"/>
      <c r="O1016" s="441"/>
      <c r="P1016" s="441"/>
      <c r="Q1016" s="443"/>
      <c r="R1016" s="442">
        <f t="shared" si="1170"/>
        <v>0</v>
      </c>
      <c r="S1016" s="441"/>
      <c r="T1016" s="441"/>
      <c r="U1016" s="441"/>
      <c r="V1016" s="441"/>
      <c r="W1016" s="441"/>
      <c r="X1016" s="441"/>
      <c r="Y1016" s="441"/>
      <c r="Z1016" s="441"/>
      <c r="AA1016" s="442">
        <f t="shared" si="1172"/>
        <v>0</v>
      </c>
      <c r="AB1016" s="442">
        <f t="shared" si="1173"/>
        <v>0</v>
      </c>
      <c r="AC1016" s="444" t="e">
        <f t="shared" si="1167"/>
        <v>#DIV/0!</v>
      </c>
    </row>
    <row r="1017" spans="1:29" s="142" customFormat="1" ht="20.25" thickBot="1" x14ac:dyDescent="0.25">
      <c r="A1017" s="141">
        <v>1</v>
      </c>
      <c r="B1017" s="454" t="s">
        <v>25</v>
      </c>
      <c r="C1017" s="455"/>
      <c r="D1017" s="336">
        <f t="shared" ref="D1017:AB1017" si="1195">+D995</f>
        <v>629043594392</v>
      </c>
      <c r="E1017" s="204">
        <f t="shared" si="1195"/>
        <v>0</v>
      </c>
      <c r="F1017" s="203">
        <f t="shared" si="1195"/>
        <v>0</v>
      </c>
      <c r="G1017" s="203">
        <f t="shared" si="1195"/>
        <v>0</v>
      </c>
      <c r="H1017" s="203">
        <f t="shared" si="1195"/>
        <v>0</v>
      </c>
      <c r="I1017" s="203">
        <f t="shared" si="1195"/>
        <v>193347367060</v>
      </c>
      <c r="J1017" s="203">
        <f t="shared" si="1195"/>
        <v>0</v>
      </c>
      <c r="K1017" s="203">
        <f t="shared" si="1195"/>
        <v>629043594392</v>
      </c>
      <c r="L1017" s="203">
        <f t="shared" si="1195"/>
        <v>54948368576</v>
      </c>
      <c r="M1017" s="203">
        <f t="shared" si="1195"/>
        <v>44277029266</v>
      </c>
      <c r="N1017" s="203">
        <f t="shared" si="1195"/>
        <v>43852207389</v>
      </c>
      <c r="O1017" s="203">
        <f t="shared" si="1195"/>
        <v>42768251549</v>
      </c>
      <c r="P1017" s="203">
        <f t="shared" si="1195"/>
        <v>43417649059.919998</v>
      </c>
      <c r="Q1017" s="436">
        <f t="shared" si="1195"/>
        <v>43638832675</v>
      </c>
      <c r="R1017" s="203">
        <f t="shared" si="1195"/>
        <v>272902338514.91998</v>
      </c>
      <c r="S1017" s="203">
        <f t="shared" si="1195"/>
        <v>61706391253</v>
      </c>
      <c r="T1017" s="203">
        <f t="shared" si="1195"/>
        <v>0</v>
      </c>
      <c r="U1017" s="203">
        <f t="shared" si="1195"/>
        <v>0</v>
      </c>
      <c r="V1017" s="203">
        <f t="shared" si="1195"/>
        <v>0</v>
      </c>
      <c r="W1017" s="203">
        <f t="shared" si="1195"/>
        <v>0</v>
      </c>
      <c r="X1017" s="203">
        <f t="shared" si="1195"/>
        <v>0</v>
      </c>
      <c r="Y1017" s="203">
        <f t="shared" si="1195"/>
        <v>0</v>
      </c>
      <c r="Z1017" s="203">
        <f t="shared" si="1195"/>
        <v>0</v>
      </c>
      <c r="AA1017" s="203">
        <f t="shared" si="1195"/>
        <v>61706391253</v>
      </c>
      <c r="AB1017" s="203">
        <f t="shared" si="1195"/>
        <v>334608729767.91998</v>
      </c>
      <c r="AC1017" s="205">
        <f t="shared" ref="AC1017" si="1196">AB1017/K1017</f>
        <v>0.53193249681102772</v>
      </c>
    </row>
    <row r="1018" spans="1:29" s="170" customFormat="1" ht="20.25" thickBot="1" x14ac:dyDescent="0.25">
      <c r="A1018" s="171">
        <v>1</v>
      </c>
      <c r="B1018" s="454" t="s">
        <v>48</v>
      </c>
      <c r="C1018" s="455"/>
      <c r="D1018" s="336">
        <f t="shared" ref="D1018:AB1018" si="1197">+D765+D988+D1017</f>
        <v>1466251362966.8999</v>
      </c>
      <c r="E1018" s="204">
        <f t="shared" si="1197"/>
        <v>537285602348.12988</v>
      </c>
      <c r="F1018" s="203">
        <f t="shared" si="1197"/>
        <v>2634273900</v>
      </c>
      <c r="G1018" s="203">
        <f t="shared" si="1197"/>
        <v>2850000000</v>
      </c>
      <c r="H1018" s="203">
        <f t="shared" si="1197"/>
        <v>2850000000</v>
      </c>
      <c r="I1018" s="203">
        <f t="shared" si="1197"/>
        <v>193347367060</v>
      </c>
      <c r="J1018" s="203">
        <f t="shared" si="1197"/>
        <v>0</v>
      </c>
      <c r="K1018" s="203">
        <f t="shared" si="1197"/>
        <v>2000902691415.0298</v>
      </c>
      <c r="L1018" s="203">
        <f t="shared" si="1197"/>
        <v>132147037229.61</v>
      </c>
      <c r="M1018" s="203">
        <f t="shared" si="1197"/>
        <v>111894893942.41</v>
      </c>
      <c r="N1018" s="203">
        <f t="shared" si="1197"/>
        <v>129577056909.12999</v>
      </c>
      <c r="O1018" s="203">
        <f t="shared" si="1197"/>
        <v>107801406488.88</v>
      </c>
      <c r="P1018" s="203">
        <f t="shared" si="1197"/>
        <v>303117694443.79999</v>
      </c>
      <c r="Q1018" s="436">
        <f t="shared" si="1197"/>
        <v>121865854546.29999</v>
      </c>
      <c r="R1018" s="203">
        <f t="shared" si="1197"/>
        <v>906403943560.12988</v>
      </c>
      <c r="S1018" s="203">
        <f t="shared" si="1197"/>
        <v>205740158385.61002</v>
      </c>
      <c r="T1018" s="203">
        <f t="shared" si="1197"/>
        <v>0</v>
      </c>
      <c r="U1018" s="203">
        <f t="shared" si="1197"/>
        <v>0</v>
      </c>
      <c r="V1018" s="203">
        <f t="shared" si="1197"/>
        <v>0</v>
      </c>
      <c r="W1018" s="203">
        <f t="shared" si="1197"/>
        <v>0</v>
      </c>
      <c r="X1018" s="203">
        <f t="shared" si="1197"/>
        <v>0</v>
      </c>
      <c r="Y1018" s="203">
        <f t="shared" si="1197"/>
        <v>-526413195</v>
      </c>
      <c r="Z1018" s="203">
        <f t="shared" si="1197"/>
        <v>0</v>
      </c>
      <c r="AA1018" s="203">
        <f t="shared" si="1197"/>
        <v>205213745190.61002</v>
      </c>
      <c r="AB1018" s="203">
        <f t="shared" si="1197"/>
        <v>1111617688750.74</v>
      </c>
      <c r="AC1018" s="178">
        <f>AB1018/K1018</f>
        <v>0.55555809561363967</v>
      </c>
    </row>
    <row r="1019" spans="1:29" x14ac:dyDescent="0.2">
      <c r="A1019" s="100">
        <v>1</v>
      </c>
      <c r="B1019" s="465" t="s">
        <v>1881</v>
      </c>
      <c r="C1019" s="465"/>
      <c r="D1019" s="465"/>
      <c r="E1019" s="465"/>
      <c r="F1019" s="465"/>
      <c r="G1019" s="465"/>
      <c r="H1019" s="465"/>
      <c r="I1019" s="465"/>
      <c r="J1019" s="465"/>
      <c r="K1019" s="465"/>
      <c r="L1019" s="465"/>
      <c r="M1019" s="465"/>
      <c r="N1019" s="465"/>
      <c r="O1019" s="465"/>
      <c r="P1019" s="465"/>
      <c r="Q1019" s="465"/>
      <c r="R1019" s="465"/>
      <c r="S1019" s="465"/>
      <c r="T1019" s="465"/>
      <c r="U1019" s="465"/>
      <c r="V1019" s="465"/>
      <c r="W1019" s="465"/>
      <c r="X1019" s="465"/>
      <c r="Y1019" s="465"/>
      <c r="Z1019" s="465"/>
      <c r="AA1019" s="465"/>
      <c r="AB1019" s="465"/>
      <c r="AC1019" s="465"/>
    </row>
    <row r="1020" spans="1:29" x14ac:dyDescent="0.2">
      <c r="A1020" s="100">
        <v>1</v>
      </c>
      <c r="B1020" s="240"/>
      <c r="C1020" s="116"/>
      <c r="D1020" s="352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109"/>
      <c r="R1020" s="116"/>
      <c r="S1020" s="116"/>
      <c r="T1020" s="116"/>
      <c r="U1020" s="116"/>
      <c r="V1020" s="116"/>
      <c r="W1020" s="116"/>
      <c r="X1020" s="116"/>
      <c r="Y1020" s="116"/>
      <c r="Z1020" s="116"/>
      <c r="AA1020" s="116"/>
      <c r="AB1020" s="116"/>
      <c r="AC1020" s="116"/>
    </row>
    <row r="1021" spans="1:29" x14ac:dyDescent="0.2">
      <c r="A1021" s="100">
        <v>1</v>
      </c>
      <c r="B1021" s="233"/>
      <c r="C1021" s="234"/>
      <c r="D1021" s="353"/>
      <c r="E1021" s="353"/>
      <c r="F1021" s="353"/>
      <c r="G1021" s="353"/>
      <c r="H1021" s="353"/>
      <c r="I1021" s="353"/>
      <c r="J1021" s="353"/>
      <c r="K1021" s="353"/>
      <c r="L1021" s="144"/>
      <c r="M1021" s="144"/>
      <c r="N1021" s="144"/>
      <c r="O1021" s="144"/>
      <c r="P1021" s="144"/>
      <c r="Q1021" s="437"/>
      <c r="R1021" s="144"/>
      <c r="S1021" s="144"/>
      <c r="T1021" s="144"/>
      <c r="U1021" s="144"/>
      <c r="V1021" s="144"/>
      <c r="W1021" s="144"/>
      <c r="X1021" s="144"/>
      <c r="Y1021" s="144"/>
      <c r="Z1021" s="144"/>
      <c r="AA1021" s="144"/>
      <c r="AB1021" s="144"/>
      <c r="AC1021" s="179"/>
    </row>
    <row r="1022" spans="1:29" x14ac:dyDescent="0.2">
      <c r="A1022" s="100">
        <v>1</v>
      </c>
      <c r="B1022" s="233"/>
      <c r="C1022" s="234"/>
      <c r="D1022" s="354"/>
      <c r="E1022" s="354"/>
      <c r="F1022" s="354"/>
      <c r="G1022" s="354"/>
      <c r="H1022" s="354"/>
      <c r="I1022" s="354"/>
      <c r="J1022" s="354"/>
      <c r="K1022" s="354"/>
      <c r="L1022" s="144"/>
      <c r="M1022" s="144"/>
      <c r="N1022" s="144"/>
      <c r="O1022" s="144"/>
      <c r="P1022" s="144"/>
      <c r="Q1022" s="437"/>
      <c r="R1022" s="144"/>
      <c r="S1022" s="144"/>
      <c r="T1022" s="144"/>
      <c r="U1022" s="144"/>
      <c r="V1022" s="144"/>
      <c r="W1022" s="144"/>
      <c r="X1022" s="144"/>
      <c r="Y1022" s="144"/>
      <c r="Z1022" s="144"/>
      <c r="AA1022" s="144"/>
      <c r="AB1022" s="144"/>
      <c r="AC1022" s="179"/>
    </row>
    <row r="1023" spans="1:29" x14ac:dyDescent="0.2">
      <c r="A1023" s="100">
        <v>1</v>
      </c>
      <c r="C1023" s="40"/>
      <c r="E1023" s="148"/>
      <c r="F1023" s="148"/>
      <c r="G1023" s="148"/>
      <c r="H1023" s="148"/>
      <c r="I1023" s="148"/>
      <c r="J1023" s="148"/>
      <c r="K1023" s="148"/>
    </row>
    <row r="1024" spans="1:29" ht="15.75" x14ac:dyDescent="0.2">
      <c r="A1024" s="100">
        <v>1</v>
      </c>
      <c r="B1024" s="466" t="s">
        <v>53</v>
      </c>
      <c r="C1024" s="466"/>
      <c r="D1024" s="466"/>
      <c r="E1024" s="466"/>
      <c r="F1024" s="466"/>
      <c r="G1024" s="466"/>
      <c r="H1024" s="466"/>
      <c r="I1024" s="466"/>
      <c r="J1024" s="466"/>
      <c r="K1024" s="466"/>
      <c r="L1024" s="466"/>
      <c r="M1024" s="466"/>
      <c r="N1024" s="466"/>
      <c r="O1024" s="466"/>
      <c r="P1024" s="466"/>
      <c r="Q1024" s="466"/>
      <c r="R1024" s="466"/>
      <c r="S1024" s="466"/>
      <c r="T1024" s="466"/>
      <c r="U1024" s="466"/>
      <c r="V1024" s="466"/>
      <c r="W1024" s="466"/>
      <c r="X1024" s="466"/>
      <c r="Y1024" s="466"/>
      <c r="Z1024" s="466"/>
      <c r="AA1024" s="466"/>
      <c r="AB1024" s="466"/>
      <c r="AC1024" s="466"/>
    </row>
    <row r="1025" spans="1:29" x14ac:dyDescent="0.2">
      <c r="A1025" s="100">
        <v>1</v>
      </c>
      <c r="B1025" s="456" t="s">
        <v>83</v>
      </c>
      <c r="C1025" s="456"/>
      <c r="D1025" s="456"/>
      <c r="E1025" s="456"/>
      <c r="F1025" s="456"/>
      <c r="G1025" s="456"/>
      <c r="H1025" s="456"/>
      <c r="I1025" s="456"/>
      <c r="J1025" s="456"/>
      <c r="K1025" s="456"/>
      <c r="L1025" s="456"/>
      <c r="M1025" s="456"/>
      <c r="N1025" s="456"/>
      <c r="O1025" s="456"/>
      <c r="P1025" s="456"/>
      <c r="Q1025" s="456"/>
      <c r="R1025" s="456"/>
      <c r="S1025" s="456"/>
      <c r="T1025" s="456"/>
      <c r="U1025" s="456"/>
      <c r="V1025" s="456"/>
      <c r="W1025" s="456"/>
      <c r="X1025" s="456"/>
      <c r="Y1025" s="456"/>
      <c r="Z1025" s="456"/>
      <c r="AA1025" s="456"/>
      <c r="AB1025" s="456"/>
      <c r="AC1025" s="456"/>
    </row>
    <row r="1026" spans="1:29" x14ac:dyDescent="0.2">
      <c r="E1026" s="191"/>
      <c r="F1026" s="148"/>
      <c r="G1026" s="148"/>
      <c r="H1026" s="148"/>
    </row>
    <row r="1027" spans="1:29" x14ac:dyDescent="0.2">
      <c r="E1027" s="191"/>
      <c r="F1027" s="148"/>
      <c r="G1027" s="148"/>
      <c r="H1027" s="148"/>
    </row>
    <row r="1028" spans="1:29" x14ac:dyDescent="0.2">
      <c r="E1028" s="191"/>
      <c r="F1028" s="148"/>
      <c r="G1028" s="148"/>
      <c r="H1028" s="148"/>
      <c r="I1028" s="148"/>
      <c r="J1028" s="148"/>
      <c r="K1028" s="148"/>
      <c r="L1028" s="148"/>
      <c r="M1028" s="148"/>
      <c r="N1028" s="148"/>
      <c r="O1028" s="148"/>
      <c r="P1028" s="148"/>
      <c r="R1028" s="148"/>
    </row>
    <row r="1029" spans="1:29" x14ac:dyDescent="0.2">
      <c r="E1029" s="191"/>
      <c r="F1029" s="148"/>
      <c r="G1029" s="148"/>
      <c r="H1029" s="148"/>
    </row>
    <row r="1030" spans="1:29" x14ac:dyDescent="0.2">
      <c r="E1030" s="148"/>
      <c r="F1030" s="148"/>
      <c r="G1030" s="148"/>
      <c r="H1030" s="148"/>
      <c r="I1030" s="148"/>
      <c r="J1030" s="148"/>
      <c r="K1030" s="148"/>
    </row>
    <row r="1035" spans="1:29" s="124" customFormat="1" x14ac:dyDescent="0.2">
      <c r="A1035" s="396"/>
      <c r="B1035" s="22"/>
      <c r="C1035" s="1"/>
      <c r="D1035" s="326"/>
      <c r="E1035" s="186"/>
      <c r="F1035" s="125"/>
      <c r="G1035" s="136"/>
      <c r="H1035" s="136"/>
      <c r="I1035" s="125"/>
      <c r="J1035" s="125"/>
      <c r="K1035" s="125"/>
      <c r="L1035" s="125"/>
      <c r="M1035" s="125"/>
      <c r="N1035" s="125"/>
      <c r="O1035" s="125"/>
      <c r="P1035" s="125"/>
      <c r="Q1035" s="404"/>
      <c r="R1035" s="125"/>
      <c r="S1035" s="125"/>
      <c r="T1035" s="125"/>
      <c r="U1035" s="125"/>
      <c r="V1035" s="125"/>
      <c r="W1035" s="125"/>
      <c r="X1035" s="125"/>
      <c r="Y1035" s="125"/>
      <c r="Z1035" s="125"/>
      <c r="AA1035" s="125"/>
      <c r="AB1035" s="125"/>
      <c r="AC1035" s="172"/>
    </row>
  </sheetData>
  <sheetProtection algorithmName="SHA-512" hashValue="U2bijSvqQv5Ea40JMbfdlVPNzcf2y+4UdRI1EPIB+uciJct8o4uhPK0y/kZDMWnHInps/0u8wBOrT/KQXWKNBQ==" saltValue="TjLGKwOri506t5AGa7RqPQ==" spinCount="100000" sheet="1" objects="1" scenarios="1"/>
  <autoFilter ref="A9:AC1025"/>
  <mergeCells count="40"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T9:T10"/>
    <mergeCell ref="U9:U10"/>
    <mergeCell ref="V9:V10"/>
    <mergeCell ref="K9:K10"/>
    <mergeCell ref="L9:L10"/>
    <mergeCell ref="M9:M10"/>
    <mergeCell ref="B1025:AC1025"/>
    <mergeCell ref="AC9:AC10"/>
    <mergeCell ref="B765:C765"/>
    <mergeCell ref="C767:D767"/>
    <mergeCell ref="B988:C988"/>
    <mergeCell ref="B990:C990"/>
    <mergeCell ref="B992:C992"/>
    <mergeCell ref="W9:W10"/>
    <mergeCell ref="X9:X10"/>
    <mergeCell ref="Y9:Y10"/>
    <mergeCell ref="Z9:Z10"/>
    <mergeCell ref="AA9:AA10"/>
    <mergeCell ref="AB9:AB10"/>
    <mergeCell ref="B1018:C1018"/>
    <mergeCell ref="B1019:AC1019"/>
    <mergeCell ref="B1024:AC1024"/>
    <mergeCell ref="Q9:Q10"/>
    <mergeCell ref="R9:R10"/>
    <mergeCell ref="S9:S10"/>
    <mergeCell ref="B994:C994"/>
    <mergeCell ref="B1017:C1017"/>
    <mergeCell ref="N9:N10"/>
    <mergeCell ref="O9:O10"/>
    <mergeCell ref="P9:P10"/>
  </mergeCells>
  <printOptions gridLines="1"/>
  <pageMargins left="1.2598425196850394" right="0" top="0.59055118110236227" bottom="0.98425196850393704" header="0.51181102362204722" footer="0.78740157480314965"/>
  <pageSetup paperSize="5" scale="51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JULIO  2021 - ELABORO: JOSE LUNA DURAN.
                                       FUENTE: DIRECCION TECNICA DE CONTABILIDAD &amp;C&amp;P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BV1018"/>
  <sheetViews>
    <sheetView topLeftCell="A10" zoomScale="85" zoomScaleNormal="85" workbookViewId="0">
      <pane xSplit="2" ySplit="1" topLeftCell="C11" activePane="bottomRight" state="frozen"/>
      <selection activeCell="A10" sqref="A10"/>
      <selection pane="topRight" activeCell="C10" sqref="C10"/>
      <selection pane="bottomLeft" activeCell="A11" sqref="A11"/>
      <selection pane="bottomRight" activeCell="O195" sqref="O195:O200"/>
    </sheetView>
  </sheetViews>
  <sheetFormatPr baseColWidth="10" defaultColWidth="11.42578125" defaultRowHeight="12.75" x14ac:dyDescent="0.2"/>
  <cols>
    <col min="1" max="1" width="27.42578125" style="106" customWidth="1"/>
    <col min="2" max="2" width="37" style="104" bestFit="1" customWidth="1"/>
    <col min="3" max="3" width="23.28515625" style="42" bestFit="1" customWidth="1"/>
    <col min="4" max="4" width="23.5703125" style="42" customWidth="1"/>
    <col min="5" max="5" width="24.85546875" style="42" bestFit="1" customWidth="1"/>
    <col min="6" max="7" width="26.42578125" style="42" bestFit="1" customWidth="1"/>
    <col min="8" max="8" width="23.28515625" style="42" bestFit="1" customWidth="1"/>
    <col min="9" max="9" width="22.28515625" style="42" bestFit="1" customWidth="1"/>
    <col min="10" max="11" width="21.7109375" style="42" bestFit="1" customWidth="1"/>
    <col min="12" max="12" width="19.140625" style="42" bestFit="1" customWidth="1"/>
    <col min="13" max="13" width="21.28515625" style="42" customWidth="1"/>
    <col min="14" max="14" width="21.7109375" style="42" bestFit="1" customWidth="1"/>
    <col min="15" max="15" width="24.140625" style="42" bestFit="1" customWidth="1"/>
    <col min="16" max="16" width="19.42578125" style="105" bestFit="1" customWidth="1"/>
    <col min="17" max="17" width="15.42578125" style="105" bestFit="1" customWidth="1"/>
    <col min="18" max="18" width="30.7109375" style="105" customWidth="1"/>
    <col min="19" max="19" width="16.7109375" style="105" bestFit="1" customWidth="1"/>
    <col min="20" max="74" width="3.28515625" style="105" customWidth="1"/>
    <col min="75" max="16384" width="11.42578125" style="104"/>
  </cols>
  <sheetData>
    <row r="1" spans="1:74" x14ac:dyDescent="0.2">
      <c r="A1" s="103"/>
    </row>
    <row r="4" spans="1:74" x14ac:dyDescent="0.2">
      <c r="B4" s="107"/>
    </row>
    <row r="5" spans="1:74" x14ac:dyDescent="0.2">
      <c r="B5" s="107"/>
    </row>
    <row r="6" spans="1:74" x14ac:dyDescent="0.2">
      <c r="B6" s="107"/>
    </row>
    <row r="9" spans="1:74" ht="13.5" thickBot="1" x14ac:dyDescent="0.25"/>
    <row r="10" spans="1:74" s="216" customFormat="1" ht="15.75" thickBot="1" x14ac:dyDescent="0.25">
      <c r="A10" s="367" t="s">
        <v>40</v>
      </c>
      <c r="B10" s="367" t="s">
        <v>0</v>
      </c>
      <c r="C10" s="368" t="s">
        <v>4</v>
      </c>
      <c r="D10" s="368" t="s">
        <v>5</v>
      </c>
      <c r="E10" s="368" t="s">
        <v>6</v>
      </c>
      <c r="F10" s="368" t="s">
        <v>7</v>
      </c>
      <c r="G10" s="368" t="s">
        <v>8</v>
      </c>
      <c r="H10" s="368" t="s">
        <v>9</v>
      </c>
      <c r="I10" s="368" t="s">
        <v>11</v>
      </c>
      <c r="J10" s="368" t="s">
        <v>12</v>
      </c>
      <c r="K10" s="368" t="s">
        <v>13</v>
      </c>
      <c r="L10" s="368" t="s">
        <v>14</v>
      </c>
      <c r="M10" s="368" t="s">
        <v>15</v>
      </c>
      <c r="N10" s="368" t="s">
        <v>16</v>
      </c>
      <c r="O10" s="369" t="s">
        <v>17</v>
      </c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</row>
    <row r="11" spans="1:74" s="107" customFormat="1" ht="19.5" x14ac:dyDescent="0.2">
      <c r="A11" s="163" t="s">
        <v>382</v>
      </c>
      <c r="B11" s="164" t="s">
        <v>114</v>
      </c>
      <c r="C11" s="370">
        <f>+C12+C245</f>
        <v>5734052268</v>
      </c>
      <c r="D11" s="370">
        <f t="shared" ref="D11:N11" si="0">+D12+D245</f>
        <v>0</v>
      </c>
      <c r="E11" s="370">
        <f t="shared" si="0"/>
        <v>19694419247.690002</v>
      </c>
      <c r="F11" s="370">
        <f t="shared" si="0"/>
        <v>97517512149.100006</v>
      </c>
      <c r="G11" s="370">
        <f t="shared" si="0"/>
        <v>199258599192.16998</v>
      </c>
      <c r="H11" s="370">
        <f t="shared" si="0"/>
        <v>1837938193.73</v>
      </c>
      <c r="I11" s="370">
        <f t="shared" si="0"/>
        <v>353771970.91000003</v>
      </c>
      <c r="J11" s="370">
        <f t="shared" si="0"/>
        <v>0</v>
      </c>
      <c r="K11" s="370">
        <f t="shared" si="0"/>
        <v>0</v>
      </c>
      <c r="L11" s="370">
        <f t="shared" si="0"/>
        <v>0</v>
      </c>
      <c r="M11" s="370">
        <f t="shared" si="0"/>
        <v>0</v>
      </c>
      <c r="N11" s="370">
        <f t="shared" si="0"/>
        <v>0</v>
      </c>
      <c r="O11" s="159">
        <f>SUM(C11:N11)</f>
        <v>324396293021.59991</v>
      </c>
      <c r="P11" s="108">
        <v>273229606153.95999</v>
      </c>
      <c r="Q11" s="108">
        <f>+P11-O11</f>
        <v>-51166686867.639923</v>
      </c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</row>
    <row r="12" spans="1:74" s="107" customFormat="1" ht="19.5" x14ac:dyDescent="0.2">
      <c r="A12" s="161" t="s">
        <v>383</v>
      </c>
      <c r="B12" s="160" t="s">
        <v>84</v>
      </c>
      <c r="C12" s="217">
        <f t="shared" ref="C12:N12" si="1">+C13+C142</f>
        <v>0</v>
      </c>
      <c r="D12" s="217">
        <f t="shared" si="1"/>
        <v>0</v>
      </c>
      <c r="E12" s="217">
        <f t="shared" si="1"/>
        <v>0</v>
      </c>
      <c r="F12" s="217">
        <f t="shared" si="1"/>
        <v>0</v>
      </c>
      <c r="G12" s="217">
        <f t="shared" si="1"/>
        <v>0</v>
      </c>
      <c r="H12" s="217">
        <f t="shared" si="1"/>
        <v>0</v>
      </c>
      <c r="I12" s="217">
        <f t="shared" si="1"/>
        <v>0</v>
      </c>
      <c r="J12" s="217">
        <f t="shared" si="1"/>
        <v>0</v>
      </c>
      <c r="K12" s="217">
        <f t="shared" si="1"/>
        <v>0</v>
      </c>
      <c r="L12" s="217">
        <f t="shared" si="1"/>
        <v>0</v>
      </c>
      <c r="M12" s="217">
        <f t="shared" si="1"/>
        <v>0</v>
      </c>
      <c r="N12" s="217">
        <f t="shared" si="1"/>
        <v>0</v>
      </c>
      <c r="O12" s="140">
        <f t="shared" ref="O12:O75" si="2">SUM(C12:N12)</f>
        <v>0</v>
      </c>
      <c r="P12" s="108">
        <v>0</v>
      </c>
      <c r="Q12" s="108">
        <f t="shared" ref="Q12:Q75" si="3">+P12-O12</f>
        <v>0</v>
      </c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</row>
    <row r="13" spans="1:74" s="87" customFormat="1" ht="19.5" x14ac:dyDescent="0.2">
      <c r="A13" s="161" t="s">
        <v>384</v>
      </c>
      <c r="B13" s="160" t="s">
        <v>124</v>
      </c>
      <c r="C13" s="217">
        <f t="shared" ref="C13:N13" si="4">+C14+C30</f>
        <v>0</v>
      </c>
      <c r="D13" s="217">
        <f t="shared" si="4"/>
        <v>0</v>
      </c>
      <c r="E13" s="217">
        <f t="shared" si="4"/>
        <v>0</v>
      </c>
      <c r="F13" s="217">
        <f t="shared" si="4"/>
        <v>0</v>
      </c>
      <c r="G13" s="217">
        <f t="shared" si="4"/>
        <v>0</v>
      </c>
      <c r="H13" s="217">
        <f t="shared" si="4"/>
        <v>0</v>
      </c>
      <c r="I13" s="217">
        <f t="shared" si="4"/>
        <v>0</v>
      </c>
      <c r="J13" s="217">
        <f t="shared" si="4"/>
        <v>0</v>
      </c>
      <c r="K13" s="217">
        <f t="shared" si="4"/>
        <v>0</v>
      </c>
      <c r="L13" s="217">
        <f t="shared" si="4"/>
        <v>0</v>
      </c>
      <c r="M13" s="217">
        <f t="shared" si="4"/>
        <v>0</v>
      </c>
      <c r="N13" s="217">
        <f t="shared" si="4"/>
        <v>0</v>
      </c>
      <c r="O13" s="140">
        <f t="shared" si="2"/>
        <v>0</v>
      </c>
      <c r="P13" s="86">
        <v>0</v>
      </c>
      <c r="Q13" s="108">
        <f t="shared" si="3"/>
        <v>0</v>
      </c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</row>
    <row r="14" spans="1:74" s="87" customFormat="1" ht="19.5" x14ac:dyDescent="0.2">
      <c r="A14" s="81" t="s">
        <v>385</v>
      </c>
      <c r="B14" s="79" t="s">
        <v>386</v>
      </c>
      <c r="C14" s="217">
        <f t="shared" ref="C14:N14" si="5">+C15</f>
        <v>0</v>
      </c>
      <c r="D14" s="217">
        <f t="shared" si="5"/>
        <v>0</v>
      </c>
      <c r="E14" s="217">
        <f t="shared" si="5"/>
        <v>0</v>
      </c>
      <c r="F14" s="217">
        <f t="shared" si="5"/>
        <v>0</v>
      </c>
      <c r="G14" s="217">
        <f t="shared" si="5"/>
        <v>0</v>
      </c>
      <c r="H14" s="217">
        <f t="shared" si="5"/>
        <v>0</v>
      </c>
      <c r="I14" s="217">
        <f t="shared" si="5"/>
        <v>0</v>
      </c>
      <c r="J14" s="217">
        <f t="shared" si="5"/>
        <v>0</v>
      </c>
      <c r="K14" s="217">
        <f t="shared" si="5"/>
        <v>0</v>
      </c>
      <c r="L14" s="217">
        <f t="shared" si="5"/>
        <v>0</v>
      </c>
      <c r="M14" s="217">
        <f t="shared" si="5"/>
        <v>0</v>
      </c>
      <c r="N14" s="217">
        <f t="shared" si="5"/>
        <v>0</v>
      </c>
      <c r="O14" s="140">
        <f t="shared" si="2"/>
        <v>0</v>
      </c>
      <c r="P14" s="86">
        <v>0</v>
      </c>
      <c r="Q14" s="108">
        <f t="shared" si="3"/>
        <v>0</v>
      </c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</row>
    <row r="15" spans="1:74" s="87" customFormat="1" ht="31.5" x14ac:dyDescent="0.2">
      <c r="A15" s="81" t="s">
        <v>387</v>
      </c>
      <c r="B15" s="79" t="s">
        <v>168</v>
      </c>
      <c r="C15" s="217">
        <f t="shared" ref="C15:N15" si="6">+C16+C23</f>
        <v>0</v>
      </c>
      <c r="D15" s="217">
        <f t="shared" si="6"/>
        <v>0</v>
      </c>
      <c r="E15" s="217">
        <f t="shared" si="6"/>
        <v>0</v>
      </c>
      <c r="F15" s="217">
        <f t="shared" si="6"/>
        <v>0</v>
      </c>
      <c r="G15" s="217">
        <f t="shared" si="6"/>
        <v>0</v>
      </c>
      <c r="H15" s="217">
        <f t="shared" si="6"/>
        <v>0</v>
      </c>
      <c r="I15" s="217">
        <f t="shared" si="6"/>
        <v>0</v>
      </c>
      <c r="J15" s="217">
        <f t="shared" si="6"/>
        <v>0</v>
      </c>
      <c r="K15" s="217">
        <f t="shared" si="6"/>
        <v>0</v>
      </c>
      <c r="L15" s="217">
        <f t="shared" si="6"/>
        <v>0</v>
      </c>
      <c r="M15" s="217">
        <f t="shared" si="6"/>
        <v>0</v>
      </c>
      <c r="N15" s="217">
        <f t="shared" si="6"/>
        <v>0</v>
      </c>
      <c r="O15" s="140">
        <f t="shared" si="2"/>
        <v>0</v>
      </c>
      <c r="P15" s="86">
        <v>0</v>
      </c>
      <c r="Q15" s="108">
        <f t="shared" si="3"/>
        <v>0</v>
      </c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</row>
    <row r="16" spans="1:74" s="110" customFormat="1" ht="31.5" x14ac:dyDescent="0.2">
      <c r="A16" s="81" t="s">
        <v>388</v>
      </c>
      <c r="B16" s="79" t="s">
        <v>169</v>
      </c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40">
        <f t="shared" si="2"/>
        <v>0</v>
      </c>
      <c r="P16" s="109">
        <v>0</v>
      </c>
      <c r="Q16" s="108">
        <f t="shared" si="3"/>
        <v>0</v>
      </c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</row>
    <row r="17" spans="1:74" s="87" customFormat="1" ht="42.75" x14ac:dyDescent="0.2">
      <c r="A17" s="76" t="s">
        <v>389</v>
      </c>
      <c r="B17" s="77" t="s">
        <v>170</v>
      </c>
      <c r="C17" s="41">
        <f t="shared" ref="C17:N17" si="7">+C16*69.7845456%</f>
        <v>0</v>
      </c>
      <c r="D17" s="41">
        <f t="shared" si="7"/>
        <v>0</v>
      </c>
      <c r="E17" s="41">
        <f t="shared" si="7"/>
        <v>0</v>
      </c>
      <c r="F17" s="41">
        <f t="shared" si="7"/>
        <v>0</v>
      </c>
      <c r="G17" s="41">
        <f t="shared" si="7"/>
        <v>0</v>
      </c>
      <c r="H17" s="41">
        <f t="shared" si="7"/>
        <v>0</v>
      </c>
      <c r="I17" s="41">
        <f t="shared" si="7"/>
        <v>0</v>
      </c>
      <c r="J17" s="41">
        <f t="shared" si="7"/>
        <v>0</v>
      </c>
      <c r="K17" s="41">
        <f t="shared" si="7"/>
        <v>0</v>
      </c>
      <c r="L17" s="41">
        <f t="shared" si="7"/>
        <v>0</v>
      </c>
      <c r="M17" s="41">
        <f t="shared" si="7"/>
        <v>0</v>
      </c>
      <c r="N17" s="41">
        <f t="shared" si="7"/>
        <v>0</v>
      </c>
      <c r="O17" s="140">
        <f t="shared" si="2"/>
        <v>0</v>
      </c>
      <c r="P17" s="86">
        <v>0</v>
      </c>
      <c r="Q17" s="108">
        <f t="shared" si="3"/>
        <v>0</v>
      </c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s="87" customFormat="1" ht="28.5" x14ac:dyDescent="0.2">
      <c r="A18" s="76" t="s">
        <v>390</v>
      </c>
      <c r="B18" s="77" t="s">
        <v>171</v>
      </c>
      <c r="C18" s="41">
        <f t="shared" ref="C18:N18" si="8">+C16*0.08%</f>
        <v>0</v>
      </c>
      <c r="D18" s="41">
        <f t="shared" si="8"/>
        <v>0</v>
      </c>
      <c r="E18" s="41">
        <f t="shared" si="8"/>
        <v>0</v>
      </c>
      <c r="F18" s="41">
        <f t="shared" si="8"/>
        <v>0</v>
      </c>
      <c r="G18" s="41">
        <f t="shared" si="8"/>
        <v>0</v>
      </c>
      <c r="H18" s="41">
        <f t="shared" si="8"/>
        <v>0</v>
      </c>
      <c r="I18" s="41">
        <f t="shared" si="8"/>
        <v>0</v>
      </c>
      <c r="J18" s="41">
        <f t="shared" si="8"/>
        <v>0</v>
      </c>
      <c r="K18" s="41">
        <f t="shared" si="8"/>
        <v>0</v>
      </c>
      <c r="L18" s="41">
        <f t="shared" si="8"/>
        <v>0</v>
      </c>
      <c r="M18" s="41">
        <f t="shared" si="8"/>
        <v>0</v>
      </c>
      <c r="N18" s="41">
        <f t="shared" si="8"/>
        <v>0</v>
      </c>
      <c r="O18" s="140">
        <f t="shared" si="2"/>
        <v>0</v>
      </c>
      <c r="P18" s="86">
        <v>0</v>
      </c>
      <c r="Q18" s="108">
        <f t="shared" si="3"/>
        <v>0</v>
      </c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</row>
    <row r="19" spans="1:74" s="110" customFormat="1" ht="28.5" x14ac:dyDescent="0.2">
      <c r="A19" s="76" t="s">
        <v>391</v>
      </c>
      <c r="B19" s="77" t="s">
        <v>172</v>
      </c>
      <c r="C19" s="41">
        <f t="shared" ref="C19:N19" si="9">+C16*7.992%</f>
        <v>0</v>
      </c>
      <c r="D19" s="41">
        <f t="shared" si="9"/>
        <v>0</v>
      </c>
      <c r="E19" s="41">
        <f t="shared" si="9"/>
        <v>0</v>
      </c>
      <c r="F19" s="41">
        <f t="shared" si="9"/>
        <v>0</v>
      </c>
      <c r="G19" s="41">
        <f t="shared" si="9"/>
        <v>0</v>
      </c>
      <c r="H19" s="41">
        <f t="shared" si="9"/>
        <v>0</v>
      </c>
      <c r="I19" s="41">
        <f t="shared" si="9"/>
        <v>0</v>
      </c>
      <c r="J19" s="41">
        <f t="shared" si="9"/>
        <v>0</v>
      </c>
      <c r="K19" s="41">
        <f t="shared" si="9"/>
        <v>0</v>
      </c>
      <c r="L19" s="41">
        <f t="shared" si="9"/>
        <v>0</v>
      </c>
      <c r="M19" s="41">
        <f t="shared" si="9"/>
        <v>0</v>
      </c>
      <c r="N19" s="41">
        <f t="shared" si="9"/>
        <v>0</v>
      </c>
      <c r="O19" s="140">
        <f t="shared" si="2"/>
        <v>0</v>
      </c>
      <c r="P19" s="109">
        <v>0</v>
      </c>
      <c r="Q19" s="108">
        <f t="shared" si="3"/>
        <v>0</v>
      </c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</row>
    <row r="20" spans="1:74" s="110" customFormat="1" ht="28.5" x14ac:dyDescent="0.2">
      <c r="A20" s="76" t="s">
        <v>392</v>
      </c>
      <c r="B20" s="77" t="s">
        <v>173</v>
      </c>
      <c r="C20" s="41">
        <f t="shared" ref="C20:N20" si="10">+C16*1.43856%</f>
        <v>0</v>
      </c>
      <c r="D20" s="41">
        <f t="shared" si="10"/>
        <v>0</v>
      </c>
      <c r="E20" s="41">
        <f t="shared" si="10"/>
        <v>0</v>
      </c>
      <c r="F20" s="41">
        <f t="shared" si="10"/>
        <v>0</v>
      </c>
      <c r="G20" s="41">
        <f t="shared" si="10"/>
        <v>0</v>
      </c>
      <c r="H20" s="41">
        <f t="shared" si="10"/>
        <v>0</v>
      </c>
      <c r="I20" s="41">
        <f t="shared" si="10"/>
        <v>0</v>
      </c>
      <c r="J20" s="41">
        <f t="shared" si="10"/>
        <v>0</v>
      </c>
      <c r="K20" s="41">
        <f t="shared" si="10"/>
        <v>0</v>
      </c>
      <c r="L20" s="41">
        <f t="shared" si="10"/>
        <v>0</v>
      </c>
      <c r="M20" s="41">
        <f t="shared" si="10"/>
        <v>0</v>
      </c>
      <c r="N20" s="41">
        <f t="shared" si="10"/>
        <v>0</v>
      </c>
      <c r="O20" s="140">
        <f t="shared" si="2"/>
        <v>0</v>
      </c>
      <c r="P20" s="109">
        <v>0</v>
      </c>
      <c r="Q20" s="108">
        <f t="shared" si="3"/>
        <v>0</v>
      </c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</row>
    <row r="21" spans="1:74" s="110" customFormat="1" ht="42.75" x14ac:dyDescent="0.2">
      <c r="A21" s="76" t="s">
        <v>393</v>
      </c>
      <c r="B21" s="155" t="s">
        <v>174</v>
      </c>
      <c r="C21" s="41">
        <f t="shared" ref="C21:N21" si="11">+C16*0.7048944%</f>
        <v>0</v>
      </c>
      <c r="D21" s="41">
        <f t="shared" si="11"/>
        <v>0</v>
      </c>
      <c r="E21" s="41">
        <f t="shared" si="11"/>
        <v>0</v>
      </c>
      <c r="F21" s="41">
        <f t="shared" si="11"/>
        <v>0</v>
      </c>
      <c r="G21" s="41">
        <f t="shared" si="11"/>
        <v>0</v>
      </c>
      <c r="H21" s="41">
        <f t="shared" si="11"/>
        <v>0</v>
      </c>
      <c r="I21" s="41">
        <f t="shared" si="11"/>
        <v>0</v>
      </c>
      <c r="J21" s="41">
        <f t="shared" si="11"/>
        <v>0</v>
      </c>
      <c r="K21" s="41">
        <f t="shared" si="11"/>
        <v>0</v>
      </c>
      <c r="L21" s="41">
        <f t="shared" si="11"/>
        <v>0</v>
      </c>
      <c r="M21" s="41">
        <f t="shared" si="11"/>
        <v>0</v>
      </c>
      <c r="N21" s="41">
        <f t="shared" si="11"/>
        <v>0</v>
      </c>
      <c r="O21" s="140">
        <f t="shared" si="2"/>
        <v>0</v>
      </c>
      <c r="P21" s="109">
        <v>0</v>
      </c>
      <c r="Q21" s="108">
        <f t="shared" si="3"/>
        <v>0</v>
      </c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</row>
    <row r="22" spans="1:74" s="87" customFormat="1" ht="42.75" x14ac:dyDescent="0.2">
      <c r="A22" s="76" t="s">
        <v>394</v>
      </c>
      <c r="B22" s="77" t="s">
        <v>395</v>
      </c>
      <c r="C22" s="218">
        <f t="shared" ref="C22:N22" si="12">+C16*20%</f>
        <v>0</v>
      </c>
      <c r="D22" s="218">
        <f t="shared" si="12"/>
        <v>0</v>
      </c>
      <c r="E22" s="218">
        <f t="shared" si="12"/>
        <v>0</v>
      </c>
      <c r="F22" s="218">
        <f t="shared" si="12"/>
        <v>0</v>
      </c>
      <c r="G22" s="218">
        <f t="shared" si="12"/>
        <v>0</v>
      </c>
      <c r="H22" s="218">
        <f t="shared" si="12"/>
        <v>0</v>
      </c>
      <c r="I22" s="218">
        <f t="shared" si="12"/>
        <v>0</v>
      </c>
      <c r="J22" s="218">
        <f t="shared" si="12"/>
        <v>0</v>
      </c>
      <c r="K22" s="218">
        <f t="shared" si="12"/>
        <v>0</v>
      </c>
      <c r="L22" s="218">
        <f t="shared" si="12"/>
        <v>0</v>
      </c>
      <c r="M22" s="218">
        <f t="shared" si="12"/>
        <v>0</v>
      </c>
      <c r="N22" s="218">
        <f t="shared" si="12"/>
        <v>0</v>
      </c>
      <c r="O22" s="140">
        <f t="shared" si="2"/>
        <v>0</v>
      </c>
      <c r="P22" s="86">
        <v>0</v>
      </c>
      <c r="Q22" s="108">
        <f t="shared" si="3"/>
        <v>0</v>
      </c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</row>
    <row r="23" spans="1:74" s="110" customFormat="1" ht="47.25" x14ac:dyDescent="0.2">
      <c r="A23" s="81" t="s">
        <v>396</v>
      </c>
      <c r="B23" s="79" t="s">
        <v>175</v>
      </c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140">
        <f t="shared" si="2"/>
        <v>0</v>
      </c>
      <c r="P23" s="109">
        <v>0</v>
      </c>
      <c r="Q23" s="108">
        <f t="shared" si="3"/>
        <v>0</v>
      </c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</row>
    <row r="24" spans="1:74" s="110" customFormat="1" ht="42.75" x14ac:dyDescent="0.2">
      <c r="A24" s="76" t="s">
        <v>397</v>
      </c>
      <c r="B24" s="77" t="s">
        <v>176</v>
      </c>
      <c r="C24" s="41">
        <f t="shared" ref="C24:N24" si="13">+C23*69.7845456%</f>
        <v>0</v>
      </c>
      <c r="D24" s="41">
        <f t="shared" si="13"/>
        <v>0</v>
      </c>
      <c r="E24" s="41">
        <f t="shared" si="13"/>
        <v>0</v>
      </c>
      <c r="F24" s="41">
        <f t="shared" si="13"/>
        <v>0</v>
      </c>
      <c r="G24" s="41">
        <f t="shared" si="13"/>
        <v>0</v>
      </c>
      <c r="H24" s="41">
        <f t="shared" si="13"/>
        <v>0</v>
      </c>
      <c r="I24" s="41">
        <f t="shared" si="13"/>
        <v>0</v>
      </c>
      <c r="J24" s="41">
        <f t="shared" si="13"/>
        <v>0</v>
      </c>
      <c r="K24" s="41">
        <f t="shared" si="13"/>
        <v>0</v>
      </c>
      <c r="L24" s="41">
        <f t="shared" si="13"/>
        <v>0</v>
      </c>
      <c r="M24" s="41">
        <f t="shared" si="13"/>
        <v>0</v>
      </c>
      <c r="N24" s="41">
        <f t="shared" si="13"/>
        <v>0</v>
      </c>
      <c r="O24" s="140">
        <f t="shared" si="2"/>
        <v>0</v>
      </c>
      <c r="P24" s="109">
        <v>0</v>
      </c>
      <c r="Q24" s="108">
        <f t="shared" si="3"/>
        <v>0</v>
      </c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</row>
    <row r="25" spans="1:74" s="110" customFormat="1" ht="28.5" x14ac:dyDescent="0.2">
      <c r="A25" s="76" t="s">
        <v>398</v>
      </c>
      <c r="B25" s="77" t="s">
        <v>177</v>
      </c>
      <c r="C25" s="41">
        <f t="shared" ref="C25:N25" si="14">+C23*0.08%</f>
        <v>0</v>
      </c>
      <c r="D25" s="41">
        <f t="shared" si="14"/>
        <v>0</v>
      </c>
      <c r="E25" s="41">
        <f t="shared" si="14"/>
        <v>0</v>
      </c>
      <c r="F25" s="41">
        <f t="shared" si="14"/>
        <v>0</v>
      </c>
      <c r="G25" s="41">
        <f t="shared" si="14"/>
        <v>0</v>
      </c>
      <c r="H25" s="41">
        <f t="shared" si="14"/>
        <v>0</v>
      </c>
      <c r="I25" s="41">
        <f t="shared" si="14"/>
        <v>0</v>
      </c>
      <c r="J25" s="41">
        <f t="shared" si="14"/>
        <v>0</v>
      </c>
      <c r="K25" s="41">
        <f t="shared" si="14"/>
        <v>0</v>
      </c>
      <c r="L25" s="41">
        <f t="shared" si="14"/>
        <v>0</v>
      </c>
      <c r="M25" s="41">
        <f t="shared" si="14"/>
        <v>0</v>
      </c>
      <c r="N25" s="41">
        <f t="shared" si="14"/>
        <v>0</v>
      </c>
      <c r="O25" s="140">
        <f t="shared" si="2"/>
        <v>0</v>
      </c>
      <c r="P25" s="109">
        <v>0</v>
      </c>
      <c r="Q25" s="108">
        <f t="shared" si="3"/>
        <v>0</v>
      </c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</row>
    <row r="26" spans="1:74" s="87" customFormat="1" ht="28.5" x14ac:dyDescent="0.2">
      <c r="A26" s="76" t="s">
        <v>399</v>
      </c>
      <c r="B26" s="77" t="s">
        <v>178</v>
      </c>
      <c r="C26" s="41">
        <f t="shared" ref="C26:N26" si="15">+C23*7.992%</f>
        <v>0</v>
      </c>
      <c r="D26" s="41">
        <f t="shared" si="15"/>
        <v>0</v>
      </c>
      <c r="E26" s="41">
        <f t="shared" si="15"/>
        <v>0</v>
      </c>
      <c r="F26" s="41">
        <f t="shared" si="15"/>
        <v>0</v>
      </c>
      <c r="G26" s="41">
        <f t="shared" si="15"/>
        <v>0</v>
      </c>
      <c r="H26" s="41">
        <f t="shared" si="15"/>
        <v>0</v>
      </c>
      <c r="I26" s="41">
        <f t="shared" si="15"/>
        <v>0</v>
      </c>
      <c r="J26" s="41">
        <f t="shared" si="15"/>
        <v>0</v>
      </c>
      <c r="K26" s="41">
        <f t="shared" si="15"/>
        <v>0</v>
      </c>
      <c r="L26" s="41">
        <f t="shared" si="15"/>
        <v>0</v>
      </c>
      <c r="M26" s="41">
        <f t="shared" si="15"/>
        <v>0</v>
      </c>
      <c r="N26" s="41">
        <f t="shared" si="15"/>
        <v>0</v>
      </c>
      <c r="O26" s="140">
        <f t="shared" si="2"/>
        <v>0</v>
      </c>
      <c r="P26" s="86">
        <v>0</v>
      </c>
      <c r="Q26" s="108">
        <f t="shared" si="3"/>
        <v>0</v>
      </c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</row>
    <row r="27" spans="1:74" s="87" customFormat="1" ht="28.5" x14ac:dyDescent="0.2">
      <c r="A27" s="76" t="s">
        <v>400</v>
      </c>
      <c r="B27" s="77" t="s">
        <v>179</v>
      </c>
      <c r="C27" s="41">
        <f t="shared" ref="C27:N27" si="16">+C23*1.43856%</f>
        <v>0</v>
      </c>
      <c r="D27" s="41">
        <f t="shared" si="16"/>
        <v>0</v>
      </c>
      <c r="E27" s="41">
        <f t="shared" si="16"/>
        <v>0</v>
      </c>
      <c r="F27" s="41">
        <f t="shared" si="16"/>
        <v>0</v>
      </c>
      <c r="G27" s="41">
        <f t="shared" si="16"/>
        <v>0</v>
      </c>
      <c r="H27" s="41">
        <f t="shared" si="16"/>
        <v>0</v>
      </c>
      <c r="I27" s="41">
        <f t="shared" si="16"/>
        <v>0</v>
      </c>
      <c r="J27" s="41">
        <f t="shared" si="16"/>
        <v>0</v>
      </c>
      <c r="K27" s="41">
        <f t="shared" si="16"/>
        <v>0</v>
      </c>
      <c r="L27" s="41">
        <f t="shared" si="16"/>
        <v>0</v>
      </c>
      <c r="M27" s="41">
        <f t="shared" si="16"/>
        <v>0</v>
      </c>
      <c r="N27" s="41">
        <f t="shared" si="16"/>
        <v>0</v>
      </c>
      <c r="O27" s="140">
        <f t="shared" si="2"/>
        <v>0</v>
      </c>
      <c r="P27" s="86">
        <v>0</v>
      </c>
      <c r="Q27" s="108">
        <f t="shared" si="3"/>
        <v>0</v>
      </c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</row>
    <row r="28" spans="1:74" s="87" customFormat="1" ht="57" x14ac:dyDescent="0.2">
      <c r="A28" s="76" t="s">
        <v>401</v>
      </c>
      <c r="B28" s="77" t="s">
        <v>180</v>
      </c>
      <c r="C28" s="41">
        <f t="shared" ref="C28:N28" si="17">+C23*0.7048944%</f>
        <v>0</v>
      </c>
      <c r="D28" s="41">
        <f t="shared" si="17"/>
        <v>0</v>
      </c>
      <c r="E28" s="41">
        <f t="shared" si="17"/>
        <v>0</v>
      </c>
      <c r="F28" s="41">
        <f t="shared" si="17"/>
        <v>0</v>
      </c>
      <c r="G28" s="41">
        <f t="shared" si="17"/>
        <v>0</v>
      </c>
      <c r="H28" s="41">
        <f t="shared" si="17"/>
        <v>0</v>
      </c>
      <c r="I28" s="41">
        <f t="shared" si="17"/>
        <v>0</v>
      </c>
      <c r="J28" s="41">
        <f t="shared" si="17"/>
        <v>0</v>
      </c>
      <c r="K28" s="41">
        <f t="shared" si="17"/>
        <v>0</v>
      </c>
      <c r="L28" s="41">
        <f t="shared" si="17"/>
        <v>0</v>
      </c>
      <c r="M28" s="41">
        <f t="shared" si="17"/>
        <v>0</v>
      </c>
      <c r="N28" s="41">
        <f t="shared" si="17"/>
        <v>0</v>
      </c>
      <c r="O28" s="140">
        <f t="shared" si="2"/>
        <v>0</v>
      </c>
      <c r="P28" s="86">
        <v>0</v>
      </c>
      <c r="Q28" s="108">
        <f t="shared" si="3"/>
        <v>0</v>
      </c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</row>
    <row r="29" spans="1:74" s="87" customFormat="1" ht="42.75" x14ac:dyDescent="0.2">
      <c r="A29" s="76" t="s">
        <v>402</v>
      </c>
      <c r="B29" s="77" t="s">
        <v>403</v>
      </c>
      <c r="C29" s="218">
        <f t="shared" ref="C29:N29" si="18">+C23*20%</f>
        <v>0</v>
      </c>
      <c r="D29" s="218">
        <f t="shared" si="18"/>
        <v>0</v>
      </c>
      <c r="E29" s="218">
        <f t="shared" si="18"/>
        <v>0</v>
      </c>
      <c r="F29" s="218">
        <f t="shared" si="18"/>
        <v>0</v>
      </c>
      <c r="G29" s="218">
        <f t="shared" si="18"/>
        <v>0</v>
      </c>
      <c r="H29" s="218">
        <f t="shared" si="18"/>
        <v>0</v>
      </c>
      <c r="I29" s="218">
        <f t="shared" si="18"/>
        <v>0</v>
      </c>
      <c r="J29" s="218">
        <f t="shared" si="18"/>
        <v>0</v>
      </c>
      <c r="K29" s="218">
        <f t="shared" si="18"/>
        <v>0</v>
      </c>
      <c r="L29" s="218">
        <f t="shared" si="18"/>
        <v>0</v>
      </c>
      <c r="M29" s="218">
        <f t="shared" si="18"/>
        <v>0</v>
      </c>
      <c r="N29" s="218">
        <f t="shared" si="18"/>
        <v>0</v>
      </c>
      <c r="O29" s="140">
        <f t="shared" si="2"/>
        <v>0</v>
      </c>
      <c r="P29" s="86">
        <v>0</v>
      </c>
      <c r="Q29" s="108">
        <f t="shared" si="3"/>
        <v>0</v>
      </c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</row>
    <row r="30" spans="1:74" s="110" customFormat="1" ht="19.5" x14ac:dyDescent="0.2">
      <c r="A30" s="81" t="s">
        <v>404</v>
      </c>
      <c r="B30" s="79" t="s">
        <v>405</v>
      </c>
      <c r="C30" s="217">
        <f t="shared" ref="C30:N30" si="19">+C31+C46+C52+C79+C93+C109+C115</f>
        <v>0</v>
      </c>
      <c r="D30" s="217">
        <f t="shared" si="19"/>
        <v>0</v>
      </c>
      <c r="E30" s="217">
        <f t="shared" si="19"/>
        <v>0</v>
      </c>
      <c r="F30" s="217">
        <f t="shared" si="19"/>
        <v>0</v>
      </c>
      <c r="G30" s="217">
        <f t="shared" si="19"/>
        <v>0</v>
      </c>
      <c r="H30" s="217">
        <f t="shared" si="19"/>
        <v>0</v>
      </c>
      <c r="I30" s="217">
        <f t="shared" si="19"/>
        <v>0</v>
      </c>
      <c r="J30" s="217">
        <f t="shared" si="19"/>
        <v>0</v>
      </c>
      <c r="K30" s="217">
        <f t="shared" si="19"/>
        <v>0</v>
      </c>
      <c r="L30" s="217">
        <f t="shared" si="19"/>
        <v>0</v>
      </c>
      <c r="M30" s="217">
        <f t="shared" si="19"/>
        <v>0</v>
      </c>
      <c r="N30" s="217">
        <f t="shared" si="19"/>
        <v>0</v>
      </c>
      <c r="O30" s="140">
        <f t="shared" si="2"/>
        <v>0</v>
      </c>
      <c r="P30" s="109">
        <v>0</v>
      </c>
      <c r="Q30" s="108">
        <f t="shared" si="3"/>
        <v>0</v>
      </c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</row>
    <row r="31" spans="1:74" s="110" customFormat="1" ht="19.5" x14ac:dyDescent="0.2">
      <c r="A31" s="81" t="s">
        <v>406</v>
      </c>
      <c r="B31" s="79" t="s">
        <v>407</v>
      </c>
      <c r="C31" s="217">
        <f t="shared" ref="C31:N31" si="20">+C32+C39</f>
        <v>0</v>
      </c>
      <c r="D31" s="217">
        <f t="shared" si="20"/>
        <v>0</v>
      </c>
      <c r="E31" s="217">
        <f t="shared" si="20"/>
        <v>0</v>
      </c>
      <c r="F31" s="217">
        <f t="shared" si="20"/>
        <v>0</v>
      </c>
      <c r="G31" s="217">
        <f t="shared" si="20"/>
        <v>0</v>
      </c>
      <c r="H31" s="217">
        <f t="shared" si="20"/>
        <v>0</v>
      </c>
      <c r="I31" s="217">
        <f t="shared" si="20"/>
        <v>0</v>
      </c>
      <c r="J31" s="217">
        <f t="shared" si="20"/>
        <v>0</v>
      </c>
      <c r="K31" s="217">
        <f t="shared" si="20"/>
        <v>0</v>
      </c>
      <c r="L31" s="217">
        <f t="shared" si="20"/>
        <v>0</v>
      </c>
      <c r="M31" s="217">
        <f t="shared" si="20"/>
        <v>0</v>
      </c>
      <c r="N31" s="217">
        <f t="shared" si="20"/>
        <v>0</v>
      </c>
      <c r="O31" s="140">
        <f t="shared" si="2"/>
        <v>0</v>
      </c>
      <c r="P31" s="109">
        <v>0</v>
      </c>
      <c r="Q31" s="108">
        <f t="shared" si="3"/>
        <v>0</v>
      </c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</row>
    <row r="32" spans="1:74" s="110" customFormat="1" ht="31.5" x14ac:dyDescent="0.2">
      <c r="A32" s="81" t="s">
        <v>408</v>
      </c>
      <c r="B32" s="79" t="s">
        <v>409</v>
      </c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140">
        <f t="shared" si="2"/>
        <v>0</v>
      </c>
      <c r="P32" s="109">
        <v>0</v>
      </c>
      <c r="Q32" s="108">
        <f t="shared" si="3"/>
        <v>0</v>
      </c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</row>
    <row r="33" spans="1:74" s="110" customFormat="1" ht="28.5" x14ac:dyDescent="0.2">
      <c r="A33" s="76" t="s">
        <v>410</v>
      </c>
      <c r="B33" s="154" t="s">
        <v>125</v>
      </c>
      <c r="C33" s="41">
        <f t="shared" ref="C33:N33" si="21">+C31*69.7845456%</f>
        <v>0</v>
      </c>
      <c r="D33" s="41">
        <f t="shared" si="21"/>
        <v>0</v>
      </c>
      <c r="E33" s="41">
        <f t="shared" si="21"/>
        <v>0</v>
      </c>
      <c r="F33" s="41">
        <f t="shared" si="21"/>
        <v>0</v>
      </c>
      <c r="G33" s="41">
        <f t="shared" si="21"/>
        <v>0</v>
      </c>
      <c r="H33" s="41">
        <f t="shared" si="21"/>
        <v>0</v>
      </c>
      <c r="I33" s="41">
        <f t="shared" si="21"/>
        <v>0</v>
      </c>
      <c r="J33" s="41">
        <f t="shared" si="21"/>
        <v>0</v>
      </c>
      <c r="K33" s="41">
        <f t="shared" si="21"/>
        <v>0</v>
      </c>
      <c r="L33" s="41">
        <f t="shared" si="21"/>
        <v>0</v>
      </c>
      <c r="M33" s="41">
        <f t="shared" si="21"/>
        <v>0</v>
      </c>
      <c r="N33" s="41">
        <f t="shared" si="21"/>
        <v>0</v>
      </c>
      <c r="O33" s="140">
        <f t="shared" si="2"/>
        <v>0</v>
      </c>
      <c r="P33" s="109">
        <v>0</v>
      </c>
      <c r="Q33" s="108">
        <f t="shared" si="3"/>
        <v>0</v>
      </c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</row>
    <row r="34" spans="1:74" s="110" customFormat="1" ht="28.5" x14ac:dyDescent="0.2">
      <c r="A34" s="76" t="s">
        <v>411</v>
      </c>
      <c r="B34" s="77" t="s">
        <v>126</v>
      </c>
      <c r="C34" s="41">
        <f t="shared" ref="C34:N34" si="22">+C31*7.992%</f>
        <v>0</v>
      </c>
      <c r="D34" s="41">
        <f t="shared" si="22"/>
        <v>0</v>
      </c>
      <c r="E34" s="41">
        <f t="shared" si="22"/>
        <v>0</v>
      </c>
      <c r="F34" s="41">
        <f t="shared" si="22"/>
        <v>0</v>
      </c>
      <c r="G34" s="41">
        <f t="shared" si="22"/>
        <v>0</v>
      </c>
      <c r="H34" s="41">
        <f t="shared" si="22"/>
        <v>0</v>
      </c>
      <c r="I34" s="41">
        <f t="shared" si="22"/>
        <v>0</v>
      </c>
      <c r="J34" s="41">
        <f t="shared" si="22"/>
        <v>0</v>
      </c>
      <c r="K34" s="41">
        <f t="shared" si="22"/>
        <v>0</v>
      </c>
      <c r="L34" s="41">
        <f t="shared" si="22"/>
        <v>0</v>
      </c>
      <c r="M34" s="41">
        <f t="shared" si="22"/>
        <v>0</v>
      </c>
      <c r="N34" s="41">
        <f t="shared" si="22"/>
        <v>0</v>
      </c>
      <c r="O34" s="140">
        <f t="shared" si="2"/>
        <v>0</v>
      </c>
      <c r="P34" s="109">
        <v>0</v>
      </c>
      <c r="Q34" s="108">
        <f t="shared" si="3"/>
        <v>0</v>
      </c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</row>
    <row r="35" spans="1:74" s="110" customFormat="1" ht="28.5" x14ac:dyDescent="0.2">
      <c r="A35" s="76" t="s">
        <v>412</v>
      </c>
      <c r="B35" s="77" t="s">
        <v>127</v>
      </c>
      <c r="C35" s="41">
        <f t="shared" ref="C35:N35" si="23">+C31*20%</f>
        <v>0</v>
      </c>
      <c r="D35" s="41">
        <f t="shared" si="23"/>
        <v>0</v>
      </c>
      <c r="E35" s="41">
        <f t="shared" si="23"/>
        <v>0</v>
      </c>
      <c r="F35" s="41">
        <f t="shared" si="23"/>
        <v>0</v>
      </c>
      <c r="G35" s="41">
        <f t="shared" si="23"/>
        <v>0</v>
      </c>
      <c r="H35" s="41">
        <f t="shared" si="23"/>
        <v>0</v>
      </c>
      <c r="I35" s="41">
        <f t="shared" si="23"/>
        <v>0</v>
      </c>
      <c r="J35" s="41">
        <f t="shared" si="23"/>
        <v>0</v>
      </c>
      <c r="K35" s="41">
        <f t="shared" si="23"/>
        <v>0</v>
      </c>
      <c r="L35" s="41">
        <f t="shared" si="23"/>
        <v>0</v>
      </c>
      <c r="M35" s="41">
        <f t="shared" si="23"/>
        <v>0</v>
      </c>
      <c r="N35" s="41">
        <f t="shared" si="23"/>
        <v>0</v>
      </c>
      <c r="O35" s="140">
        <f t="shared" si="2"/>
        <v>0</v>
      </c>
      <c r="P35" s="109">
        <v>0</v>
      </c>
      <c r="Q35" s="108">
        <f t="shared" si="3"/>
        <v>0</v>
      </c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</row>
    <row r="36" spans="1:74" s="87" customFormat="1" ht="30" x14ac:dyDescent="0.2">
      <c r="A36" s="193" t="s">
        <v>413</v>
      </c>
      <c r="B36" s="194" t="s">
        <v>128</v>
      </c>
      <c r="C36" s="41">
        <f t="shared" ref="C36:N36" si="24">+C31*0.08%</f>
        <v>0</v>
      </c>
      <c r="D36" s="41">
        <f t="shared" si="24"/>
        <v>0</v>
      </c>
      <c r="E36" s="41">
        <f t="shared" si="24"/>
        <v>0</v>
      </c>
      <c r="F36" s="41">
        <f t="shared" si="24"/>
        <v>0</v>
      </c>
      <c r="G36" s="41">
        <f t="shared" si="24"/>
        <v>0</v>
      </c>
      <c r="H36" s="41">
        <f t="shared" si="24"/>
        <v>0</v>
      </c>
      <c r="I36" s="41">
        <f t="shared" si="24"/>
        <v>0</v>
      </c>
      <c r="J36" s="41">
        <f t="shared" si="24"/>
        <v>0</v>
      </c>
      <c r="K36" s="41">
        <f t="shared" si="24"/>
        <v>0</v>
      </c>
      <c r="L36" s="41">
        <f t="shared" si="24"/>
        <v>0</v>
      </c>
      <c r="M36" s="41">
        <f t="shared" si="24"/>
        <v>0</v>
      </c>
      <c r="N36" s="41">
        <f t="shared" si="24"/>
        <v>0</v>
      </c>
      <c r="O36" s="140">
        <f t="shared" si="2"/>
        <v>0</v>
      </c>
      <c r="P36" s="86">
        <v>0</v>
      </c>
      <c r="Q36" s="108">
        <f t="shared" si="3"/>
        <v>0</v>
      </c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</row>
    <row r="37" spans="1:74" s="110" customFormat="1" ht="28.5" x14ac:dyDescent="0.2">
      <c r="A37" s="76" t="s">
        <v>414</v>
      </c>
      <c r="B37" s="77" t="s">
        <v>129</v>
      </c>
      <c r="C37" s="41">
        <f t="shared" ref="C37:N37" si="25">+C31*1.43856%</f>
        <v>0</v>
      </c>
      <c r="D37" s="41">
        <f t="shared" si="25"/>
        <v>0</v>
      </c>
      <c r="E37" s="41">
        <f t="shared" si="25"/>
        <v>0</v>
      </c>
      <c r="F37" s="41">
        <f t="shared" si="25"/>
        <v>0</v>
      </c>
      <c r="G37" s="41">
        <f t="shared" si="25"/>
        <v>0</v>
      </c>
      <c r="H37" s="41">
        <f t="shared" si="25"/>
        <v>0</v>
      </c>
      <c r="I37" s="41">
        <f t="shared" si="25"/>
        <v>0</v>
      </c>
      <c r="J37" s="41">
        <f t="shared" si="25"/>
        <v>0</v>
      </c>
      <c r="K37" s="41">
        <f t="shared" si="25"/>
        <v>0</v>
      </c>
      <c r="L37" s="41">
        <f t="shared" si="25"/>
        <v>0</v>
      </c>
      <c r="M37" s="41">
        <f t="shared" si="25"/>
        <v>0</v>
      </c>
      <c r="N37" s="41">
        <f t="shared" si="25"/>
        <v>0</v>
      </c>
      <c r="O37" s="140">
        <f t="shared" si="2"/>
        <v>0</v>
      </c>
      <c r="P37" s="109">
        <v>0</v>
      </c>
      <c r="Q37" s="108">
        <f t="shared" si="3"/>
        <v>0</v>
      </c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</row>
    <row r="38" spans="1:74" s="110" customFormat="1" ht="42.75" x14ac:dyDescent="0.2">
      <c r="A38" s="76" t="s">
        <v>415</v>
      </c>
      <c r="B38" s="77" t="s">
        <v>130</v>
      </c>
      <c r="C38" s="41">
        <f t="shared" ref="C38:N38" si="26">+C31*0.7048944%</f>
        <v>0</v>
      </c>
      <c r="D38" s="41">
        <f t="shared" si="26"/>
        <v>0</v>
      </c>
      <c r="E38" s="41">
        <f t="shared" si="26"/>
        <v>0</v>
      </c>
      <c r="F38" s="41">
        <f t="shared" si="26"/>
        <v>0</v>
      </c>
      <c r="G38" s="41">
        <f t="shared" si="26"/>
        <v>0</v>
      </c>
      <c r="H38" s="41">
        <f t="shared" si="26"/>
        <v>0</v>
      </c>
      <c r="I38" s="41">
        <f t="shared" si="26"/>
        <v>0</v>
      </c>
      <c r="J38" s="41">
        <f t="shared" si="26"/>
        <v>0</v>
      </c>
      <c r="K38" s="41">
        <f t="shared" si="26"/>
        <v>0</v>
      </c>
      <c r="L38" s="41">
        <f t="shared" si="26"/>
        <v>0</v>
      </c>
      <c r="M38" s="41">
        <f t="shared" si="26"/>
        <v>0</v>
      </c>
      <c r="N38" s="41">
        <f t="shared" si="26"/>
        <v>0</v>
      </c>
      <c r="O38" s="140">
        <f t="shared" si="2"/>
        <v>0</v>
      </c>
      <c r="P38" s="109">
        <v>0</v>
      </c>
      <c r="Q38" s="108">
        <f t="shared" si="3"/>
        <v>0</v>
      </c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</row>
    <row r="39" spans="1:74" s="110" customFormat="1" ht="31.5" x14ac:dyDescent="0.2">
      <c r="A39" s="81" t="s">
        <v>416</v>
      </c>
      <c r="B39" s="79" t="s">
        <v>417</v>
      </c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140">
        <f t="shared" si="2"/>
        <v>0</v>
      </c>
      <c r="P39" s="109">
        <v>0</v>
      </c>
      <c r="Q39" s="108">
        <f t="shared" si="3"/>
        <v>0</v>
      </c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</row>
    <row r="40" spans="1:74" s="110" customFormat="1" ht="28.5" x14ac:dyDescent="0.2">
      <c r="A40" s="76" t="s">
        <v>418</v>
      </c>
      <c r="B40" s="154" t="s">
        <v>125</v>
      </c>
      <c r="C40" s="41">
        <f t="shared" ref="C40:N40" si="27">+C39*69.7845456%</f>
        <v>0</v>
      </c>
      <c r="D40" s="41">
        <f t="shared" si="27"/>
        <v>0</v>
      </c>
      <c r="E40" s="41">
        <f t="shared" si="27"/>
        <v>0</v>
      </c>
      <c r="F40" s="41">
        <f t="shared" si="27"/>
        <v>0</v>
      </c>
      <c r="G40" s="41">
        <f t="shared" si="27"/>
        <v>0</v>
      </c>
      <c r="H40" s="41">
        <f t="shared" si="27"/>
        <v>0</v>
      </c>
      <c r="I40" s="41">
        <f t="shared" si="27"/>
        <v>0</v>
      </c>
      <c r="J40" s="41">
        <f t="shared" si="27"/>
        <v>0</v>
      </c>
      <c r="K40" s="41">
        <f t="shared" si="27"/>
        <v>0</v>
      </c>
      <c r="L40" s="41">
        <f t="shared" si="27"/>
        <v>0</v>
      </c>
      <c r="M40" s="41">
        <f t="shared" si="27"/>
        <v>0</v>
      </c>
      <c r="N40" s="41">
        <f t="shared" si="27"/>
        <v>0</v>
      </c>
      <c r="O40" s="140">
        <f t="shared" si="2"/>
        <v>0</v>
      </c>
      <c r="P40" s="109">
        <v>0</v>
      </c>
      <c r="Q40" s="108">
        <f t="shared" si="3"/>
        <v>0</v>
      </c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</row>
    <row r="41" spans="1:74" s="110" customFormat="1" ht="28.5" x14ac:dyDescent="0.2">
      <c r="A41" s="76" t="s">
        <v>419</v>
      </c>
      <c r="B41" s="77" t="s">
        <v>126</v>
      </c>
      <c r="C41" s="41">
        <f t="shared" ref="C41:N41" si="28">+C39*7.992%</f>
        <v>0</v>
      </c>
      <c r="D41" s="41">
        <f t="shared" si="28"/>
        <v>0</v>
      </c>
      <c r="E41" s="41">
        <f t="shared" si="28"/>
        <v>0</v>
      </c>
      <c r="F41" s="41">
        <f t="shared" si="28"/>
        <v>0</v>
      </c>
      <c r="G41" s="41">
        <f t="shared" si="28"/>
        <v>0</v>
      </c>
      <c r="H41" s="41">
        <f t="shared" si="28"/>
        <v>0</v>
      </c>
      <c r="I41" s="41">
        <f t="shared" si="28"/>
        <v>0</v>
      </c>
      <c r="J41" s="41">
        <f t="shared" si="28"/>
        <v>0</v>
      </c>
      <c r="K41" s="41">
        <f t="shared" si="28"/>
        <v>0</v>
      </c>
      <c r="L41" s="41">
        <f t="shared" si="28"/>
        <v>0</v>
      </c>
      <c r="M41" s="41">
        <f t="shared" si="28"/>
        <v>0</v>
      </c>
      <c r="N41" s="41">
        <f t="shared" si="28"/>
        <v>0</v>
      </c>
      <c r="O41" s="140">
        <f t="shared" si="2"/>
        <v>0</v>
      </c>
      <c r="P41" s="109">
        <v>0</v>
      </c>
      <c r="Q41" s="108">
        <f t="shared" si="3"/>
        <v>0</v>
      </c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</row>
    <row r="42" spans="1:74" s="110" customFormat="1" ht="28.5" x14ac:dyDescent="0.2">
      <c r="A42" s="76" t="s">
        <v>420</v>
      </c>
      <c r="B42" s="77" t="s">
        <v>127</v>
      </c>
      <c r="C42" s="41">
        <f t="shared" ref="C42:N42" si="29">+C39*20%</f>
        <v>0</v>
      </c>
      <c r="D42" s="41">
        <f t="shared" si="29"/>
        <v>0</v>
      </c>
      <c r="E42" s="41">
        <f t="shared" si="29"/>
        <v>0</v>
      </c>
      <c r="F42" s="41">
        <f t="shared" si="29"/>
        <v>0</v>
      </c>
      <c r="G42" s="41">
        <f t="shared" si="29"/>
        <v>0</v>
      </c>
      <c r="H42" s="41">
        <f t="shared" si="29"/>
        <v>0</v>
      </c>
      <c r="I42" s="41">
        <f t="shared" si="29"/>
        <v>0</v>
      </c>
      <c r="J42" s="41">
        <f t="shared" si="29"/>
        <v>0</v>
      </c>
      <c r="K42" s="41">
        <f t="shared" si="29"/>
        <v>0</v>
      </c>
      <c r="L42" s="41">
        <f t="shared" si="29"/>
        <v>0</v>
      </c>
      <c r="M42" s="41">
        <f t="shared" si="29"/>
        <v>0</v>
      </c>
      <c r="N42" s="41">
        <f t="shared" si="29"/>
        <v>0</v>
      </c>
      <c r="O42" s="140">
        <f t="shared" si="2"/>
        <v>0</v>
      </c>
      <c r="P42" s="109">
        <v>0</v>
      </c>
      <c r="Q42" s="108">
        <f t="shared" si="3"/>
        <v>0</v>
      </c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</row>
    <row r="43" spans="1:74" s="87" customFormat="1" ht="14.25" x14ac:dyDescent="0.2">
      <c r="A43" s="76" t="s">
        <v>421</v>
      </c>
      <c r="B43" s="77" t="s">
        <v>128</v>
      </c>
      <c r="C43" s="41">
        <f t="shared" ref="C43:N43" si="30">+C39*0.08%</f>
        <v>0</v>
      </c>
      <c r="D43" s="41">
        <f t="shared" si="30"/>
        <v>0</v>
      </c>
      <c r="E43" s="41">
        <f t="shared" si="30"/>
        <v>0</v>
      </c>
      <c r="F43" s="41">
        <f t="shared" si="30"/>
        <v>0</v>
      </c>
      <c r="G43" s="41">
        <f t="shared" si="30"/>
        <v>0</v>
      </c>
      <c r="H43" s="41">
        <f t="shared" si="30"/>
        <v>0</v>
      </c>
      <c r="I43" s="41">
        <f t="shared" si="30"/>
        <v>0</v>
      </c>
      <c r="J43" s="41">
        <f t="shared" si="30"/>
        <v>0</v>
      </c>
      <c r="K43" s="41">
        <f t="shared" si="30"/>
        <v>0</v>
      </c>
      <c r="L43" s="41">
        <f t="shared" si="30"/>
        <v>0</v>
      </c>
      <c r="M43" s="41">
        <f t="shared" si="30"/>
        <v>0</v>
      </c>
      <c r="N43" s="41">
        <f t="shared" si="30"/>
        <v>0</v>
      </c>
      <c r="O43" s="140">
        <f t="shared" si="2"/>
        <v>0</v>
      </c>
      <c r="P43" s="86">
        <v>0</v>
      </c>
      <c r="Q43" s="108">
        <f t="shared" si="3"/>
        <v>0</v>
      </c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</row>
    <row r="44" spans="1:74" s="87" customFormat="1" ht="28.5" x14ac:dyDescent="0.2">
      <c r="A44" s="76" t="s">
        <v>422</v>
      </c>
      <c r="B44" s="77" t="s">
        <v>129</v>
      </c>
      <c r="C44" s="41">
        <f t="shared" ref="C44:N44" si="31">+C39*1.43856%</f>
        <v>0</v>
      </c>
      <c r="D44" s="41">
        <f t="shared" si="31"/>
        <v>0</v>
      </c>
      <c r="E44" s="41">
        <f t="shared" si="31"/>
        <v>0</v>
      </c>
      <c r="F44" s="41">
        <f t="shared" si="31"/>
        <v>0</v>
      </c>
      <c r="G44" s="41">
        <f t="shared" si="31"/>
        <v>0</v>
      </c>
      <c r="H44" s="41">
        <f t="shared" si="31"/>
        <v>0</v>
      </c>
      <c r="I44" s="41">
        <f t="shared" si="31"/>
        <v>0</v>
      </c>
      <c r="J44" s="41">
        <f t="shared" si="31"/>
        <v>0</v>
      </c>
      <c r="K44" s="41">
        <f t="shared" si="31"/>
        <v>0</v>
      </c>
      <c r="L44" s="41">
        <f t="shared" si="31"/>
        <v>0</v>
      </c>
      <c r="M44" s="41">
        <f t="shared" si="31"/>
        <v>0</v>
      </c>
      <c r="N44" s="41">
        <f t="shared" si="31"/>
        <v>0</v>
      </c>
      <c r="O44" s="140">
        <f t="shared" si="2"/>
        <v>0</v>
      </c>
      <c r="P44" s="86">
        <v>0</v>
      </c>
      <c r="Q44" s="108">
        <f t="shared" si="3"/>
        <v>0</v>
      </c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</row>
    <row r="45" spans="1:74" s="87" customFormat="1" ht="42.75" x14ac:dyDescent="0.2">
      <c r="A45" s="76" t="s">
        <v>423</v>
      </c>
      <c r="B45" s="77" t="s">
        <v>130</v>
      </c>
      <c r="C45" s="41">
        <f t="shared" ref="C45:N45" si="32">+C39*0.7048944%</f>
        <v>0</v>
      </c>
      <c r="D45" s="41">
        <f t="shared" si="32"/>
        <v>0</v>
      </c>
      <c r="E45" s="41">
        <f t="shared" si="32"/>
        <v>0</v>
      </c>
      <c r="F45" s="41">
        <f t="shared" si="32"/>
        <v>0</v>
      </c>
      <c r="G45" s="41">
        <f t="shared" si="32"/>
        <v>0</v>
      </c>
      <c r="H45" s="41">
        <f t="shared" si="32"/>
        <v>0</v>
      </c>
      <c r="I45" s="41">
        <f t="shared" si="32"/>
        <v>0</v>
      </c>
      <c r="J45" s="41">
        <f t="shared" si="32"/>
        <v>0</v>
      </c>
      <c r="K45" s="41">
        <f t="shared" si="32"/>
        <v>0</v>
      </c>
      <c r="L45" s="41">
        <f t="shared" si="32"/>
        <v>0</v>
      </c>
      <c r="M45" s="41">
        <f t="shared" si="32"/>
        <v>0</v>
      </c>
      <c r="N45" s="41">
        <f t="shared" si="32"/>
        <v>0</v>
      </c>
      <c r="O45" s="140">
        <f t="shared" si="2"/>
        <v>0</v>
      </c>
      <c r="P45" s="86">
        <v>0</v>
      </c>
      <c r="Q45" s="108">
        <f t="shared" si="3"/>
        <v>0</v>
      </c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</row>
    <row r="46" spans="1:74" s="110" customFormat="1" ht="30" x14ac:dyDescent="0.2">
      <c r="A46" s="193" t="s">
        <v>424</v>
      </c>
      <c r="B46" s="194" t="s">
        <v>425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140">
        <f t="shared" si="2"/>
        <v>0</v>
      </c>
      <c r="P46" s="109">
        <v>0</v>
      </c>
      <c r="Q46" s="108">
        <f t="shared" si="3"/>
        <v>0</v>
      </c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</row>
    <row r="47" spans="1:74" s="110" customFormat="1" ht="28.5" x14ac:dyDescent="0.2">
      <c r="A47" s="76" t="s">
        <v>426</v>
      </c>
      <c r="B47" s="77" t="s">
        <v>181</v>
      </c>
      <c r="C47" s="41">
        <f t="shared" ref="C47:N47" si="33">+C46*87.230682%</f>
        <v>0</v>
      </c>
      <c r="D47" s="41">
        <f t="shared" si="33"/>
        <v>0</v>
      </c>
      <c r="E47" s="41">
        <f t="shared" si="33"/>
        <v>0</v>
      </c>
      <c r="F47" s="41">
        <f t="shared" si="33"/>
        <v>0</v>
      </c>
      <c r="G47" s="41">
        <f t="shared" si="33"/>
        <v>0</v>
      </c>
      <c r="H47" s="41">
        <f t="shared" si="33"/>
        <v>0</v>
      </c>
      <c r="I47" s="41">
        <f t="shared" si="33"/>
        <v>0</v>
      </c>
      <c r="J47" s="41">
        <f t="shared" si="33"/>
        <v>0</v>
      </c>
      <c r="K47" s="41">
        <f t="shared" si="33"/>
        <v>0</v>
      </c>
      <c r="L47" s="41">
        <f t="shared" si="33"/>
        <v>0</v>
      </c>
      <c r="M47" s="41">
        <f t="shared" si="33"/>
        <v>0</v>
      </c>
      <c r="N47" s="41">
        <f t="shared" si="33"/>
        <v>0</v>
      </c>
      <c r="O47" s="140">
        <f t="shared" si="2"/>
        <v>0</v>
      </c>
      <c r="P47" s="109">
        <v>0</v>
      </c>
      <c r="Q47" s="108">
        <f t="shared" si="3"/>
        <v>0</v>
      </c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</row>
    <row r="48" spans="1:74" s="110" customFormat="1" ht="28.5" x14ac:dyDescent="0.2">
      <c r="A48" s="76" t="s">
        <v>427</v>
      </c>
      <c r="B48" s="77" t="s">
        <v>182</v>
      </c>
      <c r="C48" s="41">
        <f t="shared" ref="C48:N48" si="34">+C46*0.1%</f>
        <v>0</v>
      </c>
      <c r="D48" s="41">
        <f t="shared" si="34"/>
        <v>0</v>
      </c>
      <c r="E48" s="41">
        <f t="shared" si="34"/>
        <v>0</v>
      </c>
      <c r="F48" s="41">
        <f t="shared" si="34"/>
        <v>0</v>
      </c>
      <c r="G48" s="41">
        <f t="shared" si="34"/>
        <v>0</v>
      </c>
      <c r="H48" s="41">
        <f t="shared" si="34"/>
        <v>0</v>
      </c>
      <c r="I48" s="41">
        <f t="shared" si="34"/>
        <v>0</v>
      </c>
      <c r="J48" s="41">
        <f t="shared" si="34"/>
        <v>0</v>
      </c>
      <c r="K48" s="41">
        <f t="shared" si="34"/>
        <v>0</v>
      </c>
      <c r="L48" s="41">
        <f t="shared" si="34"/>
        <v>0</v>
      </c>
      <c r="M48" s="41">
        <f t="shared" si="34"/>
        <v>0</v>
      </c>
      <c r="N48" s="41">
        <f t="shared" si="34"/>
        <v>0</v>
      </c>
      <c r="O48" s="140">
        <f t="shared" si="2"/>
        <v>0</v>
      </c>
      <c r="P48" s="109">
        <v>0</v>
      </c>
      <c r="Q48" s="108">
        <f t="shared" si="3"/>
        <v>0</v>
      </c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  <c r="BU48" s="109"/>
      <c r="BV48" s="109"/>
    </row>
    <row r="49" spans="1:74" s="110" customFormat="1" ht="28.5" x14ac:dyDescent="0.2">
      <c r="A49" s="76" t="s">
        <v>428</v>
      </c>
      <c r="B49" s="154" t="s">
        <v>183</v>
      </c>
      <c r="C49" s="41">
        <f t="shared" ref="C49:N49" si="35">+C46*9.99%</f>
        <v>0</v>
      </c>
      <c r="D49" s="41">
        <f t="shared" si="35"/>
        <v>0</v>
      </c>
      <c r="E49" s="41">
        <f t="shared" si="35"/>
        <v>0</v>
      </c>
      <c r="F49" s="41">
        <f t="shared" si="35"/>
        <v>0</v>
      </c>
      <c r="G49" s="41">
        <f t="shared" si="35"/>
        <v>0</v>
      </c>
      <c r="H49" s="41">
        <f t="shared" si="35"/>
        <v>0</v>
      </c>
      <c r="I49" s="41">
        <f t="shared" si="35"/>
        <v>0</v>
      </c>
      <c r="J49" s="41">
        <f t="shared" si="35"/>
        <v>0</v>
      </c>
      <c r="K49" s="41">
        <f t="shared" si="35"/>
        <v>0</v>
      </c>
      <c r="L49" s="41">
        <f t="shared" si="35"/>
        <v>0</v>
      </c>
      <c r="M49" s="41">
        <f t="shared" si="35"/>
        <v>0</v>
      </c>
      <c r="N49" s="41">
        <f t="shared" si="35"/>
        <v>0</v>
      </c>
      <c r="O49" s="140">
        <f t="shared" si="2"/>
        <v>0</v>
      </c>
      <c r="P49" s="109">
        <v>0</v>
      </c>
      <c r="Q49" s="108">
        <f t="shared" si="3"/>
        <v>0</v>
      </c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</row>
    <row r="50" spans="1:74" s="110" customFormat="1" ht="28.5" x14ac:dyDescent="0.2">
      <c r="A50" s="76" t="s">
        <v>429</v>
      </c>
      <c r="B50" s="77" t="s">
        <v>184</v>
      </c>
      <c r="C50" s="41">
        <f t="shared" ref="C50:N50" si="36">+C46*1.7982%</f>
        <v>0</v>
      </c>
      <c r="D50" s="41">
        <f t="shared" si="36"/>
        <v>0</v>
      </c>
      <c r="E50" s="41">
        <f t="shared" si="36"/>
        <v>0</v>
      </c>
      <c r="F50" s="41">
        <f t="shared" si="36"/>
        <v>0</v>
      </c>
      <c r="G50" s="41">
        <f t="shared" si="36"/>
        <v>0</v>
      </c>
      <c r="H50" s="41">
        <f t="shared" si="36"/>
        <v>0</v>
      </c>
      <c r="I50" s="41">
        <f t="shared" si="36"/>
        <v>0</v>
      </c>
      <c r="J50" s="41">
        <f t="shared" si="36"/>
        <v>0</v>
      </c>
      <c r="K50" s="41">
        <f t="shared" si="36"/>
        <v>0</v>
      </c>
      <c r="L50" s="41">
        <f t="shared" si="36"/>
        <v>0</v>
      </c>
      <c r="M50" s="41">
        <f t="shared" si="36"/>
        <v>0</v>
      </c>
      <c r="N50" s="41">
        <f t="shared" si="36"/>
        <v>0</v>
      </c>
      <c r="O50" s="140">
        <f t="shared" si="2"/>
        <v>0</v>
      </c>
      <c r="P50" s="109">
        <v>0</v>
      </c>
      <c r="Q50" s="108">
        <f t="shared" si="3"/>
        <v>0</v>
      </c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</row>
    <row r="51" spans="1:74" s="110" customFormat="1" ht="42.75" x14ac:dyDescent="0.2">
      <c r="A51" s="76" t="s">
        <v>430</v>
      </c>
      <c r="B51" s="77" t="s">
        <v>185</v>
      </c>
      <c r="C51" s="41">
        <f t="shared" ref="C51:N51" si="37">+C46*0.881118%</f>
        <v>0</v>
      </c>
      <c r="D51" s="41">
        <f t="shared" si="37"/>
        <v>0</v>
      </c>
      <c r="E51" s="41">
        <f t="shared" si="37"/>
        <v>0</v>
      </c>
      <c r="F51" s="41">
        <f t="shared" si="37"/>
        <v>0</v>
      </c>
      <c r="G51" s="41">
        <f t="shared" si="37"/>
        <v>0</v>
      </c>
      <c r="H51" s="41">
        <f t="shared" si="37"/>
        <v>0</v>
      </c>
      <c r="I51" s="41">
        <f t="shared" si="37"/>
        <v>0</v>
      </c>
      <c r="J51" s="41">
        <f t="shared" si="37"/>
        <v>0</v>
      </c>
      <c r="K51" s="41">
        <f t="shared" si="37"/>
        <v>0</v>
      </c>
      <c r="L51" s="41">
        <f t="shared" si="37"/>
        <v>0</v>
      </c>
      <c r="M51" s="41">
        <f t="shared" si="37"/>
        <v>0</v>
      </c>
      <c r="N51" s="41">
        <f t="shared" si="37"/>
        <v>0</v>
      </c>
      <c r="O51" s="140">
        <f t="shared" si="2"/>
        <v>0</v>
      </c>
      <c r="P51" s="109">
        <v>0</v>
      </c>
      <c r="Q51" s="108">
        <f t="shared" si="3"/>
        <v>0</v>
      </c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</row>
    <row r="52" spans="1:74" s="87" customFormat="1" ht="47.25" x14ac:dyDescent="0.2">
      <c r="A52" s="81" t="s">
        <v>431</v>
      </c>
      <c r="B52" s="79" t="s">
        <v>432</v>
      </c>
      <c r="C52" s="281">
        <f t="shared" ref="C52:N52" si="38">+C53+C66</f>
        <v>0</v>
      </c>
      <c r="D52" s="281">
        <f t="shared" si="38"/>
        <v>0</v>
      </c>
      <c r="E52" s="281">
        <f t="shared" si="38"/>
        <v>0</v>
      </c>
      <c r="F52" s="281">
        <f t="shared" si="38"/>
        <v>0</v>
      </c>
      <c r="G52" s="281">
        <f t="shared" si="38"/>
        <v>0</v>
      </c>
      <c r="H52" s="281">
        <f t="shared" si="38"/>
        <v>0</v>
      </c>
      <c r="I52" s="281">
        <f t="shared" si="38"/>
        <v>0</v>
      </c>
      <c r="J52" s="281">
        <f t="shared" si="38"/>
        <v>0</v>
      </c>
      <c r="K52" s="281">
        <f t="shared" si="38"/>
        <v>0</v>
      </c>
      <c r="L52" s="281">
        <f t="shared" si="38"/>
        <v>0</v>
      </c>
      <c r="M52" s="281">
        <f t="shared" si="38"/>
        <v>0</v>
      </c>
      <c r="N52" s="281">
        <f t="shared" si="38"/>
        <v>0</v>
      </c>
      <c r="O52" s="140">
        <f t="shared" si="2"/>
        <v>0</v>
      </c>
      <c r="P52" s="86">
        <v>0</v>
      </c>
      <c r="Q52" s="108">
        <f t="shared" si="3"/>
        <v>0</v>
      </c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</row>
    <row r="53" spans="1:74" s="110" customFormat="1" ht="31.5" x14ac:dyDescent="0.2">
      <c r="A53" s="81" t="s">
        <v>433</v>
      </c>
      <c r="B53" s="79" t="s">
        <v>434</v>
      </c>
      <c r="C53" s="281">
        <f t="shared" ref="C53:N53" si="39">+C54+C60</f>
        <v>0</v>
      </c>
      <c r="D53" s="281">
        <f t="shared" si="39"/>
        <v>0</v>
      </c>
      <c r="E53" s="281">
        <f t="shared" si="39"/>
        <v>0</v>
      </c>
      <c r="F53" s="281">
        <f t="shared" si="39"/>
        <v>0</v>
      </c>
      <c r="G53" s="281">
        <f t="shared" si="39"/>
        <v>0</v>
      </c>
      <c r="H53" s="281">
        <f t="shared" si="39"/>
        <v>0</v>
      </c>
      <c r="I53" s="281">
        <f t="shared" si="39"/>
        <v>0</v>
      </c>
      <c r="J53" s="281">
        <f t="shared" si="39"/>
        <v>0</v>
      </c>
      <c r="K53" s="281">
        <f t="shared" si="39"/>
        <v>0</v>
      </c>
      <c r="L53" s="281">
        <f t="shared" si="39"/>
        <v>0</v>
      </c>
      <c r="M53" s="281">
        <f t="shared" si="39"/>
        <v>0</v>
      </c>
      <c r="N53" s="281">
        <f t="shared" si="39"/>
        <v>0</v>
      </c>
      <c r="O53" s="140">
        <f t="shared" si="2"/>
        <v>0</v>
      </c>
      <c r="P53" s="109">
        <v>0</v>
      </c>
      <c r="Q53" s="108">
        <f t="shared" si="3"/>
        <v>0</v>
      </c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</row>
    <row r="54" spans="1:74" s="110" customFormat="1" ht="31.5" x14ac:dyDescent="0.2">
      <c r="A54" s="81" t="s">
        <v>435</v>
      </c>
      <c r="B54" s="79" t="s">
        <v>436</v>
      </c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0">
        <f t="shared" si="2"/>
        <v>0</v>
      </c>
      <c r="P54" s="109">
        <v>0</v>
      </c>
      <c r="Q54" s="108">
        <f t="shared" si="3"/>
        <v>0</v>
      </c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</row>
    <row r="55" spans="1:74" s="110" customFormat="1" ht="42.75" x14ac:dyDescent="0.2">
      <c r="A55" s="76" t="s">
        <v>437</v>
      </c>
      <c r="B55" s="77" t="s">
        <v>131</v>
      </c>
      <c r="C55" s="41">
        <f t="shared" ref="C55:N55" si="40">+C54*87.230682%</f>
        <v>0</v>
      </c>
      <c r="D55" s="41">
        <f t="shared" si="40"/>
        <v>0</v>
      </c>
      <c r="E55" s="41">
        <f t="shared" si="40"/>
        <v>0</v>
      </c>
      <c r="F55" s="41">
        <f t="shared" si="40"/>
        <v>0</v>
      </c>
      <c r="G55" s="41">
        <f t="shared" si="40"/>
        <v>0</v>
      </c>
      <c r="H55" s="41">
        <f t="shared" si="40"/>
        <v>0</v>
      </c>
      <c r="I55" s="41">
        <f t="shared" si="40"/>
        <v>0</v>
      </c>
      <c r="J55" s="41">
        <f t="shared" si="40"/>
        <v>0</v>
      </c>
      <c r="K55" s="41">
        <f t="shared" si="40"/>
        <v>0</v>
      </c>
      <c r="L55" s="41">
        <f t="shared" si="40"/>
        <v>0</v>
      </c>
      <c r="M55" s="41">
        <f t="shared" si="40"/>
        <v>0</v>
      </c>
      <c r="N55" s="41">
        <f t="shared" si="40"/>
        <v>0</v>
      </c>
      <c r="O55" s="140">
        <f t="shared" si="2"/>
        <v>0</v>
      </c>
      <c r="P55" s="109">
        <v>0</v>
      </c>
      <c r="Q55" s="108">
        <f t="shared" si="3"/>
        <v>0</v>
      </c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</row>
    <row r="56" spans="1:74" s="110" customFormat="1" ht="28.5" x14ac:dyDescent="0.2">
      <c r="A56" s="76" t="s">
        <v>438</v>
      </c>
      <c r="B56" s="154" t="s">
        <v>132</v>
      </c>
      <c r="C56" s="41">
        <f t="shared" ref="C56:N56" si="41">+C54*0.1%</f>
        <v>0</v>
      </c>
      <c r="D56" s="41">
        <f t="shared" si="41"/>
        <v>0</v>
      </c>
      <c r="E56" s="41">
        <f t="shared" si="41"/>
        <v>0</v>
      </c>
      <c r="F56" s="41">
        <f t="shared" si="41"/>
        <v>0</v>
      </c>
      <c r="G56" s="41">
        <f t="shared" si="41"/>
        <v>0</v>
      </c>
      <c r="H56" s="41">
        <f t="shared" si="41"/>
        <v>0</v>
      </c>
      <c r="I56" s="41">
        <f t="shared" si="41"/>
        <v>0</v>
      </c>
      <c r="J56" s="41">
        <f t="shared" si="41"/>
        <v>0</v>
      </c>
      <c r="K56" s="41">
        <f t="shared" si="41"/>
        <v>0</v>
      </c>
      <c r="L56" s="41">
        <f t="shared" si="41"/>
        <v>0</v>
      </c>
      <c r="M56" s="41">
        <f t="shared" si="41"/>
        <v>0</v>
      </c>
      <c r="N56" s="41">
        <f t="shared" si="41"/>
        <v>0</v>
      </c>
      <c r="O56" s="140">
        <f t="shared" si="2"/>
        <v>0</v>
      </c>
      <c r="P56" s="109">
        <v>0</v>
      </c>
      <c r="Q56" s="108">
        <f t="shared" si="3"/>
        <v>0</v>
      </c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</row>
    <row r="57" spans="1:74" s="110" customFormat="1" ht="28.5" x14ac:dyDescent="0.2">
      <c r="A57" s="76" t="s">
        <v>439</v>
      </c>
      <c r="B57" s="77" t="s">
        <v>133</v>
      </c>
      <c r="C57" s="41">
        <f t="shared" ref="C57:N57" si="42">+C54*9.99%</f>
        <v>0</v>
      </c>
      <c r="D57" s="41">
        <f t="shared" si="42"/>
        <v>0</v>
      </c>
      <c r="E57" s="41">
        <f t="shared" si="42"/>
        <v>0</v>
      </c>
      <c r="F57" s="41">
        <f t="shared" si="42"/>
        <v>0</v>
      </c>
      <c r="G57" s="41">
        <f t="shared" si="42"/>
        <v>0</v>
      </c>
      <c r="H57" s="41">
        <f t="shared" si="42"/>
        <v>0</v>
      </c>
      <c r="I57" s="41">
        <f t="shared" si="42"/>
        <v>0</v>
      </c>
      <c r="J57" s="41">
        <f t="shared" si="42"/>
        <v>0</v>
      </c>
      <c r="K57" s="41">
        <f t="shared" si="42"/>
        <v>0</v>
      </c>
      <c r="L57" s="41">
        <f t="shared" si="42"/>
        <v>0</v>
      </c>
      <c r="M57" s="41">
        <f t="shared" si="42"/>
        <v>0</v>
      </c>
      <c r="N57" s="41">
        <f t="shared" si="42"/>
        <v>0</v>
      </c>
      <c r="O57" s="140">
        <f t="shared" si="2"/>
        <v>0</v>
      </c>
      <c r="P57" s="109">
        <v>0</v>
      </c>
      <c r="Q57" s="108">
        <f t="shared" si="3"/>
        <v>0</v>
      </c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</row>
    <row r="58" spans="1:74" s="110" customFormat="1" ht="28.5" x14ac:dyDescent="0.2">
      <c r="A58" s="76" t="s">
        <v>440</v>
      </c>
      <c r="B58" s="77" t="s">
        <v>134</v>
      </c>
      <c r="C58" s="41">
        <f t="shared" ref="C58:N58" si="43">+C54*1.7982%</f>
        <v>0</v>
      </c>
      <c r="D58" s="41">
        <f t="shared" si="43"/>
        <v>0</v>
      </c>
      <c r="E58" s="41">
        <f t="shared" si="43"/>
        <v>0</v>
      </c>
      <c r="F58" s="41">
        <f t="shared" si="43"/>
        <v>0</v>
      </c>
      <c r="G58" s="41">
        <f t="shared" si="43"/>
        <v>0</v>
      </c>
      <c r="H58" s="41">
        <f t="shared" si="43"/>
        <v>0</v>
      </c>
      <c r="I58" s="41">
        <f t="shared" si="43"/>
        <v>0</v>
      </c>
      <c r="J58" s="41">
        <f t="shared" si="43"/>
        <v>0</v>
      </c>
      <c r="K58" s="41">
        <f t="shared" si="43"/>
        <v>0</v>
      </c>
      <c r="L58" s="41">
        <f t="shared" si="43"/>
        <v>0</v>
      </c>
      <c r="M58" s="41">
        <f t="shared" si="43"/>
        <v>0</v>
      </c>
      <c r="N58" s="41">
        <f t="shared" si="43"/>
        <v>0</v>
      </c>
      <c r="O58" s="140">
        <f t="shared" si="2"/>
        <v>0</v>
      </c>
      <c r="P58" s="109">
        <v>0</v>
      </c>
      <c r="Q58" s="108">
        <f t="shared" si="3"/>
        <v>0</v>
      </c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</row>
    <row r="59" spans="1:74" s="87" customFormat="1" ht="57" x14ac:dyDescent="0.2">
      <c r="A59" s="76" t="s">
        <v>441</v>
      </c>
      <c r="B59" s="77" t="s">
        <v>135</v>
      </c>
      <c r="C59" s="41">
        <f t="shared" ref="C59:N59" si="44">+C54*0.881118%</f>
        <v>0</v>
      </c>
      <c r="D59" s="41">
        <f t="shared" si="44"/>
        <v>0</v>
      </c>
      <c r="E59" s="41">
        <f t="shared" si="44"/>
        <v>0</v>
      </c>
      <c r="F59" s="41">
        <f t="shared" si="44"/>
        <v>0</v>
      </c>
      <c r="G59" s="41">
        <f t="shared" si="44"/>
        <v>0</v>
      </c>
      <c r="H59" s="41">
        <f t="shared" si="44"/>
        <v>0</v>
      </c>
      <c r="I59" s="41">
        <f t="shared" si="44"/>
        <v>0</v>
      </c>
      <c r="J59" s="41">
        <f t="shared" si="44"/>
        <v>0</v>
      </c>
      <c r="K59" s="41">
        <f t="shared" si="44"/>
        <v>0</v>
      </c>
      <c r="L59" s="41">
        <f t="shared" si="44"/>
        <v>0</v>
      </c>
      <c r="M59" s="41">
        <f t="shared" si="44"/>
        <v>0</v>
      </c>
      <c r="N59" s="41">
        <f t="shared" si="44"/>
        <v>0</v>
      </c>
      <c r="O59" s="140">
        <f t="shared" si="2"/>
        <v>0</v>
      </c>
      <c r="P59" s="86">
        <v>0</v>
      </c>
      <c r="Q59" s="108">
        <f t="shared" si="3"/>
        <v>0</v>
      </c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</row>
    <row r="60" spans="1:74" s="87" customFormat="1" ht="37.5" x14ac:dyDescent="0.2">
      <c r="A60" s="208" t="s">
        <v>442</v>
      </c>
      <c r="B60" s="209" t="s">
        <v>443</v>
      </c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40">
        <f t="shared" si="2"/>
        <v>0</v>
      </c>
      <c r="P60" s="86">
        <v>0</v>
      </c>
      <c r="Q60" s="108">
        <f t="shared" si="3"/>
        <v>0</v>
      </c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</row>
    <row r="61" spans="1:74" s="110" customFormat="1" ht="42.75" x14ac:dyDescent="0.2">
      <c r="A61" s="76" t="s">
        <v>444</v>
      </c>
      <c r="B61" s="77" t="s">
        <v>136</v>
      </c>
      <c r="C61" s="41">
        <f t="shared" ref="C61:N61" si="45">+C60*87.230682%</f>
        <v>0</v>
      </c>
      <c r="D61" s="41">
        <f t="shared" si="45"/>
        <v>0</v>
      </c>
      <c r="E61" s="41">
        <f t="shared" si="45"/>
        <v>0</v>
      </c>
      <c r="F61" s="41">
        <f t="shared" si="45"/>
        <v>0</v>
      </c>
      <c r="G61" s="41">
        <f t="shared" si="45"/>
        <v>0</v>
      </c>
      <c r="H61" s="41">
        <f t="shared" si="45"/>
        <v>0</v>
      </c>
      <c r="I61" s="41">
        <f t="shared" si="45"/>
        <v>0</v>
      </c>
      <c r="J61" s="41">
        <f t="shared" si="45"/>
        <v>0</v>
      </c>
      <c r="K61" s="41">
        <f t="shared" si="45"/>
        <v>0</v>
      </c>
      <c r="L61" s="41">
        <f t="shared" si="45"/>
        <v>0</v>
      </c>
      <c r="M61" s="41">
        <f t="shared" si="45"/>
        <v>0</v>
      </c>
      <c r="N61" s="41">
        <f t="shared" si="45"/>
        <v>0</v>
      </c>
      <c r="O61" s="140">
        <f t="shared" si="2"/>
        <v>0</v>
      </c>
      <c r="P61" s="109">
        <v>0</v>
      </c>
      <c r="Q61" s="108">
        <f t="shared" si="3"/>
        <v>0</v>
      </c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</row>
    <row r="62" spans="1:74" s="110" customFormat="1" ht="28.5" x14ac:dyDescent="0.2">
      <c r="A62" s="76" t="s">
        <v>445</v>
      </c>
      <c r="B62" s="77" t="s">
        <v>137</v>
      </c>
      <c r="C62" s="41">
        <f t="shared" ref="C62:N62" si="46">+C60*0.1%</f>
        <v>0</v>
      </c>
      <c r="D62" s="41">
        <f t="shared" si="46"/>
        <v>0</v>
      </c>
      <c r="E62" s="41">
        <f t="shared" si="46"/>
        <v>0</v>
      </c>
      <c r="F62" s="41">
        <f t="shared" si="46"/>
        <v>0</v>
      </c>
      <c r="G62" s="41">
        <f t="shared" si="46"/>
        <v>0</v>
      </c>
      <c r="H62" s="41">
        <f t="shared" si="46"/>
        <v>0</v>
      </c>
      <c r="I62" s="41">
        <f t="shared" si="46"/>
        <v>0</v>
      </c>
      <c r="J62" s="41">
        <f t="shared" si="46"/>
        <v>0</v>
      </c>
      <c r="K62" s="41">
        <f t="shared" si="46"/>
        <v>0</v>
      </c>
      <c r="L62" s="41">
        <f t="shared" si="46"/>
        <v>0</v>
      </c>
      <c r="M62" s="41">
        <f t="shared" si="46"/>
        <v>0</v>
      </c>
      <c r="N62" s="41">
        <f t="shared" si="46"/>
        <v>0</v>
      </c>
      <c r="O62" s="140">
        <f t="shared" si="2"/>
        <v>0</v>
      </c>
      <c r="P62" s="109">
        <v>0</v>
      </c>
      <c r="Q62" s="108">
        <f t="shared" si="3"/>
        <v>0</v>
      </c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</row>
    <row r="63" spans="1:74" s="87" customFormat="1" ht="28.5" x14ac:dyDescent="0.2">
      <c r="A63" s="76" t="s">
        <v>446</v>
      </c>
      <c r="B63" s="77" t="s">
        <v>138</v>
      </c>
      <c r="C63" s="41">
        <f t="shared" ref="C63:N63" si="47">+C60*9.99%</f>
        <v>0</v>
      </c>
      <c r="D63" s="41">
        <f t="shared" si="47"/>
        <v>0</v>
      </c>
      <c r="E63" s="41">
        <f t="shared" si="47"/>
        <v>0</v>
      </c>
      <c r="F63" s="41">
        <f t="shared" si="47"/>
        <v>0</v>
      </c>
      <c r="G63" s="41">
        <f t="shared" si="47"/>
        <v>0</v>
      </c>
      <c r="H63" s="41">
        <f t="shared" si="47"/>
        <v>0</v>
      </c>
      <c r="I63" s="41">
        <f t="shared" si="47"/>
        <v>0</v>
      </c>
      <c r="J63" s="41">
        <f t="shared" si="47"/>
        <v>0</v>
      </c>
      <c r="K63" s="41">
        <f t="shared" si="47"/>
        <v>0</v>
      </c>
      <c r="L63" s="41">
        <f t="shared" si="47"/>
        <v>0</v>
      </c>
      <c r="M63" s="41">
        <f t="shared" si="47"/>
        <v>0</v>
      </c>
      <c r="N63" s="41">
        <f t="shared" si="47"/>
        <v>0</v>
      </c>
      <c r="O63" s="140">
        <f t="shared" si="2"/>
        <v>0</v>
      </c>
      <c r="P63" s="109">
        <v>0</v>
      </c>
      <c r="Q63" s="108">
        <f t="shared" si="3"/>
        <v>0</v>
      </c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</row>
    <row r="64" spans="1:74" s="110" customFormat="1" ht="28.5" x14ac:dyDescent="0.2">
      <c r="A64" s="76" t="s">
        <v>447</v>
      </c>
      <c r="B64" s="154" t="s">
        <v>139</v>
      </c>
      <c r="C64" s="41">
        <f t="shared" ref="C64:N64" si="48">+C60*1.7982%</f>
        <v>0</v>
      </c>
      <c r="D64" s="41">
        <f t="shared" si="48"/>
        <v>0</v>
      </c>
      <c r="E64" s="41">
        <f t="shared" si="48"/>
        <v>0</v>
      </c>
      <c r="F64" s="41">
        <f t="shared" si="48"/>
        <v>0</v>
      </c>
      <c r="G64" s="41">
        <f t="shared" si="48"/>
        <v>0</v>
      </c>
      <c r="H64" s="41">
        <f t="shared" si="48"/>
        <v>0</v>
      </c>
      <c r="I64" s="41">
        <f t="shared" si="48"/>
        <v>0</v>
      </c>
      <c r="J64" s="41">
        <f t="shared" si="48"/>
        <v>0</v>
      </c>
      <c r="K64" s="41">
        <f t="shared" si="48"/>
        <v>0</v>
      </c>
      <c r="L64" s="41">
        <f t="shared" si="48"/>
        <v>0</v>
      </c>
      <c r="M64" s="41">
        <f t="shared" si="48"/>
        <v>0</v>
      </c>
      <c r="N64" s="41">
        <f t="shared" si="48"/>
        <v>0</v>
      </c>
      <c r="O64" s="140">
        <f t="shared" si="2"/>
        <v>0</v>
      </c>
      <c r="P64" s="109">
        <v>0</v>
      </c>
      <c r="Q64" s="108">
        <f t="shared" si="3"/>
        <v>0</v>
      </c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</row>
    <row r="65" spans="1:74" s="110" customFormat="1" ht="57" x14ac:dyDescent="0.2">
      <c r="A65" s="76" t="s">
        <v>448</v>
      </c>
      <c r="B65" s="77" t="s">
        <v>140</v>
      </c>
      <c r="C65" s="41">
        <f t="shared" ref="C65:N65" si="49">+C60*0.881118%</f>
        <v>0</v>
      </c>
      <c r="D65" s="41">
        <f t="shared" si="49"/>
        <v>0</v>
      </c>
      <c r="E65" s="41">
        <f t="shared" si="49"/>
        <v>0</v>
      </c>
      <c r="F65" s="41">
        <f t="shared" si="49"/>
        <v>0</v>
      </c>
      <c r="G65" s="41">
        <f t="shared" si="49"/>
        <v>0</v>
      </c>
      <c r="H65" s="41">
        <f t="shared" si="49"/>
        <v>0</v>
      </c>
      <c r="I65" s="41">
        <f t="shared" si="49"/>
        <v>0</v>
      </c>
      <c r="J65" s="41">
        <f t="shared" si="49"/>
        <v>0</v>
      </c>
      <c r="K65" s="41">
        <f t="shared" si="49"/>
        <v>0</v>
      </c>
      <c r="L65" s="41">
        <f t="shared" si="49"/>
        <v>0</v>
      </c>
      <c r="M65" s="41">
        <f t="shared" si="49"/>
        <v>0</v>
      </c>
      <c r="N65" s="41">
        <f t="shared" si="49"/>
        <v>0</v>
      </c>
      <c r="O65" s="140">
        <f t="shared" si="2"/>
        <v>0</v>
      </c>
      <c r="P65" s="109">
        <v>0</v>
      </c>
      <c r="Q65" s="108">
        <f t="shared" si="3"/>
        <v>0</v>
      </c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</row>
    <row r="66" spans="1:74" s="110" customFormat="1" ht="31.5" x14ac:dyDescent="0.2">
      <c r="A66" s="81" t="s">
        <v>449</v>
      </c>
      <c r="B66" s="79" t="s">
        <v>450</v>
      </c>
      <c r="C66" s="281">
        <f t="shared" ref="C66:N66" si="50">+C67+C73</f>
        <v>0</v>
      </c>
      <c r="D66" s="281">
        <f t="shared" si="50"/>
        <v>0</v>
      </c>
      <c r="E66" s="281">
        <f t="shared" si="50"/>
        <v>0</v>
      </c>
      <c r="F66" s="281">
        <f t="shared" si="50"/>
        <v>0</v>
      </c>
      <c r="G66" s="281">
        <f t="shared" si="50"/>
        <v>0</v>
      </c>
      <c r="H66" s="281">
        <f t="shared" si="50"/>
        <v>0</v>
      </c>
      <c r="I66" s="281">
        <f t="shared" si="50"/>
        <v>0</v>
      </c>
      <c r="J66" s="281">
        <f t="shared" si="50"/>
        <v>0</v>
      </c>
      <c r="K66" s="281">
        <f t="shared" si="50"/>
        <v>0</v>
      </c>
      <c r="L66" s="281">
        <f t="shared" si="50"/>
        <v>0</v>
      </c>
      <c r="M66" s="281">
        <f t="shared" si="50"/>
        <v>0</v>
      </c>
      <c r="N66" s="281">
        <f t="shared" si="50"/>
        <v>0</v>
      </c>
      <c r="O66" s="140">
        <f t="shared" si="2"/>
        <v>0</v>
      </c>
      <c r="P66" s="109">
        <v>0</v>
      </c>
      <c r="Q66" s="108">
        <f t="shared" si="3"/>
        <v>0</v>
      </c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</row>
    <row r="67" spans="1:74" s="87" customFormat="1" ht="47.25" x14ac:dyDescent="0.2">
      <c r="A67" s="81" t="s">
        <v>451</v>
      </c>
      <c r="B67" s="79" t="s">
        <v>452</v>
      </c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140">
        <f t="shared" si="2"/>
        <v>0</v>
      </c>
      <c r="P67" s="86">
        <v>0</v>
      </c>
      <c r="Q67" s="108">
        <f t="shared" si="3"/>
        <v>0</v>
      </c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86"/>
      <c r="BG67" s="86"/>
      <c r="BH67" s="86"/>
      <c r="BI67" s="86"/>
      <c r="BJ67" s="86"/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/>
    </row>
    <row r="68" spans="1:74" s="110" customFormat="1" ht="57" x14ac:dyDescent="0.2">
      <c r="A68" s="76" t="s">
        <v>453</v>
      </c>
      <c r="B68" s="77" t="s">
        <v>141</v>
      </c>
      <c r="C68" s="41">
        <f t="shared" ref="C68:N68" si="51">+C67*87.230682%</f>
        <v>0</v>
      </c>
      <c r="D68" s="41">
        <f t="shared" si="51"/>
        <v>0</v>
      </c>
      <c r="E68" s="41">
        <f t="shared" si="51"/>
        <v>0</v>
      </c>
      <c r="F68" s="41">
        <f t="shared" si="51"/>
        <v>0</v>
      </c>
      <c r="G68" s="41">
        <f t="shared" si="51"/>
        <v>0</v>
      </c>
      <c r="H68" s="41">
        <f t="shared" si="51"/>
        <v>0</v>
      </c>
      <c r="I68" s="41">
        <f t="shared" si="51"/>
        <v>0</v>
      </c>
      <c r="J68" s="41">
        <f t="shared" si="51"/>
        <v>0</v>
      </c>
      <c r="K68" s="41">
        <f t="shared" si="51"/>
        <v>0</v>
      </c>
      <c r="L68" s="41">
        <f t="shared" si="51"/>
        <v>0</v>
      </c>
      <c r="M68" s="41">
        <f t="shared" si="51"/>
        <v>0</v>
      </c>
      <c r="N68" s="41">
        <f t="shared" si="51"/>
        <v>0</v>
      </c>
      <c r="O68" s="140">
        <f t="shared" si="2"/>
        <v>0</v>
      </c>
      <c r="P68" s="109">
        <v>0</v>
      </c>
      <c r="Q68" s="108">
        <f t="shared" si="3"/>
        <v>0</v>
      </c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</row>
    <row r="69" spans="1:74" s="110" customFormat="1" ht="42.75" x14ac:dyDescent="0.2">
      <c r="A69" s="76" t="s">
        <v>454</v>
      </c>
      <c r="B69" s="77" t="s">
        <v>142</v>
      </c>
      <c r="C69" s="41">
        <f t="shared" ref="C69:N69" si="52">+C67*0.1%</f>
        <v>0</v>
      </c>
      <c r="D69" s="41">
        <f t="shared" si="52"/>
        <v>0</v>
      </c>
      <c r="E69" s="41">
        <f t="shared" si="52"/>
        <v>0</v>
      </c>
      <c r="F69" s="41">
        <f t="shared" si="52"/>
        <v>0</v>
      </c>
      <c r="G69" s="41">
        <f t="shared" si="52"/>
        <v>0</v>
      </c>
      <c r="H69" s="41">
        <f t="shared" si="52"/>
        <v>0</v>
      </c>
      <c r="I69" s="41">
        <f t="shared" si="52"/>
        <v>0</v>
      </c>
      <c r="J69" s="41">
        <f t="shared" si="52"/>
        <v>0</v>
      </c>
      <c r="K69" s="41">
        <f t="shared" si="52"/>
        <v>0</v>
      </c>
      <c r="L69" s="41">
        <f t="shared" si="52"/>
        <v>0</v>
      </c>
      <c r="M69" s="41">
        <f t="shared" si="52"/>
        <v>0</v>
      </c>
      <c r="N69" s="41">
        <f t="shared" si="52"/>
        <v>0</v>
      </c>
      <c r="O69" s="140">
        <f t="shared" si="2"/>
        <v>0</v>
      </c>
      <c r="P69" s="109">
        <v>0</v>
      </c>
      <c r="Q69" s="108">
        <f t="shared" si="3"/>
        <v>0</v>
      </c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</row>
    <row r="70" spans="1:74" s="110" customFormat="1" ht="42.75" x14ac:dyDescent="0.2">
      <c r="A70" s="76" t="s">
        <v>455</v>
      </c>
      <c r="B70" s="77" t="s">
        <v>143</v>
      </c>
      <c r="C70" s="41">
        <f t="shared" ref="C70:N70" si="53">+C67*9.99%</f>
        <v>0</v>
      </c>
      <c r="D70" s="41">
        <f t="shared" si="53"/>
        <v>0</v>
      </c>
      <c r="E70" s="41">
        <f t="shared" si="53"/>
        <v>0</v>
      </c>
      <c r="F70" s="41">
        <f t="shared" si="53"/>
        <v>0</v>
      </c>
      <c r="G70" s="41">
        <f t="shared" si="53"/>
        <v>0</v>
      </c>
      <c r="H70" s="41">
        <f t="shared" si="53"/>
        <v>0</v>
      </c>
      <c r="I70" s="41">
        <f t="shared" si="53"/>
        <v>0</v>
      </c>
      <c r="J70" s="41">
        <f t="shared" si="53"/>
        <v>0</v>
      </c>
      <c r="K70" s="41">
        <f t="shared" si="53"/>
        <v>0</v>
      </c>
      <c r="L70" s="41">
        <f t="shared" si="53"/>
        <v>0</v>
      </c>
      <c r="M70" s="41">
        <f t="shared" si="53"/>
        <v>0</v>
      </c>
      <c r="N70" s="41">
        <f t="shared" si="53"/>
        <v>0</v>
      </c>
      <c r="O70" s="140">
        <f t="shared" si="2"/>
        <v>0</v>
      </c>
      <c r="P70" s="109">
        <v>0</v>
      </c>
      <c r="Q70" s="108">
        <f t="shared" si="3"/>
        <v>0</v>
      </c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</row>
    <row r="71" spans="1:74" s="110" customFormat="1" ht="42.75" x14ac:dyDescent="0.2">
      <c r="A71" s="76" t="s">
        <v>456</v>
      </c>
      <c r="B71" s="154" t="s">
        <v>144</v>
      </c>
      <c r="C71" s="41">
        <f t="shared" ref="C71:N71" si="54">+C67*1.7982%</f>
        <v>0</v>
      </c>
      <c r="D71" s="41">
        <f t="shared" si="54"/>
        <v>0</v>
      </c>
      <c r="E71" s="41">
        <f t="shared" si="54"/>
        <v>0</v>
      </c>
      <c r="F71" s="41">
        <f t="shared" si="54"/>
        <v>0</v>
      </c>
      <c r="G71" s="41">
        <f t="shared" si="54"/>
        <v>0</v>
      </c>
      <c r="H71" s="41">
        <f t="shared" si="54"/>
        <v>0</v>
      </c>
      <c r="I71" s="41">
        <f t="shared" si="54"/>
        <v>0</v>
      </c>
      <c r="J71" s="41">
        <f t="shared" si="54"/>
        <v>0</v>
      </c>
      <c r="K71" s="41">
        <f t="shared" si="54"/>
        <v>0</v>
      </c>
      <c r="L71" s="41">
        <f t="shared" si="54"/>
        <v>0</v>
      </c>
      <c r="M71" s="41">
        <f t="shared" si="54"/>
        <v>0</v>
      </c>
      <c r="N71" s="41">
        <f t="shared" si="54"/>
        <v>0</v>
      </c>
      <c r="O71" s="140">
        <f t="shared" si="2"/>
        <v>0</v>
      </c>
      <c r="P71" s="109">
        <v>0</v>
      </c>
      <c r="Q71" s="108">
        <f t="shared" si="3"/>
        <v>0</v>
      </c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  <c r="BO71" s="109"/>
      <c r="BP71" s="109"/>
      <c r="BQ71" s="109"/>
      <c r="BR71" s="109"/>
      <c r="BS71" s="109"/>
      <c r="BT71" s="109"/>
      <c r="BU71" s="109"/>
      <c r="BV71" s="109"/>
    </row>
    <row r="72" spans="1:74" s="110" customFormat="1" ht="57" x14ac:dyDescent="0.2">
      <c r="A72" s="76" t="s">
        <v>457</v>
      </c>
      <c r="B72" s="77" t="s">
        <v>145</v>
      </c>
      <c r="C72" s="41">
        <f t="shared" ref="C72:N72" si="55">+C67*0.881118%</f>
        <v>0</v>
      </c>
      <c r="D72" s="41">
        <f t="shared" si="55"/>
        <v>0</v>
      </c>
      <c r="E72" s="41">
        <f t="shared" si="55"/>
        <v>0</v>
      </c>
      <c r="F72" s="41">
        <f t="shared" si="55"/>
        <v>0</v>
      </c>
      <c r="G72" s="41">
        <f t="shared" si="55"/>
        <v>0</v>
      </c>
      <c r="H72" s="41">
        <f t="shared" si="55"/>
        <v>0</v>
      </c>
      <c r="I72" s="41">
        <f t="shared" si="55"/>
        <v>0</v>
      </c>
      <c r="J72" s="41">
        <f t="shared" si="55"/>
        <v>0</v>
      </c>
      <c r="K72" s="41">
        <f t="shared" si="55"/>
        <v>0</v>
      </c>
      <c r="L72" s="41">
        <f t="shared" si="55"/>
        <v>0</v>
      </c>
      <c r="M72" s="41">
        <f t="shared" si="55"/>
        <v>0</v>
      </c>
      <c r="N72" s="41">
        <f t="shared" si="55"/>
        <v>0</v>
      </c>
      <c r="O72" s="140">
        <f t="shared" si="2"/>
        <v>0</v>
      </c>
      <c r="P72" s="109">
        <v>0</v>
      </c>
      <c r="Q72" s="108">
        <f t="shared" si="3"/>
        <v>0</v>
      </c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</row>
    <row r="73" spans="1:74" s="110" customFormat="1" ht="47.25" x14ac:dyDescent="0.2">
      <c r="A73" s="81" t="s">
        <v>458</v>
      </c>
      <c r="B73" s="79" t="s">
        <v>459</v>
      </c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0">
        <f t="shared" si="2"/>
        <v>0</v>
      </c>
      <c r="P73" s="109">
        <v>0</v>
      </c>
      <c r="Q73" s="108">
        <f t="shared" si="3"/>
        <v>0</v>
      </c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</row>
    <row r="74" spans="1:74" s="87" customFormat="1" ht="57" x14ac:dyDescent="0.2">
      <c r="A74" s="76" t="s">
        <v>460</v>
      </c>
      <c r="B74" s="77" t="s">
        <v>146</v>
      </c>
      <c r="C74" s="41">
        <f t="shared" ref="C74:N74" si="56">+C73*87.230682%</f>
        <v>0</v>
      </c>
      <c r="D74" s="41">
        <f t="shared" si="56"/>
        <v>0</v>
      </c>
      <c r="E74" s="41">
        <f t="shared" si="56"/>
        <v>0</v>
      </c>
      <c r="F74" s="41">
        <f t="shared" si="56"/>
        <v>0</v>
      </c>
      <c r="G74" s="41">
        <f t="shared" si="56"/>
        <v>0</v>
      </c>
      <c r="H74" s="41">
        <f t="shared" si="56"/>
        <v>0</v>
      </c>
      <c r="I74" s="41">
        <f t="shared" si="56"/>
        <v>0</v>
      </c>
      <c r="J74" s="41">
        <f t="shared" si="56"/>
        <v>0</v>
      </c>
      <c r="K74" s="41">
        <f t="shared" si="56"/>
        <v>0</v>
      </c>
      <c r="L74" s="41">
        <f t="shared" si="56"/>
        <v>0</v>
      </c>
      <c r="M74" s="41">
        <f t="shared" si="56"/>
        <v>0</v>
      </c>
      <c r="N74" s="41">
        <f t="shared" si="56"/>
        <v>0</v>
      </c>
      <c r="O74" s="140">
        <f t="shared" si="2"/>
        <v>0</v>
      </c>
      <c r="P74" s="86">
        <v>0</v>
      </c>
      <c r="Q74" s="108">
        <f t="shared" si="3"/>
        <v>0</v>
      </c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  <c r="BC74" s="86"/>
      <c r="BD74" s="86"/>
      <c r="BE74" s="86"/>
      <c r="BF74" s="86"/>
      <c r="BG74" s="86"/>
      <c r="BH74" s="86"/>
      <c r="BI74" s="86"/>
      <c r="BJ74" s="86"/>
      <c r="BK74" s="86"/>
      <c r="BL74" s="86"/>
      <c r="BM74" s="86"/>
      <c r="BN74" s="86"/>
      <c r="BO74" s="86"/>
      <c r="BP74" s="86"/>
      <c r="BQ74" s="86"/>
      <c r="BR74" s="86"/>
      <c r="BS74" s="86"/>
      <c r="BT74" s="86"/>
      <c r="BU74" s="86"/>
      <c r="BV74" s="86"/>
    </row>
    <row r="75" spans="1:74" s="87" customFormat="1" ht="42.75" x14ac:dyDescent="0.2">
      <c r="A75" s="76" t="s">
        <v>461</v>
      </c>
      <c r="B75" s="77" t="s">
        <v>147</v>
      </c>
      <c r="C75" s="41">
        <f t="shared" ref="C75:N75" si="57">+C73*0.1%</f>
        <v>0</v>
      </c>
      <c r="D75" s="41">
        <f t="shared" si="57"/>
        <v>0</v>
      </c>
      <c r="E75" s="41">
        <f t="shared" si="57"/>
        <v>0</v>
      </c>
      <c r="F75" s="41">
        <f t="shared" si="57"/>
        <v>0</v>
      </c>
      <c r="G75" s="41">
        <f t="shared" si="57"/>
        <v>0</v>
      </c>
      <c r="H75" s="41">
        <f t="shared" si="57"/>
        <v>0</v>
      </c>
      <c r="I75" s="41">
        <f t="shared" si="57"/>
        <v>0</v>
      </c>
      <c r="J75" s="41">
        <f t="shared" si="57"/>
        <v>0</v>
      </c>
      <c r="K75" s="41">
        <f t="shared" si="57"/>
        <v>0</v>
      </c>
      <c r="L75" s="41">
        <f t="shared" si="57"/>
        <v>0</v>
      </c>
      <c r="M75" s="41">
        <f t="shared" si="57"/>
        <v>0</v>
      </c>
      <c r="N75" s="41">
        <f t="shared" si="57"/>
        <v>0</v>
      </c>
      <c r="O75" s="140">
        <f t="shared" si="2"/>
        <v>0</v>
      </c>
      <c r="P75" s="86">
        <v>0</v>
      </c>
      <c r="Q75" s="108">
        <f t="shared" si="3"/>
        <v>0</v>
      </c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</row>
    <row r="76" spans="1:74" s="87" customFormat="1" ht="42.75" x14ac:dyDescent="0.2">
      <c r="A76" s="76" t="s">
        <v>462</v>
      </c>
      <c r="B76" s="77" t="s">
        <v>148</v>
      </c>
      <c r="C76" s="41">
        <f t="shared" ref="C76:N76" si="58">+C73*9.99%</f>
        <v>0</v>
      </c>
      <c r="D76" s="41">
        <f t="shared" si="58"/>
        <v>0</v>
      </c>
      <c r="E76" s="41">
        <f t="shared" si="58"/>
        <v>0</v>
      </c>
      <c r="F76" s="41">
        <f t="shared" si="58"/>
        <v>0</v>
      </c>
      <c r="G76" s="41">
        <f t="shared" si="58"/>
        <v>0</v>
      </c>
      <c r="H76" s="41">
        <f t="shared" si="58"/>
        <v>0</v>
      </c>
      <c r="I76" s="41">
        <f t="shared" si="58"/>
        <v>0</v>
      </c>
      <c r="J76" s="41">
        <f t="shared" si="58"/>
        <v>0</v>
      </c>
      <c r="K76" s="41">
        <f t="shared" si="58"/>
        <v>0</v>
      </c>
      <c r="L76" s="41">
        <f t="shared" si="58"/>
        <v>0</v>
      </c>
      <c r="M76" s="41">
        <f t="shared" si="58"/>
        <v>0</v>
      </c>
      <c r="N76" s="41">
        <f t="shared" si="58"/>
        <v>0</v>
      </c>
      <c r="O76" s="140">
        <f t="shared" ref="O76:O140" si="59">SUM(C76:N76)</f>
        <v>0</v>
      </c>
      <c r="P76" s="86">
        <v>0</v>
      </c>
      <c r="Q76" s="108">
        <f t="shared" ref="Q76:Q139" si="60">+P76-O76</f>
        <v>0</v>
      </c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86"/>
      <c r="BB76" s="86"/>
      <c r="BC76" s="86"/>
      <c r="BD76" s="86"/>
      <c r="BE76" s="86"/>
      <c r="BF76" s="86"/>
      <c r="BG76" s="86"/>
      <c r="BH76" s="86"/>
      <c r="BI76" s="86"/>
      <c r="BJ76" s="86"/>
      <c r="BK76" s="86"/>
      <c r="BL76" s="86"/>
      <c r="BM76" s="86"/>
      <c r="BN76" s="86"/>
      <c r="BO76" s="86"/>
      <c r="BP76" s="86"/>
      <c r="BQ76" s="86"/>
      <c r="BR76" s="86"/>
      <c r="BS76" s="86"/>
      <c r="BT76" s="86"/>
      <c r="BU76" s="86"/>
      <c r="BV76" s="86"/>
    </row>
    <row r="77" spans="1:74" s="110" customFormat="1" ht="42.75" x14ac:dyDescent="0.2">
      <c r="A77" s="76" t="s">
        <v>463</v>
      </c>
      <c r="B77" s="77" t="s">
        <v>149</v>
      </c>
      <c r="C77" s="41">
        <f t="shared" ref="C77:N77" si="61">+C73*1.7982%</f>
        <v>0</v>
      </c>
      <c r="D77" s="41">
        <f t="shared" si="61"/>
        <v>0</v>
      </c>
      <c r="E77" s="41">
        <f t="shared" si="61"/>
        <v>0</v>
      </c>
      <c r="F77" s="41">
        <f t="shared" si="61"/>
        <v>0</v>
      </c>
      <c r="G77" s="41">
        <f t="shared" si="61"/>
        <v>0</v>
      </c>
      <c r="H77" s="41">
        <f t="shared" si="61"/>
        <v>0</v>
      </c>
      <c r="I77" s="41">
        <f t="shared" si="61"/>
        <v>0</v>
      </c>
      <c r="J77" s="41">
        <f t="shared" si="61"/>
        <v>0</v>
      </c>
      <c r="K77" s="41">
        <f t="shared" si="61"/>
        <v>0</v>
      </c>
      <c r="L77" s="41">
        <f t="shared" si="61"/>
        <v>0</v>
      </c>
      <c r="M77" s="41">
        <f t="shared" si="61"/>
        <v>0</v>
      </c>
      <c r="N77" s="41">
        <f t="shared" si="61"/>
        <v>0</v>
      </c>
      <c r="O77" s="140">
        <f t="shared" si="59"/>
        <v>0</v>
      </c>
      <c r="P77" s="109">
        <v>0</v>
      </c>
      <c r="Q77" s="108">
        <f t="shared" si="60"/>
        <v>0</v>
      </c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</row>
    <row r="78" spans="1:74" s="110" customFormat="1" ht="57" x14ac:dyDescent="0.2">
      <c r="A78" s="76" t="s">
        <v>464</v>
      </c>
      <c r="B78" s="77" t="s">
        <v>150</v>
      </c>
      <c r="C78" s="41">
        <f t="shared" ref="C78:N78" si="62">+C73*0.881118%</f>
        <v>0</v>
      </c>
      <c r="D78" s="41">
        <f t="shared" si="62"/>
        <v>0</v>
      </c>
      <c r="E78" s="41">
        <f t="shared" si="62"/>
        <v>0</v>
      </c>
      <c r="F78" s="41">
        <f t="shared" si="62"/>
        <v>0</v>
      </c>
      <c r="G78" s="41">
        <f t="shared" si="62"/>
        <v>0</v>
      </c>
      <c r="H78" s="41">
        <f t="shared" si="62"/>
        <v>0</v>
      </c>
      <c r="I78" s="41">
        <f t="shared" si="62"/>
        <v>0</v>
      </c>
      <c r="J78" s="41">
        <f t="shared" si="62"/>
        <v>0</v>
      </c>
      <c r="K78" s="41">
        <f t="shared" si="62"/>
        <v>0</v>
      </c>
      <c r="L78" s="41">
        <f t="shared" si="62"/>
        <v>0</v>
      </c>
      <c r="M78" s="41">
        <f t="shared" si="62"/>
        <v>0</v>
      </c>
      <c r="N78" s="41">
        <f t="shared" si="62"/>
        <v>0</v>
      </c>
      <c r="O78" s="140">
        <f t="shared" si="59"/>
        <v>0</v>
      </c>
      <c r="P78" s="109">
        <v>0</v>
      </c>
      <c r="Q78" s="108">
        <f t="shared" si="60"/>
        <v>0</v>
      </c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/>
    </row>
    <row r="79" spans="1:74" s="110" customFormat="1" ht="47.25" x14ac:dyDescent="0.2">
      <c r="A79" s="81" t="s">
        <v>465</v>
      </c>
      <c r="B79" s="79" t="s">
        <v>466</v>
      </c>
      <c r="C79" s="217">
        <f>+C80+C87</f>
        <v>0</v>
      </c>
      <c r="D79" s="217">
        <f t="shared" ref="D79:N79" si="63">+D80+D87</f>
        <v>0</v>
      </c>
      <c r="E79" s="217">
        <f t="shared" si="63"/>
        <v>0</v>
      </c>
      <c r="F79" s="217">
        <f t="shared" si="63"/>
        <v>0</v>
      </c>
      <c r="G79" s="217">
        <f t="shared" si="63"/>
        <v>0</v>
      </c>
      <c r="H79" s="217">
        <f t="shared" si="63"/>
        <v>0</v>
      </c>
      <c r="I79" s="217">
        <f t="shared" si="63"/>
        <v>0</v>
      </c>
      <c r="J79" s="217">
        <f t="shared" si="63"/>
        <v>0</v>
      </c>
      <c r="K79" s="217">
        <f t="shared" si="63"/>
        <v>0</v>
      </c>
      <c r="L79" s="217">
        <f t="shared" si="63"/>
        <v>0</v>
      </c>
      <c r="M79" s="217">
        <f t="shared" si="63"/>
        <v>0</v>
      </c>
      <c r="N79" s="217">
        <f t="shared" si="63"/>
        <v>0</v>
      </c>
      <c r="O79" s="140">
        <f t="shared" si="59"/>
        <v>0</v>
      </c>
      <c r="P79" s="109">
        <v>0</v>
      </c>
      <c r="Q79" s="108">
        <f t="shared" si="60"/>
        <v>0</v>
      </c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/>
    </row>
    <row r="80" spans="1:74" s="110" customFormat="1" ht="47.25" x14ac:dyDescent="0.2">
      <c r="A80" s="81" t="s">
        <v>953</v>
      </c>
      <c r="B80" s="79" t="s">
        <v>954</v>
      </c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140">
        <f t="shared" si="59"/>
        <v>0</v>
      </c>
      <c r="P80" s="109">
        <v>0</v>
      </c>
      <c r="Q80" s="108">
        <f t="shared" si="60"/>
        <v>0</v>
      </c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109"/>
      <c r="BQ80" s="109"/>
      <c r="BR80" s="109"/>
      <c r="BS80" s="109"/>
      <c r="BT80" s="109"/>
      <c r="BU80" s="109"/>
      <c r="BV80" s="109"/>
    </row>
    <row r="81" spans="1:74" s="87" customFormat="1" ht="42.75" x14ac:dyDescent="0.2">
      <c r="A81" s="76" t="s">
        <v>955</v>
      </c>
      <c r="B81" s="77" t="s">
        <v>956</v>
      </c>
      <c r="C81" s="41">
        <f>+C80*81.390042%</f>
        <v>0</v>
      </c>
      <c r="D81" s="41">
        <f t="shared" ref="D81:N81" si="64">+D80*81.390042%</f>
        <v>0</v>
      </c>
      <c r="E81" s="41">
        <f t="shared" si="64"/>
        <v>0</v>
      </c>
      <c r="F81" s="41">
        <f t="shared" si="64"/>
        <v>0</v>
      </c>
      <c r="G81" s="41">
        <f t="shared" si="64"/>
        <v>0</v>
      </c>
      <c r="H81" s="41">
        <f t="shared" si="64"/>
        <v>0</v>
      </c>
      <c r="I81" s="41">
        <f t="shared" si="64"/>
        <v>0</v>
      </c>
      <c r="J81" s="41">
        <f t="shared" si="64"/>
        <v>0</v>
      </c>
      <c r="K81" s="41">
        <f t="shared" si="64"/>
        <v>0</v>
      </c>
      <c r="L81" s="41">
        <f t="shared" si="64"/>
        <v>0</v>
      </c>
      <c r="M81" s="41">
        <f t="shared" si="64"/>
        <v>0</v>
      </c>
      <c r="N81" s="41">
        <f t="shared" si="64"/>
        <v>0</v>
      </c>
      <c r="O81" s="140">
        <f t="shared" si="59"/>
        <v>0</v>
      </c>
      <c r="P81" s="109">
        <v>0</v>
      </c>
      <c r="Q81" s="108">
        <f t="shared" si="60"/>
        <v>0</v>
      </c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</row>
    <row r="82" spans="1:74" s="87" customFormat="1" ht="42.75" x14ac:dyDescent="0.2">
      <c r="A82" s="76" t="s">
        <v>955</v>
      </c>
      <c r="B82" s="77" t="s">
        <v>956</v>
      </c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140">
        <f t="shared" si="59"/>
        <v>0</v>
      </c>
      <c r="P82" s="109">
        <v>0</v>
      </c>
      <c r="Q82" s="108">
        <f t="shared" si="60"/>
        <v>0</v>
      </c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</row>
    <row r="83" spans="1:74" s="87" customFormat="1" ht="28.5" x14ac:dyDescent="0.2">
      <c r="A83" s="76" t="s">
        <v>957</v>
      </c>
      <c r="B83" s="77" t="s">
        <v>958</v>
      </c>
      <c r="C83" s="41">
        <f t="shared" ref="C83:N83" si="65">+C80*0.1%</f>
        <v>0</v>
      </c>
      <c r="D83" s="41">
        <f t="shared" si="65"/>
        <v>0</v>
      </c>
      <c r="E83" s="41">
        <f t="shared" si="65"/>
        <v>0</v>
      </c>
      <c r="F83" s="41">
        <f t="shared" si="65"/>
        <v>0</v>
      </c>
      <c r="G83" s="41">
        <f t="shared" si="65"/>
        <v>0</v>
      </c>
      <c r="H83" s="41">
        <f t="shared" si="65"/>
        <v>0</v>
      </c>
      <c r="I83" s="41">
        <f t="shared" si="65"/>
        <v>0</v>
      </c>
      <c r="J83" s="41">
        <f t="shared" si="65"/>
        <v>0</v>
      </c>
      <c r="K83" s="41">
        <f t="shared" si="65"/>
        <v>0</v>
      </c>
      <c r="L83" s="41">
        <f t="shared" si="65"/>
        <v>0</v>
      </c>
      <c r="M83" s="41">
        <f t="shared" si="65"/>
        <v>0</v>
      </c>
      <c r="N83" s="41">
        <f t="shared" si="65"/>
        <v>0</v>
      </c>
      <c r="O83" s="140">
        <f t="shared" si="59"/>
        <v>0</v>
      </c>
      <c r="P83" s="109">
        <v>0</v>
      </c>
      <c r="Q83" s="108">
        <f t="shared" si="60"/>
        <v>0</v>
      </c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</row>
    <row r="84" spans="1:74" s="87" customFormat="1" ht="28.5" x14ac:dyDescent="0.2">
      <c r="A84" s="76" t="s">
        <v>959</v>
      </c>
      <c r="B84" s="77" t="s">
        <v>960</v>
      </c>
      <c r="C84" s="41">
        <f t="shared" ref="C84:N84" si="66">+C80*9.99%</f>
        <v>0</v>
      </c>
      <c r="D84" s="41">
        <f t="shared" si="66"/>
        <v>0</v>
      </c>
      <c r="E84" s="41">
        <f t="shared" si="66"/>
        <v>0</v>
      </c>
      <c r="F84" s="41">
        <f t="shared" si="66"/>
        <v>0</v>
      </c>
      <c r="G84" s="41">
        <f t="shared" si="66"/>
        <v>0</v>
      </c>
      <c r="H84" s="41">
        <f t="shared" si="66"/>
        <v>0</v>
      </c>
      <c r="I84" s="41">
        <f t="shared" si="66"/>
        <v>0</v>
      </c>
      <c r="J84" s="41">
        <f t="shared" si="66"/>
        <v>0</v>
      </c>
      <c r="K84" s="41">
        <f t="shared" si="66"/>
        <v>0</v>
      </c>
      <c r="L84" s="41">
        <f t="shared" si="66"/>
        <v>0</v>
      </c>
      <c r="M84" s="41">
        <f t="shared" si="66"/>
        <v>0</v>
      </c>
      <c r="N84" s="41">
        <f t="shared" si="66"/>
        <v>0</v>
      </c>
      <c r="O84" s="140">
        <f t="shared" si="59"/>
        <v>0</v>
      </c>
      <c r="P84" s="109">
        <v>0</v>
      </c>
      <c r="Q84" s="108">
        <f t="shared" si="60"/>
        <v>0</v>
      </c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/>
    </row>
    <row r="85" spans="1:74" s="87" customFormat="1" ht="28.5" x14ac:dyDescent="0.2">
      <c r="A85" s="76" t="s">
        <v>961</v>
      </c>
      <c r="B85" s="77" t="s">
        <v>962</v>
      </c>
      <c r="C85" s="41">
        <f t="shared" ref="C85:N85" si="67">+C80*1.7982%</f>
        <v>0</v>
      </c>
      <c r="D85" s="41">
        <f t="shared" si="67"/>
        <v>0</v>
      </c>
      <c r="E85" s="41">
        <f t="shared" si="67"/>
        <v>0</v>
      </c>
      <c r="F85" s="41">
        <f t="shared" si="67"/>
        <v>0</v>
      </c>
      <c r="G85" s="41">
        <f t="shared" si="67"/>
        <v>0</v>
      </c>
      <c r="H85" s="41">
        <f t="shared" si="67"/>
        <v>0</v>
      </c>
      <c r="I85" s="41">
        <f t="shared" si="67"/>
        <v>0</v>
      </c>
      <c r="J85" s="41">
        <f t="shared" si="67"/>
        <v>0</v>
      </c>
      <c r="K85" s="41">
        <f t="shared" si="67"/>
        <v>0</v>
      </c>
      <c r="L85" s="41">
        <f t="shared" si="67"/>
        <v>0</v>
      </c>
      <c r="M85" s="41">
        <f t="shared" si="67"/>
        <v>0</v>
      </c>
      <c r="N85" s="41">
        <f t="shared" si="67"/>
        <v>0</v>
      </c>
      <c r="O85" s="140">
        <f t="shared" si="59"/>
        <v>0</v>
      </c>
      <c r="P85" s="109">
        <v>0</v>
      </c>
      <c r="Q85" s="108">
        <f t="shared" si="60"/>
        <v>0</v>
      </c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</row>
    <row r="86" spans="1:74" s="87" customFormat="1" ht="57" x14ac:dyDescent="0.2">
      <c r="A86" s="76" t="s">
        <v>963</v>
      </c>
      <c r="B86" s="77" t="s">
        <v>964</v>
      </c>
      <c r="C86" s="41">
        <f t="shared" ref="C86:N86" si="68">+C80*0.881118%</f>
        <v>0</v>
      </c>
      <c r="D86" s="41">
        <f t="shared" si="68"/>
        <v>0</v>
      </c>
      <c r="E86" s="41">
        <f t="shared" si="68"/>
        <v>0</v>
      </c>
      <c r="F86" s="41">
        <f t="shared" si="68"/>
        <v>0</v>
      </c>
      <c r="G86" s="41">
        <f t="shared" si="68"/>
        <v>0</v>
      </c>
      <c r="H86" s="41">
        <f t="shared" si="68"/>
        <v>0</v>
      </c>
      <c r="I86" s="41">
        <f t="shared" si="68"/>
        <v>0</v>
      </c>
      <c r="J86" s="41">
        <f t="shared" si="68"/>
        <v>0</v>
      </c>
      <c r="K86" s="41">
        <f t="shared" si="68"/>
        <v>0</v>
      </c>
      <c r="L86" s="41">
        <f t="shared" si="68"/>
        <v>0</v>
      </c>
      <c r="M86" s="41">
        <f t="shared" si="68"/>
        <v>0</v>
      </c>
      <c r="N86" s="41">
        <f t="shared" si="68"/>
        <v>0</v>
      </c>
      <c r="O86" s="140">
        <f t="shared" si="59"/>
        <v>0</v>
      </c>
      <c r="P86" s="86">
        <v>0</v>
      </c>
      <c r="Q86" s="108">
        <f t="shared" si="60"/>
        <v>0</v>
      </c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86"/>
      <c r="BB86" s="86"/>
      <c r="BC86" s="86"/>
      <c r="BD86" s="86"/>
      <c r="BE86" s="86"/>
      <c r="BF86" s="86"/>
      <c r="BG86" s="86"/>
      <c r="BH86" s="86"/>
      <c r="BI86" s="86"/>
      <c r="BJ86" s="86"/>
      <c r="BK86" s="86"/>
      <c r="BL86" s="86"/>
      <c r="BM86" s="86"/>
      <c r="BN86" s="86"/>
      <c r="BO86" s="86"/>
      <c r="BP86" s="86"/>
      <c r="BQ86" s="86"/>
      <c r="BR86" s="86"/>
      <c r="BS86" s="86"/>
      <c r="BT86" s="86"/>
      <c r="BU86" s="86"/>
      <c r="BV86" s="86"/>
    </row>
    <row r="87" spans="1:74" s="110" customFormat="1" ht="47.25" x14ac:dyDescent="0.2">
      <c r="A87" s="81" t="s">
        <v>467</v>
      </c>
      <c r="B87" s="79" t="s">
        <v>468</v>
      </c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0">
        <f t="shared" si="59"/>
        <v>0</v>
      </c>
      <c r="P87" s="109">
        <v>0</v>
      </c>
      <c r="Q87" s="108">
        <f t="shared" si="60"/>
        <v>0</v>
      </c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  <c r="BU87" s="109"/>
      <c r="BV87" s="109"/>
    </row>
    <row r="88" spans="1:74" s="87" customFormat="1" ht="42.75" x14ac:dyDescent="0.2">
      <c r="A88" s="76" t="s">
        <v>469</v>
      </c>
      <c r="B88" s="77" t="s">
        <v>151</v>
      </c>
      <c r="C88" s="41">
        <f t="shared" ref="C88:N88" si="69">+C87*87.230682%</f>
        <v>0</v>
      </c>
      <c r="D88" s="41">
        <f t="shared" si="69"/>
        <v>0</v>
      </c>
      <c r="E88" s="41">
        <f t="shared" si="69"/>
        <v>0</v>
      </c>
      <c r="F88" s="41">
        <f t="shared" si="69"/>
        <v>0</v>
      </c>
      <c r="G88" s="41">
        <f t="shared" si="69"/>
        <v>0</v>
      </c>
      <c r="H88" s="41">
        <f t="shared" si="69"/>
        <v>0</v>
      </c>
      <c r="I88" s="41">
        <f t="shared" si="69"/>
        <v>0</v>
      </c>
      <c r="J88" s="41">
        <f t="shared" si="69"/>
        <v>0</v>
      </c>
      <c r="K88" s="41">
        <f t="shared" si="69"/>
        <v>0</v>
      </c>
      <c r="L88" s="41">
        <f t="shared" si="69"/>
        <v>0</v>
      </c>
      <c r="M88" s="41">
        <f t="shared" si="69"/>
        <v>0</v>
      </c>
      <c r="N88" s="41">
        <f t="shared" si="69"/>
        <v>0</v>
      </c>
      <c r="O88" s="140">
        <f t="shared" si="59"/>
        <v>0</v>
      </c>
      <c r="P88" s="109">
        <v>0</v>
      </c>
      <c r="Q88" s="108">
        <f t="shared" si="60"/>
        <v>0</v>
      </c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  <c r="BM88" s="86"/>
      <c r="BN88" s="86"/>
      <c r="BO88" s="86"/>
      <c r="BP88" s="86"/>
      <c r="BQ88" s="86"/>
      <c r="BR88" s="86"/>
      <c r="BS88" s="86"/>
      <c r="BT88" s="86"/>
      <c r="BU88" s="86"/>
      <c r="BV88" s="86"/>
    </row>
    <row r="89" spans="1:74" s="87" customFormat="1" ht="28.5" x14ac:dyDescent="0.2">
      <c r="A89" s="76" t="s">
        <v>470</v>
      </c>
      <c r="B89" s="77" t="s">
        <v>152</v>
      </c>
      <c r="C89" s="41">
        <f t="shared" ref="C89:N89" si="70">+C87*0.1%</f>
        <v>0</v>
      </c>
      <c r="D89" s="41">
        <f t="shared" si="70"/>
        <v>0</v>
      </c>
      <c r="E89" s="41">
        <f t="shared" si="70"/>
        <v>0</v>
      </c>
      <c r="F89" s="41">
        <f t="shared" si="70"/>
        <v>0</v>
      </c>
      <c r="G89" s="41">
        <f t="shared" si="70"/>
        <v>0</v>
      </c>
      <c r="H89" s="41">
        <f t="shared" si="70"/>
        <v>0</v>
      </c>
      <c r="I89" s="41">
        <f t="shared" si="70"/>
        <v>0</v>
      </c>
      <c r="J89" s="41">
        <f t="shared" si="70"/>
        <v>0</v>
      </c>
      <c r="K89" s="41">
        <f t="shared" si="70"/>
        <v>0</v>
      </c>
      <c r="L89" s="41">
        <f t="shared" si="70"/>
        <v>0</v>
      </c>
      <c r="M89" s="41">
        <f t="shared" si="70"/>
        <v>0</v>
      </c>
      <c r="N89" s="41">
        <f t="shared" si="70"/>
        <v>0</v>
      </c>
      <c r="O89" s="140">
        <f t="shared" si="59"/>
        <v>0</v>
      </c>
      <c r="P89" s="109">
        <v>0</v>
      </c>
      <c r="Q89" s="108">
        <f t="shared" si="60"/>
        <v>0</v>
      </c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86"/>
      <c r="BJ89" s="86"/>
      <c r="BK89" s="86"/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</row>
    <row r="90" spans="1:74" s="87" customFormat="1" ht="28.5" x14ac:dyDescent="0.2">
      <c r="A90" s="76" t="s">
        <v>471</v>
      </c>
      <c r="B90" s="154" t="s">
        <v>153</v>
      </c>
      <c r="C90" s="41">
        <f t="shared" ref="C90:N90" si="71">+C87*9.99%</f>
        <v>0</v>
      </c>
      <c r="D90" s="41">
        <f t="shared" si="71"/>
        <v>0</v>
      </c>
      <c r="E90" s="41">
        <f t="shared" si="71"/>
        <v>0</v>
      </c>
      <c r="F90" s="41">
        <f t="shared" si="71"/>
        <v>0</v>
      </c>
      <c r="G90" s="41">
        <f t="shared" si="71"/>
        <v>0</v>
      </c>
      <c r="H90" s="41">
        <f t="shared" si="71"/>
        <v>0</v>
      </c>
      <c r="I90" s="41">
        <f t="shared" si="71"/>
        <v>0</v>
      </c>
      <c r="J90" s="41">
        <f t="shared" si="71"/>
        <v>0</v>
      </c>
      <c r="K90" s="41">
        <f t="shared" si="71"/>
        <v>0</v>
      </c>
      <c r="L90" s="41">
        <f t="shared" si="71"/>
        <v>0</v>
      </c>
      <c r="M90" s="41">
        <f t="shared" si="71"/>
        <v>0</v>
      </c>
      <c r="N90" s="41">
        <f t="shared" si="71"/>
        <v>0</v>
      </c>
      <c r="O90" s="140">
        <f t="shared" si="59"/>
        <v>0</v>
      </c>
      <c r="P90" s="109">
        <v>0</v>
      </c>
      <c r="Q90" s="108">
        <f t="shared" si="60"/>
        <v>0</v>
      </c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  <c r="BM90" s="86"/>
      <c r="BN90" s="86"/>
      <c r="BO90" s="86"/>
      <c r="BP90" s="86"/>
      <c r="BQ90" s="86"/>
      <c r="BR90" s="86"/>
      <c r="BS90" s="86"/>
      <c r="BT90" s="86"/>
      <c r="BU90" s="86"/>
      <c r="BV90" s="86"/>
    </row>
    <row r="91" spans="1:74" s="87" customFormat="1" ht="28.5" x14ac:dyDescent="0.2">
      <c r="A91" s="76" t="s">
        <v>472</v>
      </c>
      <c r="B91" s="77" t="s">
        <v>154</v>
      </c>
      <c r="C91" s="41">
        <f t="shared" ref="C91:N91" si="72">+C87*1.7982%</f>
        <v>0</v>
      </c>
      <c r="D91" s="41">
        <f t="shared" si="72"/>
        <v>0</v>
      </c>
      <c r="E91" s="41">
        <f t="shared" si="72"/>
        <v>0</v>
      </c>
      <c r="F91" s="41">
        <f t="shared" si="72"/>
        <v>0</v>
      </c>
      <c r="G91" s="41">
        <f t="shared" si="72"/>
        <v>0</v>
      </c>
      <c r="H91" s="41">
        <f t="shared" si="72"/>
        <v>0</v>
      </c>
      <c r="I91" s="41">
        <f t="shared" si="72"/>
        <v>0</v>
      </c>
      <c r="J91" s="41">
        <f t="shared" si="72"/>
        <v>0</v>
      </c>
      <c r="K91" s="41">
        <f t="shared" si="72"/>
        <v>0</v>
      </c>
      <c r="L91" s="41">
        <f t="shared" si="72"/>
        <v>0</v>
      </c>
      <c r="M91" s="41">
        <f t="shared" si="72"/>
        <v>0</v>
      </c>
      <c r="N91" s="41">
        <f t="shared" si="72"/>
        <v>0</v>
      </c>
      <c r="O91" s="140">
        <f t="shared" si="59"/>
        <v>0</v>
      </c>
      <c r="P91" s="109">
        <v>0</v>
      </c>
      <c r="Q91" s="108">
        <f t="shared" si="60"/>
        <v>0</v>
      </c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86"/>
      <c r="BI91" s="86"/>
      <c r="BJ91" s="86"/>
      <c r="BK91" s="86"/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</row>
    <row r="92" spans="1:74" s="110" customFormat="1" ht="57" x14ac:dyDescent="0.2">
      <c r="A92" s="76" t="s">
        <v>473</v>
      </c>
      <c r="B92" s="77" t="s">
        <v>155</v>
      </c>
      <c r="C92" s="41">
        <f t="shared" ref="C92:N92" si="73">+C87*0.881118%</f>
        <v>0</v>
      </c>
      <c r="D92" s="41">
        <f t="shared" si="73"/>
        <v>0</v>
      </c>
      <c r="E92" s="41">
        <f t="shared" si="73"/>
        <v>0</v>
      </c>
      <c r="F92" s="41">
        <f t="shared" si="73"/>
        <v>0</v>
      </c>
      <c r="G92" s="41">
        <f t="shared" si="73"/>
        <v>0</v>
      </c>
      <c r="H92" s="41">
        <f t="shared" si="73"/>
        <v>0</v>
      </c>
      <c r="I92" s="41">
        <f t="shared" si="73"/>
        <v>0</v>
      </c>
      <c r="J92" s="41">
        <f t="shared" si="73"/>
        <v>0</v>
      </c>
      <c r="K92" s="41">
        <f t="shared" si="73"/>
        <v>0</v>
      </c>
      <c r="L92" s="41">
        <f t="shared" si="73"/>
        <v>0</v>
      </c>
      <c r="M92" s="41">
        <f t="shared" si="73"/>
        <v>0</v>
      </c>
      <c r="N92" s="41">
        <f t="shared" si="73"/>
        <v>0</v>
      </c>
      <c r="O92" s="140">
        <f t="shared" si="59"/>
        <v>0</v>
      </c>
      <c r="P92" s="109">
        <v>0</v>
      </c>
      <c r="Q92" s="108">
        <f t="shared" si="60"/>
        <v>0</v>
      </c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  <c r="BS92" s="109"/>
      <c r="BT92" s="109"/>
      <c r="BU92" s="109"/>
      <c r="BV92" s="109"/>
    </row>
    <row r="93" spans="1:74" s="110" customFormat="1" ht="31.5" x14ac:dyDescent="0.2">
      <c r="A93" s="81" t="s">
        <v>474</v>
      </c>
      <c r="B93" s="79" t="s">
        <v>475</v>
      </c>
      <c r="C93" s="217">
        <f t="shared" ref="C93:N93" si="74">+C94</f>
        <v>0</v>
      </c>
      <c r="D93" s="217">
        <f t="shared" si="74"/>
        <v>0</v>
      </c>
      <c r="E93" s="217">
        <f t="shared" si="74"/>
        <v>0</v>
      </c>
      <c r="F93" s="217">
        <f t="shared" si="74"/>
        <v>0</v>
      </c>
      <c r="G93" s="217">
        <f t="shared" si="74"/>
        <v>0</v>
      </c>
      <c r="H93" s="217">
        <f t="shared" si="74"/>
        <v>0</v>
      </c>
      <c r="I93" s="217">
        <f t="shared" si="74"/>
        <v>0</v>
      </c>
      <c r="J93" s="217">
        <f t="shared" si="74"/>
        <v>0</v>
      </c>
      <c r="K93" s="217">
        <f t="shared" si="74"/>
        <v>0</v>
      </c>
      <c r="L93" s="217">
        <f t="shared" si="74"/>
        <v>0</v>
      </c>
      <c r="M93" s="217">
        <f t="shared" si="74"/>
        <v>0</v>
      </c>
      <c r="N93" s="217">
        <f t="shared" si="74"/>
        <v>0</v>
      </c>
      <c r="O93" s="140">
        <f t="shared" si="59"/>
        <v>0</v>
      </c>
      <c r="P93" s="109">
        <v>0</v>
      </c>
      <c r="Q93" s="108">
        <f t="shared" si="60"/>
        <v>0</v>
      </c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109"/>
      <c r="BR93" s="109"/>
      <c r="BS93" s="109"/>
      <c r="BT93" s="109"/>
      <c r="BU93" s="109"/>
      <c r="BV93" s="109"/>
    </row>
    <row r="94" spans="1:74" s="110" customFormat="1" ht="47.25" x14ac:dyDescent="0.2">
      <c r="A94" s="81" t="s">
        <v>476</v>
      </c>
      <c r="B94" s="79" t="s">
        <v>477</v>
      </c>
      <c r="C94" s="217">
        <f t="shared" ref="C94:N94" si="75">+C95+C102</f>
        <v>0</v>
      </c>
      <c r="D94" s="217">
        <f t="shared" si="75"/>
        <v>0</v>
      </c>
      <c r="E94" s="217">
        <f t="shared" si="75"/>
        <v>0</v>
      </c>
      <c r="F94" s="217">
        <f t="shared" si="75"/>
        <v>0</v>
      </c>
      <c r="G94" s="217">
        <f t="shared" si="75"/>
        <v>0</v>
      </c>
      <c r="H94" s="217">
        <f t="shared" si="75"/>
        <v>0</v>
      </c>
      <c r="I94" s="217">
        <f t="shared" si="75"/>
        <v>0</v>
      </c>
      <c r="J94" s="217">
        <f t="shared" si="75"/>
        <v>0</v>
      </c>
      <c r="K94" s="217">
        <f t="shared" si="75"/>
        <v>0</v>
      </c>
      <c r="L94" s="217">
        <f t="shared" si="75"/>
        <v>0</v>
      </c>
      <c r="M94" s="217">
        <f t="shared" si="75"/>
        <v>0</v>
      </c>
      <c r="N94" s="217">
        <f t="shared" si="75"/>
        <v>0</v>
      </c>
      <c r="O94" s="140">
        <f t="shared" si="59"/>
        <v>0</v>
      </c>
      <c r="P94" s="109">
        <v>0</v>
      </c>
      <c r="Q94" s="108">
        <f t="shared" si="60"/>
        <v>0</v>
      </c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  <c r="BO94" s="109"/>
      <c r="BP94" s="109"/>
      <c r="BQ94" s="109"/>
      <c r="BR94" s="109"/>
      <c r="BS94" s="109"/>
      <c r="BT94" s="109"/>
      <c r="BU94" s="109"/>
      <c r="BV94" s="109"/>
    </row>
    <row r="95" spans="1:74" s="87" customFormat="1" ht="63" x14ac:dyDescent="0.2">
      <c r="A95" s="81" t="s">
        <v>478</v>
      </c>
      <c r="B95" s="79" t="s">
        <v>479</v>
      </c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140">
        <f t="shared" si="59"/>
        <v>0</v>
      </c>
      <c r="P95" s="86">
        <v>0</v>
      </c>
      <c r="Q95" s="108">
        <f t="shared" si="60"/>
        <v>0</v>
      </c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</row>
    <row r="96" spans="1:74" s="87" customFormat="1" ht="42.75" x14ac:dyDescent="0.2">
      <c r="A96" s="76" t="s">
        <v>480</v>
      </c>
      <c r="B96" s="77" t="s">
        <v>156</v>
      </c>
      <c r="C96" s="41">
        <f t="shared" ref="C96:N96" si="76">+C95*82.8691479%</f>
        <v>0</v>
      </c>
      <c r="D96" s="41">
        <f t="shared" si="76"/>
        <v>0</v>
      </c>
      <c r="E96" s="41">
        <f t="shared" si="76"/>
        <v>0</v>
      </c>
      <c r="F96" s="41">
        <f t="shared" si="76"/>
        <v>0</v>
      </c>
      <c r="G96" s="41">
        <f t="shared" si="76"/>
        <v>0</v>
      </c>
      <c r="H96" s="41">
        <f t="shared" si="76"/>
        <v>0</v>
      </c>
      <c r="I96" s="41">
        <f t="shared" si="76"/>
        <v>0</v>
      </c>
      <c r="J96" s="41">
        <f t="shared" si="76"/>
        <v>0</v>
      </c>
      <c r="K96" s="41">
        <f t="shared" si="76"/>
        <v>0</v>
      </c>
      <c r="L96" s="41">
        <f t="shared" si="76"/>
        <v>0</v>
      </c>
      <c r="M96" s="41">
        <f t="shared" si="76"/>
        <v>0</v>
      </c>
      <c r="N96" s="41">
        <f t="shared" si="76"/>
        <v>0</v>
      </c>
      <c r="O96" s="140">
        <f t="shared" si="59"/>
        <v>0</v>
      </c>
      <c r="P96" s="86">
        <v>0</v>
      </c>
      <c r="Q96" s="108">
        <f t="shared" si="60"/>
        <v>0</v>
      </c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</row>
    <row r="97" spans="1:74" s="110" customFormat="1" ht="42.75" x14ac:dyDescent="0.2">
      <c r="A97" s="76" t="s">
        <v>481</v>
      </c>
      <c r="B97" s="77" t="s">
        <v>157</v>
      </c>
      <c r="C97" s="41">
        <f t="shared" ref="C97:N97" si="77">+C95*0.095%</f>
        <v>0</v>
      </c>
      <c r="D97" s="41">
        <f t="shared" si="77"/>
        <v>0</v>
      </c>
      <c r="E97" s="41">
        <f t="shared" si="77"/>
        <v>0</v>
      </c>
      <c r="F97" s="41">
        <f t="shared" si="77"/>
        <v>0</v>
      </c>
      <c r="G97" s="41">
        <f t="shared" si="77"/>
        <v>0</v>
      </c>
      <c r="H97" s="41">
        <f t="shared" si="77"/>
        <v>0</v>
      </c>
      <c r="I97" s="41">
        <f t="shared" si="77"/>
        <v>0</v>
      </c>
      <c r="J97" s="41">
        <f t="shared" si="77"/>
        <v>0</v>
      </c>
      <c r="K97" s="41">
        <f t="shared" si="77"/>
        <v>0</v>
      </c>
      <c r="L97" s="41">
        <f t="shared" si="77"/>
        <v>0</v>
      </c>
      <c r="M97" s="41">
        <f t="shared" si="77"/>
        <v>0</v>
      </c>
      <c r="N97" s="41">
        <f t="shared" si="77"/>
        <v>0</v>
      </c>
      <c r="O97" s="140">
        <f t="shared" si="59"/>
        <v>0</v>
      </c>
      <c r="P97" s="109">
        <v>0</v>
      </c>
      <c r="Q97" s="108">
        <f t="shared" si="60"/>
        <v>0</v>
      </c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</row>
    <row r="98" spans="1:74" s="110" customFormat="1" ht="42.75" x14ac:dyDescent="0.2">
      <c r="A98" s="76" t="s">
        <v>482</v>
      </c>
      <c r="B98" s="77" t="s">
        <v>158</v>
      </c>
      <c r="C98" s="41">
        <f t="shared" ref="C98:N98" si="78">+C95*5%</f>
        <v>0</v>
      </c>
      <c r="D98" s="41">
        <f t="shared" si="78"/>
        <v>0</v>
      </c>
      <c r="E98" s="41">
        <f t="shared" si="78"/>
        <v>0</v>
      </c>
      <c r="F98" s="41">
        <f t="shared" si="78"/>
        <v>0</v>
      </c>
      <c r="G98" s="41">
        <f t="shared" si="78"/>
        <v>0</v>
      </c>
      <c r="H98" s="41">
        <f t="shared" si="78"/>
        <v>0</v>
      </c>
      <c r="I98" s="41">
        <f t="shared" si="78"/>
        <v>0</v>
      </c>
      <c r="J98" s="41">
        <f t="shared" si="78"/>
        <v>0</v>
      </c>
      <c r="K98" s="41">
        <f t="shared" si="78"/>
        <v>0</v>
      </c>
      <c r="L98" s="41">
        <f t="shared" si="78"/>
        <v>0</v>
      </c>
      <c r="M98" s="41">
        <f t="shared" si="78"/>
        <v>0</v>
      </c>
      <c r="N98" s="41">
        <f t="shared" si="78"/>
        <v>0</v>
      </c>
      <c r="O98" s="140">
        <f t="shared" si="59"/>
        <v>0</v>
      </c>
      <c r="P98" s="109">
        <v>0</v>
      </c>
      <c r="Q98" s="108">
        <f>+P98-O98</f>
        <v>0</v>
      </c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</row>
    <row r="99" spans="1:74" s="110" customFormat="1" ht="28.5" x14ac:dyDescent="0.2">
      <c r="A99" s="76" t="s">
        <v>483</v>
      </c>
      <c r="B99" s="154" t="s">
        <v>159</v>
      </c>
      <c r="C99" s="41">
        <f t="shared" ref="C99:N99" si="79">+C95*9.4905%</f>
        <v>0</v>
      </c>
      <c r="D99" s="41">
        <f t="shared" si="79"/>
        <v>0</v>
      </c>
      <c r="E99" s="41">
        <f t="shared" si="79"/>
        <v>0</v>
      </c>
      <c r="F99" s="41">
        <f t="shared" si="79"/>
        <v>0</v>
      </c>
      <c r="G99" s="41">
        <f t="shared" si="79"/>
        <v>0</v>
      </c>
      <c r="H99" s="41">
        <f t="shared" si="79"/>
        <v>0</v>
      </c>
      <c r="I99" s="41">
        <f t="shared" si="79"/>
        <v>0</v>
      </c>
      <c r="J99" s="41">
        <f t="shared" si="79"/>
        <v>0</v>
      </c>
      <c r="K99" s="41">
        <f t="shared" si="79"/>
        <v>0</v>
      </c>
      <c r="L99" s="41">
        <f t="shared" si="79"/>
        <v>0</v>
      </c>
      <c r="M99" s="41">
        <f t="shared" si="79"/>
        <v>0</v>
      </c>
      <c r="N99" s="41">
        <f t="shared" si="79"/>
        <v>0</v>
      </c>
      <c r="O99" s="140">
        <f t="shared" si="59"/>
        <v>0</v>
      </c>
      <c r="P99" s="109">
        <v>0</v>
      </c>
      <c r="Q99" s="108">
        <f t="shared" si="60"/>
        <v>0</v>
      </c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  <c r="BU99" s="109"/>
      <c r="BV99" s="109"/>
    </row>
    <row r="100" spans="1:74" s="110" customFormat="1" ht="42.75" x14ac:dyDescent="0.2">
      <c r="A100" s="76" t="s">
        <v>484</v>
      </c>
      <c r="B100" s="77" t="s">
        <v>160</v>
      </c>
      <c r="C100" s="41">
        <f t="shared" ref="C100:N100" si="80">+C95*1.70829%</f>
        <v>0</v>
      </c>
      <c r="D100" s="41">
        <f t="shared" si="80"/>
        <v>0</v>
      </c>
      <c r="E100" s="41">
        <f t="shared" si="80"/>
        <v>0</v>
      </c>
      <c r="F100" s="41">
        <f t="shared" si="80"/>
        <v>0</v>
      </c>
      <c r="G100" s="41">
        <f t="shared" si="80"/>
        <v>0</v>
      </c>
      <c r="H100" s="41">
        <f t="shared" si="80"/>
        <v>0</v>
      </c>
      <c r="I100" s="41">
        <f t="shared" si="80"/>
        <v>0</v>
      </c>
      <c r="J100" s="41">
        <f t="shared" si="80"/>
        <v>0</v>
      </c>
      <c r="K100" s="41">
        <f t="shared" si="80"/>
        <v>0</v>
      </c>
      <c r="L100" s="41">
        <f t="shared" si="80"/>
        <v>0</v>
      </c>
      <c r="M100" s="41">
        <f t="shared" si="80"/>
        <v>0</v>
      </c>
      <c r="N100" s="41">
        <f t="shared" si="80"/>
        <v>0</v>
      </c>
      <c r="O100" s="140">
        <f t="shared" si="59"/>
        <v>0</v>
      </c>
      <c r="P100" s="109">
        <v>0</v>
      </c>
      <c r="Q100" s="108">
        <f t="shared" si="60"/>
        <v>0</v>
      </c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</row>
    <row r="101" spans="1:74" s="110" customFormat="1" ht="57" x14ac:dyDescent="0.2">
      <c r="A101" s="76" t="s">
        <v>485</v>
      </c>
      <c r="B101" s="77" t="s">
        <v>161</v>
      </c>
      <c r="C101" s="41">
        <f t="shared" ref="C101:N101" si="81">+C95*0.8370621%</f>
        <v>0</v>
      </c>
      <c r="D101" s="41">
        <f t="shared" si="81"/>
        <v>0</v>
      </c>
      <c r="E101" s="41">
        <f t="shared" si="81"/>
        <v>0</v>
      </c>
      <c r="F101" s="41">
        <f t="shared" si="81"/>
        <v>0</v>
      </c>
      <c r="G101" s="41">
        <f t="shared" si="81"/>
        <v>0</v>
      </c>
      <c r="H101" s="41">
        <f t="shared" si="81"/>
        <v>0</v>
      </c>
      <c r="I101" s="41">
        <f t="shared" si="81"/>
        <v>0</v>
      </c>
      <c r="J101" s="41">
        <f t="shared" si="81"/>
        <v>0</v>
      </c>
      <c r="K101" s="41">
        <f t="shared" si="81"/>
        <v>0</v>
      </c>
      <c r="L101" s="41">
        <f t="shared" si="81"/>
        <v>0</v>
      </c>
      <c r="M101" s="41">
        <f t="shared" si="81"/>
        <v>0</v>
      </c>
      <c r="N101" s="41">
        <f t="shared" si="81"/>
        <v>0</v>
      </c>
      <c r="O101" s="140">
        <f t="shared" si="59"/>
        <v>0</v>
      </c>
      <c r="P101" s="109">
        <v>0</v>
      </c>
      <c r="Q101" s="108">
        <f t="shared" si="60"/>
        <v>0</v>
      </c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</row>
    <row r="102" spans="1:74" s="110" customFormat="1" ht="63" x14ac:dyDescent="0.2">
      <c r="A102" s="81" t="s">
        <v>486</v>
      </c>
      <c r="B102" s="79" t="s">
        <v>487</v>
      </c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140">
        <f t="shared" si="59"/>
        <v>0</v>
      </c>
      <c r="P102" s="109">
        <v>0</v>
      </c>
      <c r="Q102" s="108">
        <f t="shared" si="60"/>
        <v>0</v>
      </c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109"/>
      <c r="BQ102" s="109"/>
      <c r="BR102" s="109"/>
      <c r="BS102" s="109"/>
      <c r="BT102" s="109"/>
      <c r="BU102" s="109"/>
      <c r="BV102" s="109"/>
    </row>
    <row r="103" spans="1:74" s="87" customFormat="1" ht="42.75" x14ac:dyDescent="0.2">
      <c r="A103" s="76" t="s">
        <v>488</v>
      </c>
      <c r="B103" s="77" t="s">
        <v>162</v>
      </c>
      <c r="C103" s="41">
        <f t="shared" ref="C103:N103" si="82">+C102*82.8691479%</f>
        <v>0</v>
      </c>
      <c r="D103" s="41">
        <f t="shared" si="82"/>
        <v>0</v>
      </c>
      <c r="E103" s="41">
        <f t="shared" si="82"/>
        <v>0</v>
      </c>
      <c r="F103" s="41">
        <f t="shared" si="82"/>
        <v>0</v>
      </c>
      <c r="G103" s="41">
        <f t="shared" si="82"/>
        <v>0</v>
      </c>
      <c r="H103" s="41">
        <f t="shared" si="82"/>
        <v>0</v>
      </c>
      <c r="I103" s="41">
        <f t="shared" si="82"/>
        <v>0</v>
      </c>
      <c r="J103" s="41">
        <f t="shared" si="82"/>
        <v>0</v>
      </c>
      <c r="K103" s="41">
        <f t="shared" si="82"/>
        <v>0</v>
      </c>
      <c r="L103" s="41">
        <f t="shared" si="82"/>
        <v>0</v>
      </c>
      <c r="M103" s="41">
        <f t="shared" si="82"/>
        <v>0</v>
      </c>
      <c r="N103" s="41">
        <f t="shared" si="82"/>
        <v>0</v>
      </c>
      <c r="O103" s="140">
        <f t="shared" si="59"/>
        <v>0</v>
      </c>
      <c r="P103" s="86">
        <v>0</v>
      </c>
      <c r="Q103" s="108">
        <f t="shared" si="60"/>
        <v>0</v>
      </c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86"/>
      <c r="BD103" s="86"/>
      <c r="BE103" s="86"/>
      <c r="BF103" s="86"/>
      <c r="BG103" s="86"/>
      <c r="BH103" s="86"/>
      <c r="BI103" s="86"/>
      <c r="BJ103" s="86"/>
      <c r="BK103" s="86"/>
      <c r="BL103" s="86"/>
      <c r="BM103" s="86"/>
      <c r="BN103" s="86"/>
      <c r="BO103" s="86"/>
      <c r="BP103" s="86"/>
      <c r="BQ103" s="86"/>
      <c r="BR103" s="86"/>
      <c r="BS103" s="86"/>
      <c r="BT103" s="86"/>
      <c r="BU103" s="86"/>
      <c r="BV103" s="86"/>
    </row>
    <row r="104" spans="1:74" s="110" customFormat="1" ht="42.75" x14ac:dyDescent="0.2">
      <c r="A104" s="76" t="s">
        <v>489</v>
      </c>
      <c r="B104" s="77" t="s">
        <v>163</v>
      </c>
      <c r="C104" s="41">
        <f t="shared" ref="C104:N104" si="83">+C102*0.095%</f>
        <v>0</v>
      </c>
      <c r="D104" s="41">
        <f t="shared" si="83"/>
        <v>0</v>
      </c>
      <c r="E104" s="41">
        <f t="shared" si="83"/>
        <v>0</v>
      </c>
      <c r="F104" s="41">
        <f t="shared" si="83"/>
        <v>0</v>
      </c>
      <c r="G104" s="41">
        <f t="shared" si="83"/>
        <v>0</v>
      </c>
      <c r="H104" s="41">
        <f t="shared" si="83"/>
        <v>0</v>
      </c>
      <c r="I104" s="41">
        <f t="shared" si="83"/>
        <v>0</v>
      </c>
      <c r="J104" s="41">
        <f t="shared" si="83"/>
        <v>0</v>
      </c>
      <c r="K104" s="41">
        <f t="shared" si="83"/>
        <v>0</v>
      </c>
      <c r="L104" s="41">
        <f t="shared" si="83"/>
        <v>0</v>
      </c>
      <c r="M104" s="41">
        <f t="shared" si="83"/>
        <v>0</v>
      </c>
      <c r="N104" s="41">
        <f t="shared" si="83"/>
        <v>0</v>
      </c>
      <c r="O104" s="140">
        <f t="shared" si="59"/>
        <v>0</v>
      </c>
      <c r="P104" s="109">
        <v>0</v>
      </c>
      <c r="Q104" s="108">
        <f t="shared" si="60"/>
        <v>0</v>
      </c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09"/>
      <c r="BP104" s="109"/>
      <c r="BQ104" s="109"/>
      <c r="BR104" s="109"/>
      <c r="BS104" s="109"/>
      <c r="BT104" s="109"/>
      <c r="BU104" s="109"/>
      <c r="BV104" s="109"/>
    </row>
    <row r="105" spans="1:74" s="110" customFormat="1" ht="42.75" x14ac:dyDescent="0.2">
      <c r="A105" s="76" t="s">
        <v>490</v>
      </c>
      <c r="B105" s="77" t="s">
        <v>164</v>
      </c>
      <c r="C105" s="41">
        <f t="shared" ref="C105:N105" si="84">+C102*5%</f>
        <v>0</v>
      </c>
      <c r="D105" s="41">
        <f t="shared" si="84"/>
        <v>0</v>
      </c>
      <c r="E105" s="41">
        <f t="shared" si="84"/>
        <v>0</v>
      </c>
      <c r="F105" s="41">
        <f t="shared" si="84"/>
        <v>0</v>
      </c>
      <c r="G105" s="41">
        <f t="shared" si="84"/>
        <v>0</v>
      </c>
      <c r="H105" s="41">
        <f t="shared" si="84"/>
        <v>0</v>
      </c>
      <c r="I105" s="41">
        <f t="shared" si="84"/>
        <v>0</v>
      </c>
      <c r="J105" s="41">
        <f t="shared" si="84"/>
        <v>0</v>
      </c>
      <c r="K105" s="41">
        <f t="shared" si="84"/>
        <v>0</v>
      </c>
      <c r="L105" s="41">
        <f t="shared" si="84"/>
        <v>0</v>
      </c>
      <c r="M105" s="41">
        <f t="shared" si="84"/>
        <v>0</v>
      </c>
      <c r="N105" s="41">
        <f t="shared" si="84"/>
        <v>0</v>
      </c>
      <c r="O105" s="140">
        <f t="shared" si="59"/>
        <v>0</v>
      </c>
      <c r="P105" s="109">
        <v>0</v>
      </c>
      <c r="Q105" s="108">
        <f t="shared" si="60"/>
        <v>0</v>
      </c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109"/>
      <c r="BR105" s="109"/>
      <c r="BS105" s="109"/>
      <c r="BT105" s="109"/>
      <c r="BU105" s="109"/>
      <c r="BV105" s="109"/>
    </row>
    <row r="106" spans="1:74" s="110" customFormat="1" ht="28.5" x14ac:dyDescent="0.2">
      <c r="A106" s="76" t="s">
        <v>491</v>
      </c>
      <c r="B106" s="154" t="s">
        <v>165</v>
      </c>
      <c r="C106" s="41">
        <f t="shared" ref="C106:N106" si="85">+C102*9.4905%</f>
        <v>0</v>
      </c>
      <c r="D106" s="41">
        <f t="shared" si="85"/>
        <v>0</v>
      </c>
      <c r="E106" s="41">
        <f t="shared" si="85"/>
        <v>0</v>
      </c>
      <c r="F106" s="41">
        <f t="shared" si="85"/>
        <v>0</v>
      </c>
      <c r="G106" s="41">
        <f t="shared" si="85"/>
        <v>0</v>
      </c>
      <c r="H106" s="41">
        <f t="shared" si="85"/>
        <v>0</v>
      </c>
      <c r="I106" s="41">
        <f t="shared" si="85"/>
        <v>0</v>
      </c>
      <c r="J106" s="41">
        <f t="shared" si="85"/>
        <v>0</v>
      </c>
      <c r="K106" s="41">
        <f t="shared" si="85"/>
        <v>0</v>
      </c>
      <c r="L106" s="41">
        <f t="shared" si="85"/>
        <v>0</v>
      </c>
      <c r="M106" s="41">
        <f t="shared" si="85"/>
        <v>0</v>
      </c>
      <c r="N106" s="41">
        <f t="shared" si="85"/>
        <v>0</v>
      </c>
      <c r="O106" s="140">
        <f t="shared" si="59"/>
        <v>0</v>
      </c>
      <c r="P106" s="109">
        <v>0</v>
      </c>
      <c r="Q106" s="108">
        <f t="shared" si="60"/>
        <v>0</v>
      </c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/>
      <c r="BR106" s="109"/>
      <c r="BS106" s="109"/>
      <c r="BT106" s="109"/>
      <c r="BU106" s="109"/>
      <c r="BV106" s="109"/>
    </row>
    <row r="107" spans="1:74" s="110" customFormat="1" ht="42.75" x14ac:dyDescent="0.2">
      <c r="A107" s="76" t="s">
        <v>492</v>
      </c>
      <c r="B107" s="77" t="s">
        <v>166</v>
      </c>
      <c r="C107" s="41">
        <f t="shared" ref="C107:N107" si="86">+C102*1.70829%</f>
        <v>0</v>
      </c>
      <c r="D107" s="41">
        <f t="shared" si="86"/>
        <v>0</v>
      </c>
      <c r="E107" s="41">
        <f t="shared" si="86"/>
        <v>0</v>
      </c>
      <c r="F107" s="41">
        <f t="shared" si="86"/>
        <v>0</v>
      </c>
      <c r="G107" s="41">
        <f t="shared" si="86"/>
        <v>0</v>
      </c>
      <c r="H107" s="41">
        <f t="shared" si="86"/>
        <v>0</v>
      </c>
      <c r="I107" s="41">
        <f t="shared" si="86"/>
        <v>0</v>
      </c>
      <c r="J107" s="41">
        <f t="shared" si="86"/>
        <v>0</v>
      </c>
      <c r="K107" s="41">
        <f t="shared" si="86"/>
        <v>0</v>
      </c>
      <c r="L107" s="41">
        <f t="shared" si="86"/>
        <v>0</v>
      </c>
      <c r="M107" s="41">
        <f t="shared" si="86"/>
        <v>0</v>
      </c>
      <c r="N107" s="41">
        <f t="shared" si="86"/>
        <v>0</v>
      </c>
      <c r="O107" s="140">
        <f t="shared" si="59"/>
        <v>0</v>
      </c>
      <c r="P107" s="109">
        <v>0</v>
      </c>
      <c r="Q107" s="108">
        <f t="shared" si="60"/>
        <v>0</v>
      </c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</row>
    <row r="108" spans="1:74" s="110" customFormat="1" ht="57" x14ac:dyDescent="0.2">
      <c r="A108" s="76" t="s">
        <v>493</v>
      </c>
      <c r="B108" s="77" t="s">
        <v>167</v>
      </c>
      <c r="C108" s="41">
        <f t="shared" ref="C108:N108" si="87">+C102*0.8370621%</f>
        <v>0</v>
      </c>
      <c r="D108" s="41">
        <f t="shared" si="87"/>
        <v>0</v>
      </c>
      <c r="E108" s="41">
        <f t="shared" si="87"/>
        <v>0</v>
      </c>
      <c r="F108" s="41">
        <f t="shared" si="87"/>
        <v>0</v>
      </c>
      <c r="G108" s="41">
        <f t="shared" si="87"/>
        <v>0</v>
      </c>
      <c r="H108" s="41">
        <f t="shared" si="87"/>
        <v>0</v>
      </c>
      <c r="I108" s="41">
        <f t="shared" si="87"/>
        <v>0</v>
      </c>
      <c r="J108" s="41">
        <f t="shared" si="87"/>
        <v>0</v>
      </c>
      <c r="K108" s="41">
        <f t="shared" si="87"/>
        <v>0</v>
      </c>
      <c r="L108" s="41">
        <f t="shared" si="87"/>
        <v>0</v>
      </c>
      <c r="M108" s="41">
        <f t="shared" si="87"/>
        <v>0</v>
      </c>
      <c r="N108" s="41">
        <f t="shared" si="87"/>
        <v>0</v>
      </c>
      <c r="O108" s="140">
        <f t="shared" si="59"/>
        <v>0</v>
      </c>
      <c r="P108" s="109">
        <v>0</v>
      </c>
      <c r="Q108" s="108">
        <f t="shared" si="60"/>
        <v>0</v>
      </c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/>
      <c r="BR108" s="109"/>
      <c r="BS108" s="109"/>
      <c r="BT108" s="109"/>
      <c r="BU108" s="109"/>
      <c r="BV108" s="109"/>
    </row>
    <row r="109" spans="1:74" s="110" customFormat="1" ht="15.75" x14ac:dyDescent="0.2">
      <c r="A109" s="81" t="s">
        <v>494</v>
      </c>
      <c r="B109" s="79" t="s">
        <v>186</v>
      </c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140">
        <f t="shared" si="59"/>
        <v>0</v>
      </c>
      <c r="P109" s="109">
        <v>0</v>
      </c>
      <c r="Q109" s="108">
        <f t="shared" si="60"/>
        <v>0</v>
      </c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</row>
    <row r="110" spans="1:74" s="87" customFormat="1" ht="28.5" x14ac:dyDescent="0.2">
      <c r="A110" s="76" t="s">
        <v>495</v>
      </c>
      <c r="B110" s="77" t="s">
        <v>187</v>
      </c>
      <c r="C110" s="41">
        <f t="shared" ref="C110:N110" si="88">+C109*87.230682%</f>
        <v>0</v>
      </c>
      <c r="D110" s="41">
        <f t="shared" si="88"/>
        <v>0</v>
      </c>
      <c r="E110" s="41">
        <f t="shared" si="88"/>
        <v>0</v>
      </c>
      <c r="F110" s="41">
        <f t="shared" si="88"/>
        <v>0</v>
      </c>
      <c r="G110" s="41">
        <f t="shared" si="88"/>
        <v>0</v>
      </c>
      <c r="H110" s="41">
        <f t="shared" si="88"/>
        <v>0</v>
      </c>
      <c r="I110" s="41">
        <f t="shared" si="88"/>
        <v>0</v>
      </c>
      <c r="J110" s="41">
        <f t="shared" si="88"/>
        <v>0</v>
      </c>
      <c r="K110" s="41">
        <f t="shared" si="88"/>
        <v>0</v>
      </c>
      <c r="L110" s="41">
        <f t="shared" si="88"/>
        <v>0</v>
      </c>
      <c r="M110" s="41">
        <f t="shared" si="88"/>
        <v>0</v>
      </c>
      <c r="N110" s="41">
        <f t="shared" si="88"/>
        <v>0</v>
      </c>
      <c r="O110" s="140">
        <f t="shared" si="59"/>
        <v>0</v>
      </c>
      <c r="P110" s="86">
        <v>0</v>
      </c>
      <c r="Q110" s="108">
        <f t="shared" si="60"/>
        <v>0</v>
      </c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</row>
    <row r="111" spans="1:74" s="110" customFormat="1" ht="14.25" x14ac:dyDescent="0.2">
      <c r="A111" s="76" t="s">
        <v>496</v>
      </c>
      <c r="B111" s="77" t="s">
        <v>188</v>
      </c>
      <c r="C111" s="41">
        <f t="shared" ref="C111:N111" si="89">+C109*0.1%</f>
        <v>0</v>
      </c>
      <c r="D111" s="41">
        <f t="shared" si="89"/>
        <v>0</v>
      </c>
      <c r="E111" s="41">
        <f t="shared" si="89"/>
        <v>0</v>
      </c>
      <c r="F111" s="41">
        <f t="shared" si="89"/>
        <v>0</v>
      </c>
      <c r="G111" s="41">
        <f t="shared" si="89"/>
        <v>0</v>
      </c>
      <c r="H111" s="41">
        <f t="shared" si="89"/>
        <v>0</v>
      </c>
      <c r="I111" s="41">
        <f t="shared" si="89"/>
        <v>0</v>
      </c>
      <c r="J111" s="41">
        <f t="shared" si="89"/>
        <v>0</v>
      </c>
      <c r="K111" s="41">
        <f t="shared" si="89"/>
        <v>0</v>
      </c>
      <c r="L111" s="41">
        <f t="shared" si="89"/>
        <v>0</v>
      </c>
      <c r="M111" s="41">
        <f t="shared" si="89"/>
        <v>0</v>
      </c>
      <c r="N111" s="41">
        <f t="shared" si="89"/>
        <v>0</v>
      </c>
      <c r="O111" s="140">
        <f t="shared" si="59"/>
        <v>0</v>
      </c>
      <c r="P111" s="109">
        <v>0</v>
      </c>
      <c r="Q111" s="108">
        <f t="shared" si="60"/>
        <v>0</v>
      </c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</row>
    <row r="112" spans="1:74" s="110" customFormat="1" ht="14.25" x14ac:dyDescent="0.2">
      <c r="A112" s="76" t="s">
        <v>497</v>
      </c>
      <c r="B112" s="77" t="s">
        <v>189</v>
      </c>
      <c r="C112" s="41">
        <f t="shared" ref="C112:N112" si="90">+C109*9.99%</f>
        <v>0</v>
      </c>
      <c r="D112" s="41">
        <f t="shared" si="90"/>
        <v>0</v>
      </c>
      <c r="E112" s="41">
        <f t="shared" si="90"/>
        <v>0</v>
      </c>
      <c r="F112" s="41">
        <f t="shared" si="90"/>
        <v>0</v>
      </c>
      <c r="G112" s="41">
        <f t="shared" si="90"/>
        <v>0</v>
      </c>
      <c r="H112" s="41">
        <f t="shared" si="90"/>
        <v>0</v>
      </c>
      <c r="I112" s="41">
        <f t="shared" si="90"/>
        <v>0</v>
      </c>
      <c r="J112" s="41">
        <f t="shared" si="90"/>
        <v>0</v>
      </c>
      <c r="K112" s="41">
        <f t="shared" si="90"/>
        <v>0</v>
      </c>
      <c r="L112" s="41">
        <f t="shared" si="90"/>
        <v>0</v>
      </c>
      <c r="M112" s="41">
        <f t="shared" si="90"/>
        <v>0</v>
      </c>
      <c r="N112" s="41">
        <f t="shared" si="90"/>
        <v>0</v>
      </c>
      <c r="O112" s="140">
        <f t="shared" si="59"/>
        <v>0</v>
      </c>
      <c r="P112" s="109">
        <v>0</v>
      </c>
      <c r="Q112" s="108">
        <f t="shared" si="60"/>
        <v>0</v>
      </c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</row>
    <row r="113" spans="1:74" s="110" customFormat="1" ht="28.5" x14ac:dyDescent="0.2">
      <c r="A113" s="76" t="s">
        <v>498</v>
      </c>
      <c r="B113" s="154" t="s">
        <v>190</v>
      </c>
      <c r="C113" s="41">
        <f t="shared" ref="C113:N113" si="91">+C109*1.7982%</f>
        <v>0</v>
      </c>
      <c r="D113" s="41">
        <f t="shared" si="91"/>
        <v>0</v>
      </c>
      <c r="E113" s="41">
        <f t="shared" si="91"/>
        <v>0</v>
      </c>
      <c r="F113" s="41">
        <f t="shared" si="91"/>
        <v>0</v>
      </c>
      <c r="G113" s="41">
        <f t="shared" si="91"/>
        <v>0</v>
      </c>
      <c r="H113" s="41">
        <f t="shared" si="91"/>
        <v>0</v>
      </c>
      <c r="I113" s="41">
        <f t="shared" si="91"/>
        <v>0</v>
      </c>
      <c r="J113" s="41">
        <f t="shared" si="91"/>
        <v>0</v>
      </c>
      <c r="K113" s="41">
        <f t="shared" si="91"/>
        <v>0</v>
      </c>
      <c r="L113" s="41">
        <f t="shared" si="91"/>
        <v>0</v>
      </c>
      <c r="M113" s="41">
        <f t="shared" si="91"/>
        <v>0</v>
      </c>
      <c r="N113" s="41">
        <f t="shared" si="91"/>
        <v>0</v>
      </c>
      <c r="O113" s="140">
        <f t="shared" si="59"/>
        <v>0</v>
      </c>
      <c r="P113" s="109">
        <v>0</v>
      </c>
      <c r="Q113" s="108">
        <f t="shared" si="60"/>
        <v>0</v>
      </c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</row>
    <row r="114" spans="1:74" s="110" customFormat="1" ht="42.75" x14ac:dyDescent="0.2">
      <c r="A114" s="76" t="s">
        <v>499</v>
      </c>
      <c r="B114" s="77" t="s">
        <v>191</v>
      </c>
      <c r="C114" s="41">
        <f t="shared" ref="C114:N114" si="92">+C109*0.881118%</f>
        <v>0</v>
      </c>
      <c r="D114" s="41">
        <f t="shared" si="92"/>
        <v>0</v>
      </c>
      <c r="E114" s="41">
        <f t="shared" si="92"/>
        <v>0</v>
      </c>
      <c r="F114" s="41">
        <f t="shared" si="92"/>
        <v>0</v>
      </c>
      <c r="G114" s="41">
        <f t="shared" si="92"/>
        <v>0</v>
      </c>
      <c r="H114" s="41">
        <f t="shared" si="92"/>
        <v>0</v>
      </c>
      <c r="I114" s="41">
        <f t="shared" si="92"/>
        <v>0</v>
      </c>
      <c r="J114" s="41">
        <f t="shared" si="92"/>
        <v>0</v>
      </c>
      <c r="K114" s="41">
        <f t="shared" si="92"/>
        <v>0</v>
      </c>
      <c r="L114" s="41">
        <f t="shared" si="92"/>
        <v>0</v>
      </c>
      <c r="M114" s="41">
        <f t="shared" si="92"/>
        <v>0</v>
      </c>
      <c r="N114" s="41">
        <f t="shared" si="92"/>
        <v>0</v>
      </c>
      <c r="O114" s="140">
        <f t="shared" si="59"/>
        <v>0</v>
      </c>
      <c r="P114" s="109">
        <v>0</v>
      </c>
      <c r="Q114" s="108">
        <f t="shared" si="60"/>
        <v>0</v>
      </c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</row>
    <row r="115" spans="1:74" s="110" customFormat="1" ht="19.5" x14ac:dyDescent="0.2">
      <c r="A115" s="81" t="s">
        <v>500</v>
      </c>
      <c r="B115" s="79" t="s">
        <v>501</v>
      </c>
      <c r="C115" s="217">
        <f t="shared" ref="C115:N115" si="93">+C116+C118+C123+C126+C132+C137</f>
        <v>0</v>
      </c>
      <c r="D115" s="217">
        <f t="shared" si="93"/>
        <v>0</v>
      </c>
      <c r="E115" s="217">
        <f t="shared" si="93"/>
        <v>0</v>
      </c>
      <c r="F115" s="217">
        <f t="shared" si="93"/>
        <v>0</v>
      </c>
      <c r="G115" s="217">
        <f t="shared" si="93"/>
        <v>0</v>
      </c>
      <c r="H115" s="217">
        <f t="shared" si="93"/>
        <v>0</v>
      </c>
      <c r="I115" s="217">
        <f t="shared" si="93"/>
        <v>0</v>
      </c>
      <c r="J115" s="217">
        <f t="shared" si="93"/>
        <v>0</v>
      </c>
      <c r="K115" s="217">
        <f t="shared" si="93"/>
        <v>0</v>
      </c>
      <c r="L115" s="217">
        <f t="shared" si="93"/>
        <v>0</v>
      </c>
      <c r="M115" s="217">
        <f t="shared" si="93"/>
        <v>0</v>
      </c>
      <c r="N115" s="217">
        <f t="shared" si="93"/>
        <v>0</v>
      </c>
      <c r="O115" s="140">
        <f t="shared" si="59"/>
        <v>0</v>
      </c>
      <c r="P115" s="109">
        <v>0</v>
      </c>
      <c r="Q115" s="108">
        <f t="shared" si="60"/>
        <v>0</v>
      </c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</row>
    <row r="116" spans="1:74" s="110" customFormat="1" ht="31.5" x14ac:dyDescent="0.2">
      <c r="A116" s="81" t="s">
        <v>502</v>
      </c>
      <c r="B116" s="79" t="s">
        <v>503</v>
      </c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140">
        <f t="shared" si="59"/>
        <v>0</v>
      </c>
      <c r="P116" s="109">
        <v>0</v>
      </c>
      <c r="Q116" s="108">
        <f t="shared" si="60"/>
        <v>0</v>
      </c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</row>
    <row r="117" spans="1:74" s="87" customFormat="1" ht="28.5" x14ac:dyDescent="0.2">
      <c r="A117" s="76" t="s">
        <v>504</v>
      </c>
      <c r="B117" s="77" t="s">
        <v>192</v>
      </c>
      <c r="C117" s="41">
        <f t="shared" ref="C117:N117" si="94">+C116</f>
        <v>0</v>
      </c>
      <c r="D117" s="41">
        <f t="shared" si="94"/>
        <v>0</v>
      </c>
      <c r="E117" s="41">
        <f t="shared" si="94"/>
        <v>0</v>
      </c>
      <c r="F117" s="41">
        <f t="shared" si="94"/>
        <v>0</v>
      </c>
      <c r="G117" s="41">
        <f t="shared" si="94"/>
        <v>0</v>
      </c>
      <c r="H117" s="41">
        <f t="shared" si="94"/>
        <v>0</v>
      </c>
      <c r="I117" s="41">
        <f t="shared" si="94"/>
        <v>0</v>
      </c>
      <c r="J117" s="41">
        <f t="shared" si="94"/>
        <v>0</v>
      </c>
      <c r="K117" s="41">
        <f t="shared" si="94"/>
        <v>0</v>
      </c>
      <c r="L117" s="41">
        <f t="shared" si="94"/>
        <v>0</v>
      </c>
      <c r="M117" s="41">
        <f t="shared" si="94"/>
        <v>0</v>
      </c>
      <c r="N117" s="41">
        <f t="shared" si="94"/>
        <v>0</v>
      </c>
      <c r="O117" s="140">
        <f t="shared" si="59"/>
        <v>0</v>
      </c>
      <c r="P117" s="86">
        <v>0</v>
      </c>
      <c r="Q117" s="108">
        <f t="shared" si="60"/>
        <v>0</v>
      </c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</row>
    <row r="118" spans="1:74" s="110" customFormat="1" ht="31.5" x14ac:dyDescent="0.2">
      <c r="A118" s="81" t="s">
        <v>505</v>
      </c>
      <c r="B118" s="79" t="s">
        <v>506</v>
      </c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0">
        <f t="shared" si="59"/>
        <v>0</v>
      </c>
      <c r="P118" s="109">
        <v>0</v>
      </c>
      <c r="Q118" s="108">
        <f t="shared" si="60"/>
        <v>0</v>
      </c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</row>
    <row r="119" spans="1:74" s="110" customFormat="1" ht="28.5" x14ac:dyDescent="0.2">
      <c r="A119" s="76" t="s">
        <v>507</v>
      </c>
      <c r="B119" s="77" t="s">
        <v>200</v>
      </c>
      <c r="C119" s="41">
        <f t="shared" ref="C119:N119" si="95">+C118*20%</f>
        <v>0</v>
      </c>
      <c r="D119" s="41">
        <f t="shared" si="95"/>
        <v>0</v>
      </c>
      <c r="E119" s="41">
        <f t="shared" si="95"/>
        <v>0</v>
      </c>
      <c r="F119" s="41">
        <f t="shared" si="95"/>
        <v>0</v>
      </c>
      <c r="G119" s="41">
        <f t="shared" si="95"/>
        <v>0</v>
      </c>
      <c r="H119" s="41">
        <f t="shared" si="95"/>
        <v>0</v>
      </c>
      <c r="I119" s="41">
        <f t="shared" si="95"/>
        <v>0</v>
      </c>
      <c r="J119" s="41">
        <f t="shared" si="95"/>
        <v>0</v>
      </c>
      <c r="K119" s="41">
        <f t="shared" si="95"/>
        <v>0</v>
      </c>
      <c r="L119" s="41">
        <f t="shared" si="95"/>
        <v>0</v>
      </c>
      <c r="M119" s="41">
        <f t="shared" si="95"/>
        <v>0</v>
      </c>
      <c r="N119" s="41">
        <f t="shared" si="95"/>
        <v>0</v>
      </c>
      <c r="O119" s="140">
        <f t="shared" si="59"/>
        <v>0</v>
      </c>
      <c r="P119" s="109">
        <v>0</v>
      </c>
      <c r="Q119" s="108">
        <f t="shared" si="60"/>
        <v>0</v>
      </c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</row>
    <row r="120" spans="1:74" s="87" customFormat="1" ht="28.5" x14ac:dyDescent="0.2">
      <c r="A120" s="76" t="s">
        <v>508</v>
      </c>
      <c r="B120" s="154" t="s">
        <v>201</v>
      </c>
      <c r="C120" s="41">
        <f t="shared" ref="C120:N120" si="96">+C118*40%</f>
        <v>0</v>
      </c>
      <c r="D120" s="41">
        <f t="shared" si="96"/>
        <v>0</v>
      </c>
      <c r="E120" s="41">
        <f t="shared" si="96"/>
        <v>0</v>
      </c>
      <c r="F120" s="41">
        <f t="shared" si="96"/>
        <v>0</v>
      </c>
      <c r="G120" s="41">
        <f t="shared" si="96"/>
        <v>0</v>
      </c>
      <c r="H120" s="41">
        <f t="shared" si="96"/>
        <v>0</v>
      </c>
      <c r="I120" s="41">
        <f t="shared" si="96"/>
        <v>0</v>
      </c>
      <c r="J120" s="41">
        <f t="shared" si="96"/>
        <v>0</v>
      </c>
      <c r="K120" s="41">
        <f t="shared" si="96"/>
        <v>0</v>
      </c>
      <c r="L120" s="41">
        <f t="shared" si="96"/>
        <v>0</v>
      </c>
      <c r="M120" s="41">
        <f t="shared" si="96"/>
        <v>0</v>
      </c>
      <c r="N120" s="41">
        <f t="shared" si="96"/>
        <v>0</v>
      </c>
      <c r="O120" s="140">
        <f t="shared" si="59"/>
        <v>0</v>
      </c>
      <c r="P120" s="86">
        <v>0</v>
      </c>
      <c r="Q120" s="108">
        <f t="shared" si="60"/>
        <v>0</v>
      </c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</row>
    <row r="121" spans="1:74" s="110" customFormat="1" ht="28.5" x14ac:dyDescent="0.2">
      <c r="A121" s="76" t="s">
        <v>509</v>
      </c>
      <c r="B121" s="77" t="s">
        <v>202</v>
      </c>
      <c r="C121" s="41">
        <f t="shared" ref="C121:N121" si="97">+C118*20%</f>
        <v>0</v>
      </c>
      <c r="D121" s="41">
        <f t="shared" si="97"/>
        <v>0</v>
      </c>
      <c r="E121" s="41">
        <f t="shared" si="97"/>
        <v>0</v>
      </c>
      <c r="F121" s="41">
        <f t="shared" si="97"/>
        <v>0</v>
      </c>
      <c r="G121" s="41">
        <f t="shared" si="97"/>
        <v>0</v>
      </c>
      <c r="H121" s="41">
        <f t="shared" si="97"/>
        <v>0</v>
      </c>
      <c r="I121" s="41">
        <f t="shared" si="97"/>
        <v>0</v>
      </c>
      <c r="J121" s="41">
        <f t="shared" si="97"/>
        <v>0</v>
      </c>
      <c r="K121" s="41">
        <f t="shared" si="97"/>
        <v>0</v>
      </c>
      <c r="L121" s="41">
        <f t="shared" si="97"/>
        <v>0</v>
      </c>
      <c r="M121" s="41">
        <f t="shared" si="97"/>
        <v>0</v>
      </c>
      <c r="N121" s="41">
        <f t="shared" si="97"/>
        <v>0</v>
      </c>
      <c r="O121" s="140">
        <f t="shared" si="59"/>
        <v>0</v>
      </c>
      <c r="P121" s="109">
        <v>0</v>
      </c>
      <c r="Q121" s="108">
        <f t="shared" si="60"/>
        <v>0</v>
      </c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</row>
    <row r="122" spans="1:74" s="110" customFormat="1" ht="14.25" x14ac:dyDescent="0.2">
      <c r="A122" s="76" t="s">
        <v>510</v>
      </c>
      <c r="B122" s="77" t="s">
        <v>203</v>
      </c>
      <c r="C122" s="41">
        <f t="shared" ref="C122:N122" si="98">+C118*20%</f>
        <v>0</v>
      </c>
      <c r="D122" s="41">
        <f t="shared" si="98"/>
        <v>0</v>
      </c>
      <c r="E122" s="41">
        <f t="shared" si="98"/>
        <v>0</v>
      </c>
      <c r="F122" s="41">
        <f t="shared" si="98"/>
        <v>0</v>
      </c>
      <c r="G122" s="41">
        <f t="shared" si="98"/>
        <v>0</v>
      </c>
      <c r="H122" s="41">
        <f t="shared" si="98"/>
        <v>0</v>
      </c>
      <c r="I122" s="41">
        <f t="shared" si="98"/>
        <v>0</v>
      </c>
      <c r="J122" s="41">
        <f t="shared" si="98"/>
        <v>0</v>
      </c>
      <c r="K122" s="41">
        <f t="shared" si="98"/>
        <v>0</v>
      </c>
      <c r="L122" s="41">
        <f t="shared" si="98"/>
        <v>0</v>
      </c>
      <c r="M122" s="41">
        <f t="shared" si="98"/>
        <v>0</v>
      </c>
      <c r="N122" s="41">
        <f t="shared" si="98"/>
        <v>0</v>
      </c>
      <c r="O122" s="140">
        <f t="shared" si="59"/>
        <v>0</v>
      </c>
      <c r="P122" s="109">
        <v>0</v>
      </c>
      <c r="Q122" s="108">
        <f t="shared" si="60"/>
        <v>0</v>
      </c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</row>
    <row r="123" spans="1:74" s="110" customFormat="1" ht="15.75" x14ac:dyDescent="0.2">
      <c r="A123" s="81" t="s">
        <v>511</v>
      </c>
      <c r="B123" s="79" t="s">
        <v>193</v>
      </c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140">
        <f t="shared" si="59"/>
        <v>0</v>
      </c>
      <c r="P123" s="109">
        <v>0</v>
      </c>
      <c r="Q123" s="108">
        <f t="shared" si="60"/>
        <v>0</v>
      </c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</row>
    <row r="124" spans="1:74" s="87" customFormat="1" ht="14.25" x14ac:dyDescent="0.2">
      <c r="A124" s="76" t="s">
        <v>512</v>
      </c>
      <c r="B124" s="77" t="s">
        <v>194</v>
      </c>
      <c r="C124" s="41">
        <f t="shared" ref="C124:N124" si="99">+C123*80%</f>
        <v>0</v>
      </c>
      <c r="D124" s="41">
        <f t="shared" si="99"/>
        <v>0</v>
      </c>
      <c r="E124" s="41">
        <f t="shared" si="99"/>
        <v>0</v>
      </c>
      <c r="F124" s="41">
        <f t="shared" si="99"/>
        <v>0</v>
      </c>
      <c r="G124" s="41">
        <f t="shared" si="99"/>
        <v>0</v>
      </c>
      <c r="H124" s="41">
        <f t="shared" si="99"/>
        <v>0</v>
      </c>
      <c r="I124" s="41">
        <f t="shared" si="99"/>
        <v>0</v>
      </c>
      <c r="J124" s="41">
        <f t="shared" si="99"/>
        <v>0</v>
      </c>
      <c r="K124" s="41">
        <f t="shared" si="99"/>
        <v>0</v>
      </c>
      <c r="L124" s="41">
        <f t="shared" si="99"/>
        <v>0</v>
      </c>
      <c r="M124" s="41">
        <f t="shared" si="99"/>
        <v>0</v>
      </c>
      <c r="N124" s="41">
        <f t="shared" si="99"/>
        <v>0</v>
      </c>
      <c r="O124" s="140">
        <f t="shared" si="59"/>
        <v>0</v>
      </c>
      <c r="P124" s="86">
        <v>0</v>
      </c>
      <c r="Q124" s="108">
        <f t="shared" si="60"/>
        <v>0</v>
      </c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</row>
    <row r="125" spans="1:74" s="87" customFormat="1" ht="28.5" x14ac:dyDescent="0.2">
      <c r="A125" s="76" t="s">
        <v>513</v>
      </c>
      <c r="B125" s="77" t="s">
        <v>195</v>
      </c>
      <c r="C125" s="41">
        <f t="shared" ref="C125:N125" si="100">+C123*20%</f>
        <v>0</v>
      </c>
      <c r="D125" s="41">
        <f t="shared" si="100"/>
        <v>0</v>
      </c>
      <c r="E125" s="41">
        <f t="shared" si="100"/>
        <v>0</v>
      </c>
      <c r="F125" s="41">
        <f t="shared" si="100"/>
        <v>0</v>
      </c>
      <c r="G125" s="41">
        <f t="shared" si="100"/>
        <v>0</v>
      </c>
      <c r="H125" s="41">
        <f t="shared" si="100"/>
        <v>0</v>
      </c>
      <c r="I125" s="41">
        <f t="shared" si="100"/>
        <v>0</v>
      </c>
      <c r="J125" s="41">
        <f t="shared" si="100"/>
        <v>0</v>
      </c>
      <c r="K125" s="41">
        <f t="shared" si="100"/>
        <v>0</v>
      </c>
      <c r="L125" s="41">
        <f t="shared" si="100"/>
        <v>0</v>
      </c>
      <c r="M125" s="41">
        <f t="shared" si="100"/>
        <v>0</v>
      </c>
      <c r="N125" s="41">
        <f t="shared" si="100"/>
        <v>0</v>
      </c>
      <c r="O125" s="140">
        <f t="shared" si="59"/>
        <v>0</v>
      </c>
      <c r="P125" s="86">
        <v>0</v>
      </c>
      <c r="Q125" s="108">
        <f t="shared" si="60"/>
        <v>0</v>
      </c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</row>
    <row r="126" spans="1:74" s="110" customFormat="1" ht="31.5" x14ac:dyDescent="0.2">
      <c r="A126" s="81" t="s">
        <v>514</v>
      </c>
      <c r="B126" s="79" t="s">
        <v>515</v>
      </c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140">
        <f t="shared" si="59"/>
        <v>0</v>
      </c>
      <c r="P126" s="109">
        <v>0</v>
      </c>
      <c r="Q126" s="108">
        <f t="shared" si="60"/>
        <v>0</v>
      </c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</row>
    <row r="127" spans="1:74" s="110" customFormat="1" ht="14.25" x14ac:dyDescent="0.2">
      <c r="A127" s="76" t="s">
        <v>516</v>
      </c>
      <c r="B127" s="77" t="s">
        <v>206</v>
      </c>
      <c r="C127" s="41">
        <f t="shared" ref="C127:N127" si="101">+C126*75%</f>
        <v>0</v>
      </c>
      <c r="D127" s="41">
        <f t="shared" si="101"/>
        <v>0</v>
      </c>
      <c r="E127" s="41">
        <f t="shared" si="101"/>
        <v>0</v>
      </c>
      <c r="F127" s="41">
        <f t="shared" si="101"/>
        <v>0</v>
      </c>
      <c r="G127" s="41">
        <f t="shared" si="101"/>
        <v>0</v>
      </c>
      <c r="H127" s="41">
        <f t="shared" si="101"/>
        <v>0</v>
      </c>
      <c r="I127" s="41">
        <f t="shared" si="101"/>
        <v>0</v>
      </c>
      <c r="J127" s="41">
        <f t="shared" si="101"/>
        <v>0</v>
      </c>
      <c r="K127" s="41">
        <f t="shared" si="101"/>
        <v>0</v>
      </c>
      <c r="L127" s="41">
        <f t="shared" si="101"/>
        <v>0</v>
      </c>
      <c r="M127" s="41">
        <f t="shared" si="101"/>
        <v>0</v>
      </c>
      <c r="N127" s="41">
        <f t="shared" si="101"/>
        <v>0</v>
      </c>
      <c r="O127" s="140">
        <f t="shared" si="59"/>
        <v>0</v>
      </c>
      <c r="P127" s="109">
        <v>0</v>
      </c>
      <c r="Q127" s="108">
        <f t="shared" si="60"/>
        <v>0</v>
      </c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</row>
    <row r="128" spans="1:74" s="110" customFormat="1" ht="14.25" x14ac:dyDescent="0.2">
      <c r="A128" s="76" t="s">
        <v>517</v>
      </c>
      <c r="B128" s="77" t="s">
        <v>207</v>
      </c>
      <c r="C128" s="41">
        <f t="shared" ref="C128:N128" si="102">+C126*12%</f>
        <v>0</v>
      </c>
      <c r="D128" s="41">
        <f t="shared" si="102"/>
        <v>0</v>
      </c>
      <c r="E128" s="41">
        <f t="shared" si="102"/>
        <v>0</v>
      </c>
      <c r="F128" s="41">
        <f t="shared" si="102"/>
        <v>0</v>
      </c>
      <c r="G128" s="41">
        <f t="shared" si="102"/>
        <v>0</v>
      </c>
      <c r="H128" s="41">
        <f t="shared" si="102"/>
        <v>0</v>
      </c>
      <c r="I128" s="41">
        <f t="shared" si="102"/>
        <v>0</v>
      </c>
      <c r="J128" s="41">
        <f t="shared" si="102"/>
        <v>0</v>
      </c>
      <c r="K128" s="41">
        <f t="shared" si="102"/>
        <v>0</v>
      </c>
      <c r="L128" s="41">
        <f t="shared" si="102"/>
        <v>0</v>
      </c>
      <c r="M128" s="41">
        <f t="shared" si="102"/>
        <v>0</v>
      </c>
      <c r="N128" s="41">
        <f t="shared" si="102"/>
        <v>0</v>
      </c>
      <c r="O128" s="140">
        <f t="shared" si="59"/>
        <v>0</v>
      </c>
      <c r="P128" s="109">
        <v>0</v>
      </c>
      <c r="Q128" s="108">
        <f t="shared" si="60"/>
        <v>0</v>
      </c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  <c r="BU128" s="109"/>
      <c r="BV128" s="109"/>
    </row>
    <row r="129" spans="1:74" s="87" customFormat="1" ht="14.25" x14ac:dyDescent="0.2">
      <c r="A129" s="76" t="s">
        <v>518</v>
      </c>
      <c r="B129" s="77" t="s">
        <v>208</v>
      </c>
      <c r="C129" s="41">
        <f t="shared" ref="C129:N129" si="103">+C126*8%</f>
        <v>0</v>
      </c>
      <c r="D129" s="41">
        <f t="shared" si="103"/>
        <v>0</v>
      </c>
      <c r="E129" s="41">
        <f t="shared" si="103"/>
        <v>0</v>
      </c>
      <c r="F129" s="41">
        <f t="shared" si="103"/>
        <v>0</v>
      </c>
      <c r="G129" s="41">
        <f t="shared" si="103"/>
        <v>0</v>
      </c>
      <c r="H129" s="41">
        <f t="shared" si="103"/>
        <v>0</v>
      </c>
      <c r="I129" s="41">
        <f t="shared" si="103"/>
        <v>0</v>
      </c>
      <c r="J129" s="41">
        <f t="shared" si="103"/>
        <v>0</v>
      </c>
      <c r="K129" s="41">
        <f t="shared" si="103"/>
        <v>0</v>
      </c>
      <c r="L129" s="41">
        <f t="shared" si="103"/>
        <v>0</v>
      </c>
      <c r="M129" s="41">
        <f t="shared" si="103"/>
        <v>0</v>
      </c>
      <c r="N129" s="41">
        <f t="shared" si="103"/>
        <v>0</v>
      </c>
      <c r="O129" s="140">
        <f t="shared" si="59"/>
        <v>0</v>
      </c>
      <c r="P129" s="86">
        <v>0</v>
      </c>
      <c r="Q129" s="108">
        <f t="shared" si="60"/>
        <v>0</v>
      </c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</row>
    <row r="130" spans="1:74" s="87" customFormat="1" ht="28.5" x14ac:dyDescent="0.2">
      <c r="A130" s="76" t="s">
        <v>519</v>
      </c>
      <c r="B130" s="77" t="s">
        <v>209</v>
      </c>
      <c r="C130" s="41">
        <f t="shared" ref="C130:N130" si="104">+C126*3%</f>
        <v>0</v>
      </c>
      <c r="D130" s="41">
        <f t="shared" si="104"/>
        <v>0</v>
      </c>
      <c r="E130" s="41">
        <f t="shared" si="104"/>
        <v>0</v>
      </c>
      <c r="F130" s="41">
        <f t="shared" si="104"/>
        <v>0</v>
      </c>
      <c r="G130" s="41">
        <f t="shared" si="104"/>
        <v>0</v>
      </c>
      <c r="H130" s="41">
        <f t="shared" si="104"/>
        <v>0</v>
      </c>
      <c r="I130" s="41">
        <f t="shared" si="104"/>
        <v>0</v>
      </c>
      <c r="J130" s="41">
        <f t="shared" si="104"/>
        <v>0</v>
      </c>
      <c r="K130" s="41">
        <f t="shared" si="104"/>
        <v>0</v>
      </c>
      <c r="L130" s="41">
        <f t="shared" si="104"/>
        <v>0</v>
      </c>
      <c r="M130" s="41">
        <f t="shared" si="104"/>
        <v>0</v>
      </c>
      <c r="N130" s="41">
        <f t="shared" si="104"/>
        <v>0</v>
      </c>
      <c r="O130" s="140">
        <f t="shared" si="59"/>
        <v>0</v>
      </c>
      <c r="P130" s="86">
        <v>0</v>
      </c>
      <c r="Q130" s="108">
        <f t="shared" si="60"/>
        <v>0</v>
      </c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</row>
    <row r="131" spans="1:74" s="110" customFormat="1" ht="28.5" x14ac:dyDescent="0.2">
      <c r="A131" s="76" t="s">
        <v>520</v>
      </c>
      <c r="B131" s="77" t="s">
        <v>210</v>
      </c>
      <c r="C131" s="41">
        <f t="shared" ref="C131:N131" si="105">+C126*2%</f>
        <v>0</v>
      </c>
      <c r="D131" s="41">
        <f t="shared" si="105"/>
        <v>0</v>
      </c>
      <c r="E131" s="41">
        <f t="shared" si="105"/>
        <v>0</v>
      </c>
      <c r="F131" s="41">
        <f t="shared" si="105"/>
        <v>0</v>
      </c>
      <c r="G131" s="41">
        <f t="shared" si="105"/>
        <v>0</v>
      </c>
      <c r="H131" s="41">
        <f t="shared" si="105"/>
        <v>0</v>
      </c>
      <c r="I131" s="41">
        <f t="shared" si="105"/>
        <v>0</v>
      </c>
      <c r="J131" s="41">
        <f t="shared" si="105"/>
        <v>0</v>
      </c>
      <c r="K131" s="41">
        <f t="shared" si="105"/>
        <v>0</v>
      </c>
      <c r="L131" s="41">
        <f t="shared" si="105"/>
        <v>0</v>
      </c>
      <c r="M131" s="41">
        <f t="shared" si="105"/>
        <v>0</v>
      </c>
      <c r="N131" s="41">
        <f t="shared" si="105"/>
        <v>0</v>
      </c>
      <c r="O131" s="140">
        <f t="shared" si="59"/>
        <v>0</v>
      </c>
      <c r="P131" s="109">
        <v>0</v>
      </c>
      <c r="Q131" s="108">
        <f t="shared" si="60"/>
        <v>0</v>
      </c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</row>
    <row r="132" spans="1:74" s="110" customFormat="1" ht="31.5" x14ac:dyDescent="0.2">
      <c r="A132" s="81" t="s">
        <v>521</v>
      </c>
      <c r="B132" s="79" t="s">
        <v>522</v>
      </c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140">
        <f t="shared" si="59"/>
        <v>0</v>
      </c>
      <c r="P132" s="109">
        <v>0</v>
      </c>
      <c r="Q132" s="108">
        <f t="shared" si="60"/>
        <v>0</v>
      </c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</row>
    <row r="133" spans="1:74" s="110" customFormat="1" ht="28.5" x14ac:dyDescent="0.2">
      <c r="A133" s="76" t="s">
        <v>523</v>
      </c>
      <c r="B133" s="77" t="s">
        <v>204</v>
      </c>
      <c r="C133" s="41">
        <f t="shared" ref="C133:N133" si="106">+C132*60%</f>
        <v>0</v>
      </c>
      <c r="D133" s="41">
        <f t="shared" si="106"/>
        <v>0</v>
      </c>
      <c r="E133" s="41">
        <f t="shared" si="106"/>
        <v>0</v>
      </c>
      <c r="F133" s="41">
        <f t="shared" si="106"/>
        <v>0</v>
      </c>
      <c r="G133" s="41">
        <f t="shared" si="106"/>
        <v>0</v>
      </c>
      <c r="H133" s="41">
        <f t="shared" si="106"/>
        <v>0</v>
      </c>
      <c r="I133" s="41">
        <f t="shared" si="106"/>
        <v>0</v>
      </c>
      <c r="J133" s="41">
        <f t="shared" si="106"/>
        <v>0</v>
      </c>
      <c r="K133" s="41">
        <f t="shared" si="106"/>
        <v>0</v>
      </c>
      <c r="L133" s="41">
        <f t="shared" si="106"/>
        <v>0</v>
      </c>
      <c r="M133" s="41">
        <f t="shared" si="106"/>
        <v>0</v>
      </c>
      <c r="N133" s="41">
        <f t="shared" si="106"/>
        <v>0</v>
      </c>
      <c r="O133" s="140">
        <f t="shared" si="59"/>
        <v>0</v>
      </c>
      <c r="P133" s="109">
        <v>0</v>
      </c>
      <c r="Q133" s="108">
        <f t="shared" si="60"/>
        <v>0</v>
      </c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</row>
    <row r="134" spans="1:74" s="110" customFormat="1" ht="28.5" x14ac:dyDescent="0.2">
      <c r="A134" s="76" t="s">
        <v>524</v>
      </c>
      <c r="B134" s="77" t="s">
        <v>205</v>
      </c>
      <c r="C134" s="41">
        <f t="shared" ref="C134:N134" si="107">+C132*19%</f>
        <v>0</v>
      </c>
      <c r="D134" s="41">
        <f t="shared" si="107"/>
        <v>0</v>
      </c>
      <c r="E134" s="41">
        <f t="shared" si="107"/>
        <v>0</v>
      </c>
      <c r="F134" s="41">
        <f t="shared" si="107"/>
        <v>0</v>
      </c>
      <c r="G134" s="41">
        <f t="shared" si="107"/>
        <v>0</v>
      </c>
      <c r="H134" s="41">
        <f t="shared" si="107"/>
        <v>0</v>
      </c>
      <c r="I134" s="41">
        <f t="shared" si="107"/>
        <v>0</v>
      </c>
      <c r="J134" s="41">
        <f t="shared" si="107"/>
        <v>0</v>
      </c>
      <c r="K134" s="41">
        <f t="shared" si="107"/>
        <v>0</v>
      </c>
      <c r="L134" s="41">
        <f t="shared" si="107"/>
        <v>0</v>
      </c>
      <c r="M134" s="41">
        <f t="shared" si="107"/>
        <v>0</v>
      </c>
      <c r="N134" s="41">
        <f t="shared" si="107"/>
        <v>0</v>
      </c>
      <c r="O134" s="140">
        <f t="shared" si="59"/>
        <v>0</v>
      </c>
      <c r="P134" s="109">
        <v>0</v>
      </c>
      <c r="Q134" s="108">
        <f t="shared" si="60"/>
        <v>0</v>
      </c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</row>
    <row r="135" spans="1:74" s="87" customFormat="1" ht="14.25" x14ac:dyDescent="0.2">
      <c r="A135" s="76" t="s">
        <v>525</v>
      </c>
      <c r="B135" s="77" t="s">
        <v>526</v>
      </c>
      <c r="C135" s="41">
        <f t="shared" ref="C135:N135" si="108">+C132*1%</f>
        <v>0</v>
      </c>
      <c r="D135" s="41">
        <f t="shared" si="108"/>
        <v>0</v>
      </c>
      <c r="E135" s="41">
        <f t="shared" si="108"/>
        <v>0</v>
      </c>
      <c r="F135" s="41">
        <f t="shared" si="108"/>
        <v>0</v>
      </c>
      <c r="G135" s="41">
        <f t="shared" si="108"/>
        <v>0</v>
      </c>
      <c r="H135" s="41">
        <f t="shared" si="108"/>
        <v>0</v>
      </c>
      <c r="I135" s="41">
        <f t="shared" si="108"/>
        <v>0</v>
      </c>
      <c r="J135" s="41">
        <f t="shared" si="108"/>
        <v>0</v>
      </c>
      <c r="K135" s="41">
        <f t="shared" si="108"/>
        <v>0</v>
      </c>
      <c r="L135" s="41">
        <f t="shared" si="108"/>
        <v>0</v>
      </c>
      <c r="M135" s="41">
        <f t="shared" si="108"/>
        <v>0</v>
      </c>
      <c r="N135" s="41">
        <f t="shared" si="108"/>
        <v>0</v>
      </c>
      <c r="O135" s="140">
        <f t="shared" si="59"/>
        <v>0</v>
      </c>
      <c r="P135" s="86">
        <v>0</v>
      </c>
      <c r="Q135" s="108">
        <f t="shared" si="60"/>
        <v>0</v>
      </c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</row>
    <row r="136" spans="1:74" s="110" customFormat="1" ht="14.25" x14ac:dyDescent="0.2">
      <c r="A136" s="76" t="s">
        <v>527</v>
      </c>
      <c r="B136" s="77" t="s">
        <v>528</v>
      </c>
      <c r="C136" s="41">
        <f t="shared" ref="C136:N136" si="109">+C132*20%</f>
        <v>0</v>
      </c>
      <c r="D136" s="41">
        <f t="shared" si="109"/>
        <v>0</v>
      </c>
      <c r="E136" s="41">
        <f t="shared" si="109"/>
        <v>0</v>
      </c>
      <c r="F136" s="41">
        <f t="shared" si="109"/>
        <v>0</v>
      </c>
      <c r="G136" s="41">
        <f t="shared" si="109"/>
        <v>0</v>
      </c>
      <c r="H136" s="41">
        <f t="shared" si="109"/>
        <v>0</v>
      </c>
      <c r="I136" s="41">
        <f t="shared" si="109"/>
        <v>0</v>
      </c>
      <c r="J136" s="41">
        <f t="shared" si="109"/>
        <v>0</v>
      </c>
      <c r="K136" s="41">
        <f t="shared" si="109"/>
        <v>0</v>
      </c>
      <c r="L136" s="41">
        <f t="shared" si="109"/>
        <v>0</v>
      </c>
      <c r="M136" s="41">
        <f t="shared" si="109"/>
        <v>0</v>
      </c>
      <c r="N136" s="41">
        <f t="shared" si="109"/>
        <v>0</v>
      </c>
      <c r="O136" s="140">
        <f t="shared" si="59"/>
        <v>0</v>
      </c>
      <c r="P136" s="109">
        <v>0</v>
      </c>
      <c r="Q136" s="108">
        <f t="shared" si="60"/>
        <v>0</v>
      </c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</row>
    <row r="137" spans="1:74" s="110" customFormat="1" ht="15.75" x14ac:dyDescent="0.2">
      <c r="A137" s="81" t="s">
        <v>529</v>
      </c>
      <c r="B137" s="79" t="s">
        <v>530</v>
      </c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140">
        <f t="shared" si="59"/>
        <v>0</v>
      </c>
      <c r="P137" s="109">
        <v>0</v>
      </c>
      <c r="Q137" s="108">
        <f t="shared" si="60"/>
        <v>0</v>
      </c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  <c r="BU137" s="109"/>
      <c r="BV137" s="109"/>
    </row>
    <row r="138" spans="1:74" s="110" customFormat="1" ht="14.25" x14ac:dyDescent="0.2">
      <c r="A138" s="76" t="s">
        <v>531</v>
      </c>
      <c r="B138" s="77" t="s">
        <v>196</v>
      </c>
      <c r="C138" s="41">
        <f t="shared" ref="C138:N138" si="110">+C137*60%</f>
        <v>0</v>
      </c>
      <c r="D138" s="41">
        <f t="shared" si="110"/>
        <v>0</v>
      </c>
      <c r="E138" s="41">
        <f t="shared" si="110"/>
        <v>0</v>
      </c>
      <c r="F138" s="41">
        <f t="shared" si="110"/>
        <v>0</v>
      </c>
      <c r="G138" s="41">
        <f t="shared" si="110"/>
        <v>0</v>
      </c>
      <c r="H138" s="41">
        <f t="shared" si="110"/>
        <v>0</v>
      </c>
      <c r="I138" s="41">
        <f t="shared" si="110"/>
        <v>0</v>
      </c>
      <c r="J138" s="41">
        <f t="shared" si="110"/>
        <v>0</v>
      </c>
      <c r="K138" s="41">
        <f t="shared" si="110"/>
        <v>0</v>
      </c>
      <c r="L138" s="41">
        <f t="shared" si="110"/>
        <v>0</v>
      </c>
      <c r="M138" s="41">
        <f t="shared" si="110"/>
        <v>0</v>
      </c>
      <c r="N138" s="41">
        <f t="shared" si="110"/>
        <v>0</v>
      </c>
      <c r="O138" s="140">
        <f t="shared" si="59"/>
        <v>0</v>
      </c>
      <c r="P138" s="109">
        <v>0</v>
      </c>
      <c r="Q138" s="108">
        <f t="shared" si="60"/>
        <v>0</v>
      </c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</row>
    <row r="139" spans="1:74" s="110" customFormat="1" ht="14.25" x14ac:dyDescent="0.2">
      <c r="A139" s="76" t="s">
        <v>532</v>
      </c>
      <c r="B139" s="77" t="s">
        <v>197</v>
      </c>
      <c r="C139" s="41">
        <f t="shared" ref="C139:N139" si="111">+C137*20%</f>
        <v>0</v>
      </c>
      <c r="D139" s="41">
        <f t="shared" si="111"/>
        <v>0</v>
      </c>
      <c r="E139" s="41">
        <f t="shared" si="111"/>
        <v>0</v>
      </c>
      <c r="F139" s="41">
        <f t="shared" si="111"/>
        <v>0</v>
      </c>
      <c r="G139" s="41">
        <f t="shared" si="111"/>
        <v>0</v>
      </c>
      <c r="H139" s="41">
        <f t="shared" si="111"/>
        <v>0</v>
      </c>
      <c r="I139" s="41">
        <f t="shared" si="111"/>
        <v>0</v>
      </c>
      <c r="J139" s="41">
        <f t="shared" si="111"/>
        <v>0</v>
      </c>
      <c r="K139" s="41">
        <f t="shared" si="111"/>
        <v>0</v>
      </c>
      <c r="L139" s="41">
        <f t="shared" si="111"/>
        <v>0</v>
      </c>
      <c r="M139" s="41">
        <f t="shared" si="111"/>
        <v>0</v>
      </c>
      <c r="N139" s="41">
        <f t="shared" si="111"/>
        <v>0</v>
      </c>
      <c r="O139" s="140">
        <f t="shared" si="59"/>
        <v>0</v>
      </c>
      <c r="P139" s="109">
        <v>0</v>
      </c>
      <c r="Q139" s="108">
        <f t="shared" si="60"/>
        <v>0</v>
      </c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</row>
    <row r="140" spans="1:74" s="110" customFormat="1" ht="28.5" x14ac:dyDescent="0.2">
      <c r="A140" s="76" t="s">
        <v>533</v>
      </c>
      <c r="B140" s="77" t="s">
        <v>198</v>
      </c>
      <c r="C140" s="41">
        <f t="shared" ref="C140:N140" si="112">+C137*10%</f>
        <v>0</v>
      </c>
      <c r="D140" s="41">
        <f t="shared" si="112"/>
        <v>0</v>
      </c>
      <c r="E140" s="41">
        <f t="shared" si="112"/>
        <v>0</v>
      </c>
      <c r="F140" s="41">
        <f t="shared" si="112"/>
        <v>0</v>
      </c>
      <c r="G140" s="41">
        <f t="shared" si="112"/>
        <v>0</v>
      </c>
      <c r="H140" s="41">
        <f t="shared" si="112"/>
        <v>0</v>
      </c>
      <c r="I140" s="41">
        <f t="shared" si="112"/>
        <v>0</v>
      </c>
      <c r="J140" s="41">
        <f t="shared" si="112"/>
        <v>0</v>
      </c>
      <c r="K140" s="41">
        <f t="shared" si="112"/>
        <v>0</v>
      </c>
      <c r="L140" s="41">
        <f t="shared" si="112"/>
        <v>0</v>
      </c>
      <c r="M140" s="41">
        <f t="shared" si="112"/>
        <v>0</v>
      </c>
      <c r="N140" s="41">
        <f t="shared" si="112"/>
        <v>0</v>
      </c>
      <c r="O140" s="140">
        <f t="shared" si="59"/>
        <v>0</v>
      </c>
      <c r="P140" s="109">
        <v>0</v>
      </c>
      <c r="Q140" s="108">
        <f t="shared" ref="Q140:Q205" si="113">+P140-O140</f>
        <v>0</v>
      </c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</row>
    <row r="141" spans="1:74" s="110" customFormat="1" ht="28.5" x14ac:dyDescent="0.2">
      <c r="A141" s="76" t="s">
        <v>534</v>
      </c>
      <c r="B141" s="77" t="s">
        <v>199</v>
      </c>
      <c r="C141" s="41">
        <f t="shared" ref="C141:N141" si="114">+C137*10%</f>
        <v>0</v>
      </c>
      <c r="D141" s="41">
        <f t="shared" si="114"/>
        <v>0</v>
      </c>
      <c r="E141" s="41">
        <f t="shared" si="114"/>
        <v>0</v>
      </c>
      <c r="F141" s="41">
        <f t="shared" si="114"/>
        <v>0</v>
      </c>
      <c r="G141" s="41">
        <f t="shared" si="114"/>
        <v>0</v>
      </c>
      <c r="H141" s="41">
        <f t="shared" si="114"/>
        <v>0</v>
      </c>
      <c r="I141" s="41">
        <f t="shared" si="114"/>
        <v>0</v>
      </c>
      <c r="J141" s="41">
        <f t="shared" si="114"/>
        <v>0</v>
      </c>
      <c r="K141" s="41">
        <f t="shared" si="114"/>
        <v>0</v>
      </c>
      <c r="L141" s="41">
        <f t="shared" si="114"/>
        <v>0</v>
      </c>
      <c r="M141" s="41">
        <f t="shared" si="114"/>
        <v>0</v>
      </c>
      <c r="N141" s="41">
        <f t="shared" si="114"/>
        <v>0</v>
      </c>
      <c r="O141" s="140">
        <f t="shared" ref="O141:O209" si="115">SUM(C141:N141)</f>
        <v>0</v>
      </c>
      <c r="P141" s="109">
        <v>0</v>
      </c>
      <c r="Q141" s="108">
        <f t="shared" si="113"/>
        <v>0</v>
      </c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</row>
    <row r="142" spans="1:74" s="110" customFormat="1" ht="39" x14ac:dyDescent="0.2">
      <c r="A142" s="212" t="s">
        <v>535</v>
      </c>
      <c r="B142" s="213" t="s">
        <v>211</v>
      </c>
      <c r="C142" s="217">
        <f t="shared" ref="C142:N142" si="116">+C143+C151+C181+C191+C219</f>
        <v>0</v>
      </c>
      <c r="D142" s="217">
        <f t="shared" si="116"/>
        <v>0</v>
      </c>
      <c r="E142" s="217">
        <f t="shared" si="116"/>
        <v>0</v>
      </c>
      <c r="F142" s="217">
        <f t="shared" si="116"/>
        <v>0</v>
      </c>
      <c r="G142" s="217">
        <f t="shared" si="116"/>
        <v>0</v>
      </c>
      <c r="H142" s="217">
        <f t="shared" si="116"/>
        <v>0</v>
      </c>
      <c r="I142" s="217">
        <f t="shared" si="116"/>
        <v>0</v>
      </c>
      <c r="J142" s="217">
        <f t="shared" si="116"/>
        <v>0</v>
      </c>
      <c r="K142" s="217">
        <f t="shared" si="116"/>
        <v>0</v>
      </c>
      <c r="L142" s="217">
        <f t="shared" si="116"/>
        <v>0</v>
      </c>
      <c r="M142" s="217">
        <f t="shared" si="116"/>
        <v>0</v>
      </c>
      <c r="N142" s="217">
        <f t="shared" si="116"/>
        <v>0</v>
      </c>
      <c r="O142" s="140">
        <f t="shared" si="115"/>
        <v>0</v>
      </c>
      <c r="P142" s="109">
        <v>0</v>
      </c>
      <c r="Q142" s="108">
        <f t="shared" si="113"/>
        <v>0</v>
      </c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</row>
    <row r="143" spans="1:74" s="110" customFormat="1" ht="19.5" x14ac:dyDescent="0.2">
      <c r="A143" s="81" t="s">
        <v>536</v>
      </c>
      <c r="B143" s="79" t="s">
        <v>537</v>
      </c>
      <c r="C143" s="217">
        <f t="shared" ref="C143:N143" si="117">+C144+C146</f>
        <v>0</v>
      </c>
      <c r="D143" s="217">
        <f t="shared" si="117"/>
        <v>0</v>
      </c>
      <c r="E143" s="217">
        <f t="shared" si="117"/>
        <v>0</v>
      </c>
      <c r="F143" s="217">
        <f t="shared" si="117"/>
        <v>0</v>
      </c>
      <c r="G143" s="217">
        <f t="shared" si="117"/>
        <v>0</v>
      </c>
      <c r="H143" s="217">
        <f t="shared" si="117"/>
        <v>0</v>
      </c>
      <c r="I143" s="217">
        <f t="shared" si="117"/>
        <v>0</v>
      </c>
      <c r="J143" s="217">
        <f t="shared" si="117"/>
        <v>0</v>
      </c>
      <c r="K143" s="217">
        <f t="shared" si="117"/>
        <v>0</v>
      </c>
      <c r="L143" s="217">
        <f t="shared" si="117"/>
        <v>0</v>
      </c>
      <c r="M143" s="217">
        <f t="shared" si="117"/>
        <v>0</v>
      </c>
      <c r="N143" s="217">
        <f t="shared" si="117"/>
        <v>0</v>
      </c>
      <c r="O143" s="140">
        <f t="shared" si="115"/>
        <v>0</v>
      </c>
      <c r="P143" s="109">
        <v>0</v>
      </c>
      <c r="Q143" s="108">
        <f t="shared" si="113"/>
        <v>0</v>
      </c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</row>
    <row r="144" spans="1:74" s="110" customFormat="1" ht="15.75" x14ac:dyDescent="0.2">
      <c r="A144" s="81" t="s">
        <v>538</v>
      </c>
      <c r="B144" s="79" t="s">
        <v>539</v>
      </c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140">
        <f t="shared" si="115"/>
        <v>0</v>
      </c>
      <c r="P144" s="109">
        <v>0</v>
      </c>
      <c r="Q144" s="108">
        <f t="shared" si="113"/>
        <v>0</v>
      </c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</row>
    <row r="145" spans="1:74" s="110" customFormat="1" ht="28.5" x14ac:dyDescent="0.2">
      <c r="A145" s="76" t="s">
        <v>540</v>
      </c>
      <c r="B145" s="77" t="s">
        <v>541</v>
      </c>
      <c r="C145" s="128">
        <f t="shared" ref="C145:N145" si="118">+C144</f>
        <v>0</v>
      </c>
      <c r="D145" s="128">
        <f t="shared" si="118"/>
        <v>0</v>
      </c>
      <c r="E145" s="128">
        <f t="shared" si="118"/>
        <v>0</v>
      </c>
      <c r="F145" s="128">
        <f t="shared" si="118"/>
        <v>0</v>
      </c>
      <c r="G145" s="128">
        <f t="shared" si="118"/>
        <v>0</v>
      </c>
      <c r="H145" s="128">
        <f t="shared" si="118"/>
        <v>0</v>
      </c>
      <c r="I145" s="128">
        <f t="shared" si="118"/>
        <v>0</v>
      </c>
      <c r="J145" s="128">
        <f t="shared" si="118"/>
        <v>0</v>
      </c>
      <c r="K145" s="128">
        <f t="shared" si="118"/>
        <v>0</v>
      </c>
      <c r="L145" s="128">
        <f t="shared" si="118"/>
        <v>0</v>
      </c>
      <c r="M145" s="128">
        <f t="shared" si="118"/>
        <v>0</v>
      </c>
      <c r="N145" s="128">
        <f t="shared" si="118"/>
        <v>0</v>
      </c>
      <c r="O145" s="140">
        <f t="shared" si="115"/>
        <v>0</v>
      </c>
      <c r="P145" s="109">
        <v>0</v>
      </c>
      <c r="Q145" s="108">
        <f t="shared" si="113"/>
        <v>0</v>
      </c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</row>
    <row r="146" spans="1:74" s="87" customFormat="1" ht="19.5" x14ac:dyDescent="0.2">
      <c r="A146" s="81" t="s">
        <v>542</v>
      </c>
      <c r="B146" s="79" t="s">
        <v>543</v>
      </c>
      <c r="C146" s="217">
        <f t="shared" ref="C146:N146" si="119">+C147+C150</f>
        <v>0</v>
      </c>
      <c r="D146" s="217">
        <f t="shared" si="119"/>
        <v>0</v>
      </c>
      <c r="E146" s="217">
        <f t="shared" si="119"/>
        <v>0</v>
      </c>
      <c r="F146" s="217">
        <f t="shared" si="119"/>
        <v>0</v>
      </c>
      <c r="G146" s="217">
        <f t="shared" si="119"/>
        <v>0</v>
      </c>
      <c r="H146" s="217">
        <f t="shared" si="119"/>
        <v>0</v>
      </c>
      <c r="I146" s="217">
        <f t="shared" si="119"/>
        <v>0</v>
      </c>
      <c r="J146" s="217">
        <f t="shared" si="119"/>
        <v>0</v>
      </c>
      <c r="K146" s="217">
        <f t="shared" si="119"/>
        <v>0</v>
      </c>
      <c r="L146" s="217">
        <f t="shared" si="119"/>
        <v>0</v>
      </c>
      <c r="M146" s="217">
        <f t="shared" si="119"/>
        <v>0</v>
      </c>
      <c r="N146" s="217">
        <f t="shared" si="119"/>
        <v>0</v>
      </c>
      <c r="O146" s="140">
        <f t="shared" si="115"/>
        <v>0</v>
      </c>
      <c r="P146" s="86">
        <v>0</v>
      </c>
      <c r="Q146" s="108">
        <f t="shared" si="113"/>
        <v>0</v>
      </c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</row>
    <row r="147" spans="1:74" s="110" customFormat="1" ht="19.5" x14ac:dyDescent="0.2">
      <c r="A147" s="81" t="s">
        <v>544</v>
      </c>
      <c r="B147" s="79" t="s">
        <v>233</v>
      </c>
      <c r="C147" s="217">
        <f t="shared" ref="C147:N147" si="120">SUM(C148:C149)</f>
        <v>0</v>
      </c>
      <c r="D147" s="217">
        <f t="shared" si="120"/>
        <v>0</v>
      </c>
      <c r="E147" s="217">
        <f t="shared" si="120"/>
        <v>0</v>
      </c>
      <c r="F147" s="217">
        <f t="shared" si="120"/>
        <v>0</v>
      </c>
      <c r="G147" s="217">
        <f t="shared" si="120"/>
        <v>0</v>
      </c>
      <c r="H147" s="217">
        <f t="shared" si="120"/>
        <v>0</v>
      </c>
      <c r="I147" s="217">
        <f t="shared" si="120"/>
        <v>0</v>
      </c>
      <c r="J147" s="217">
        <f t="shared" si="120"/>
        <v>0</v>
      </c>
      <c r="K147" s="217">
        <f t="shared" si="120"/>
        <v>0</v>
      </c>
      <c r="L147" s="217">
        <f t="shared" si="120"/>
        <v>0</v>
      </c>
      <c r="M147" s="217">
        <f t="shared" si="120"/>
        <v>0</v>
      </c>
      <c r="N147" s="217">
        <f t="shared" si="120"/>
        <v>0</v>
      </c>
      <c r="O147" s="140">
        <f t="shared" si="115"/>
        <v>0</v>
      </c>
      <c r="P147" s="109">
        <v>0</v>
      </c>
      <c r="Q147" s="108">
        <f t="shared" si="113"/>
        <v>0</v>
      </c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</row>
    <row r="148" spans="1:74" s="110" customFormat="1" ht="28.5" x14ac:dyDescent="0.2">
      <c r="A148" s="76" t="s">
        <v>545</v>
      </c>
      <c r="B148" s="77" t="s">
        <v>234</v>
      </c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40">
        <f t="shared" si="115"/>
        <v>0</v>
      </c>
      <c r="P148" s="109">
        <v>0</v>
      </c>
      <c r="Q148" s="108">
        <f t="shared" si="113"/>
        <v>0</v>
      </c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</row>
    <row r="149" spans="1:74" s="110" customFormat="1" ht="28.5" x14ac:dyDescent="0.2">
      <c r="A149" s="76" t="s">
        <v>546</v>
      </c>
      <c r="B149" s="77" t="s">
        <v>261</v>
      </c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40">
        <f t="shared" si="115"/>
        <v>0</v>
      </c>
      <c r="P149" s="109">
        <v>0</v>
      </c>
      <c r="Q149" s="108">
        <f t="shared" si="113"/>
        <v>0</v>
      </c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</row>
    <row r="150" spans="1:74" s="110" customFormat="1" ht="30" x14ac:dyDescent="0.2">
      <c r="A150" s="81" t="s">
        <v>547</v>
      </c>
      <c r="B150" s="83" t="s">
        <v>548</v>
      </c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140">
        <f t="shared" si="115"/>
        <v>0</v>
      </c>
      <c r="P150" s="109">
        <v>0</v>
      </c>
      <c r="Q150" s="108">
        <f t="shared" si="113"/>
        <v>0</v>
      </c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</row>
    <row r="151" spans="1:74" s="110" customFormat="1" ht="31.5" x14ac:dyDescent="0.2">
      <c r="A151" s="81" t="s">
        <v>549</v>
      </c>
      <c r="B151" s="79" t="s">
        <v>550</v>
      </c>
      <c r="C151" s="217">
        <f t="shared" ref="C151:N151" si="121">+C152+C167</f>
        <v>0</v>
      </c>
      <c r="D151" s="217">
        <f t="shared" si="121"/>
        <v>0</v>
      </c>
      <c r="E151" s="217">
        <f t="shared" si="121"/>
        <v>0</v>
      </c>
      <c r="F151" s="217">
        <f t="shared" si="121"/>
        <v>0</v>
      </c>
      <c r="G151" s="217">
        <f t="shared" si="121"/>
        <v>0</v>
      </c>
      <c r="H151" s="217">
        <f t="shared" si="121"/>
        <v>0</v>
      </c>
      <c r="I151" s="217">
        <f t="shared" si="121"/>
        <v>0</v>
      </c>
      <c r="J151" s="217">
        <f t="shared" si="121"/>
        <v>0</v>
      </c>
      <c r="K151" s="217">
        <f t="shared" si="121"/>
        <v>0</v>
      </c>
      <c r="L151" s="217">
        <f t="shared" si="121"/>
        <v>0</v>
      </c>
      <c r="M151" s="217">
        <f t="shared" si="121"/>
        <v>0</v>
      </c>
      <c r="N151" s="217">
        <f t="shared" si="121"/>
        <v>0</v>
      </c>
      <c r="O151" s="140">
        <f t="shared" si="115"/>
        <v>0</v>
      </c>
      <c r="P151" s="109">
        <v>0</v>
      </c>
      <c r="Q151" s="108">
        <f t="shared" si="113"/>
        <v>0</v>
      </c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</row>
    <row r="152" spans="1:74" s="87" customFormat="1" ht="19.5" x14ac:dyDescent="0.2">
      <c r="A152" s="81" t="s">
        <v>551</v>
      </c>
      <c r="B152" s="79" t="s">
        <v>552</v>
      </c>
      <c r="C152" s="217">
        <f t="shared" ref="C152:N152" si="122">+C153</f>
        <v>0</v>
      </c>
      <c r="D152" s="217">
        <f t="shared" si="122"/>
        <v>0</v>
      </c>
      <c r="E152" s="217">
        <f t="shared" si="122"/>
        <v>0</v>
      </c>
      <c r="F152" s="217">
        <f t="shared" si="122"/>
        <v>0</v>
      </c>
      <c r="G152" s="217">
        <f t="shared" si="122"/>
        <v>0</v>
      </c>
      <c r="H152" s="217">
        <f t="shared" si="122"/>
        <v>0</v>
      </c>
      <c r="I152" s="217">
        <f t="shared" si="122"/>
        <v>0</v>
      </c>
      <c r="J152" s="217">
        <f t="shared" si="122"/>
        <v>0</v>
      </c>
      <c r="K152" s="217">
        <f t="shared" si="122"/>
        <v>0</v>
      </c>
      <c r="L152" s="217">
        <f t="shared" si="122"/>
        <v>0</v>
      </c>
      <c r="M152" s="217">
        <f t="shared" si="122"/>
        <v>0</v>
      </c>
      <c r="N152" s="217">
        <f t="shared" si="122"/>
        <v>0</v>
      </c>
      <c r="O152" s="140">
        <f t="shared" si="115"/>
        <v>0</v>
      </c>
      <c r="P152" s="86">
        <v>0</v>
      </c>
      <c r="Q152" s="108">
        <f t="shared" si="113"/>
        <v>0</v>
      </c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</row>
    <row r="153" spans="1:74" s="110" customFormat="1" ht="19.5" x14ac:dyDescent="0.2">
      <c r="A153" s="81" t="s">
        <v>553</v>
      </c>
      <c r="B153" s="79" t="s">
        <v>554</v>
      </c>
      <c r="C153" s="217">
        <f t="shared" ref="C153:N153" si="123">+C154+C161</f>
        <v>0</v>
      </c>
      <c r="D153" s="217">
        <f t="shared" si="123"/>
        <v>0</v>
      </c>
      <c r="E153" s="217">
        <f t="shared" si="123"/>
        <v>0</v>
      </c>
      <c r="F153" s="217">
        <f t="shared" si="123"/>
        <v>0</v>
      </c>
      <c r="G153" s="217">
        <f t="shared" si="123"/>
        <v>0</v>
      </c>
      <c r="H153" s="217">
        <f t="shared" si="123"/>
        <v>0</v>
      </c>
      <c r="I153" s="217">
        <f t="shared" si="123"/>
        <v>0</v>
      </c>
      <c r="J153" s="217">
        <f t="shared" si="123"/>
        <v>0</v>
      </c>
      <c r="K153" s="217">
        <f t="shared" si="123"/>
        <v>0</v>
      </c>
      <c r="L153" s="217">
        <f t="shared" si="123"/>
        <v>0</v>
      </c>
      <c r="M153" s="217">
        <f t="shared" si="123"/>
        <v>0</v>
      </c>
      <c r="N153" s="217">
        <f t="shared" si="123"/>
        <v>0</v>
      </c>
      <c r="O153" s="140">
        <f t="shared" si="115"/>
        <v>0</v>
      </c>
      <c r="P153" s="109">
        <v>0</v>
      </c>
      <c r="Q153" s="108">
        <f t="shared" si="113"/>
        <v>0</v>
      </c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</row>
    <row r="154" spans="1:74" s="110" customFormat="1" ht="31.5" x14ac:dyDescent="0.2">
      <c r="A154" s="81" t="s">
        <v>555</v>
      </c>
      <c r="B154" s="79" t="s">
        <v>222</v>
      </c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140">
        <f t="shared" si="115"/>
        <v>0</v>
      </c>
      <c r="P154" s="109">
        <v>0</v>
      </c>
      <c r="Q154" s="108">
        <f t="shared" si="113"/>
        <v>0</v>
      </c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</row>
    <row r="155" spans="1:74" s="110" customFormat="1" ht="42.75" x14ac:dyDescent="0.2">
      <c r="A155" s="76" t="s">
        <v>556</v>
      </c>
      <c r="B155" s="77" t="s">
        <v>223</v>
      </c>
      <c r="C155" s="41">
        <f t="shared" ref="C155:N155" si="124">+C154*69.7845456%</f>
        <v>0</v>
      </c>
      <c r="D155" s="41">
        <f t="shared" si="124"/>
        <v>0</v>
      </c>
      <c r="E155" s="41">
        <f t="shared" si="124"/>
        <v>0</v>
      </c>
      <c r="F155" s="41">
        <f t="shared" si="124"/>
        <v>0</v>
      </c>
      <c r="G155" s="41">
        <f t="shared" si="124"/>
        <v>0</v>
      </c>
      <c r="H155" s="41">
        <f t="shared" si="124"/>
        <v>0</v>
      </c>
      <c r="I155" s="41">
        <f t="shared" si="124"/>
        <v>0</v>
      </c>
      <c r="J155" s="41">
        <f t="shared" si="124"/>
        <v>0</v>
      </c>
      <c r="K155" s="41">
        <f t="shared" si="124"/>
        <v>0</v>
      </c>
      <c r="L155" s="41">
        <f t="shared" si="124"/>
        <v>0</v>
      </c>
      <c r="M155" s="41">
        <f t="shared" si="124"/>
        <v>0</v>
      </c>
      <c r="N155" s="41">
        <f t="shared" si="124"/>
        <v>0</v>
      </c>
      <c r="O155" s="140">
        <f t="shared" si="115"/>
        <v>0</v>
      </c>
      <c r="P155" s="109">
        <v>0</v>
      </c>
      <c r="Q155" s="108">
        <f t="shared" si="113"/>
        <v>0</v>
      </c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  <c r="BU155" s="109"/>
      <c r="BV155" s="109"/>
    </row>
    <row r="156" spans="1:74" s="87" customFormat="1" ht="42.75" x14ac:dyDescent="0.2">
      <c r="A156" s="76" t="s">
        <v>557</v>
      </c>
      <c r="B156" s="77" t="s">
        <v>224</v>
      </c>
      <c r="C156" s="41">
        <f t="shared" ref="C156:N156" si="125">+C154*0.08%</f>
        <v>0</v>
      </c>
      <c r="D156" s="41">
        <f t="shared" si="125"/>
        <v>0</v>
      </c>
      <c r="E156" s="41">
        <f t="shared" si="125"/>
        <v>0</v>
      </c>
      <c r="F156" s="41">
        <f t="shared" si="125"/>
        <v>0</v>
      </c>
      <c r="G156" s="41">
        <f t="shared" si="125"/>
        <v>0</v>
      </c>
      <c r="H156" s="41">
        <f t="shared" si="125"/>
        <v>0</v>
      </c>
      <c r="I156" s="41">
        <f t="shared" si="125"/>
        <v>0</v>
      </c>
      <c r="J156" s="41">
        <f t="shared" si="125"/>
        <v>0</v>
      </c>
      <c r="K156" s="41">
        <f t="shared" si="125"/>
        <v>0</v>
      </c>
      <c r="L156" s="41">
        <f t="shared" si="125"/>
        <v>0</v>
      </c>
      <c r="M156" s="41">
        <f t="shared" si="125"/>
        <v>0</v>
      </c>
      <c r="N156" s="41">
        <f t="shared" si="125"/>
        <v>0</v>
      </c>
      <c r="O156" s="140">
        <f t="shared" si="115"/>
        <v>0</v>
      </c>
      <c r="P156" s="86">
        <v>0</v>
      </c>
      <c r="Q156" s="108">
        <f t="shared" si="113"/>
        <v>0</v>
      </c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</row>
    <row r="157" spans="1:74" s="110" customFormat="1" ht="42.75" x14ac:dyDescent="0.2">
      <c r="A157" s="76" t="s">
        <v>558</v>
      </c>
      <c r="B157" s="77" t="s">
        <v>225</v>
      </c>
      <c r="C157" s="41">
        <f t="shared" ref="C157:N157" si="126">+C154*7.992%</f>
        <v>0</v>
      </c>
      <c r="D157" s="41">
        <f t="shared" si="126"/>
        <v>0</v>
      </c>
      <c r="E157" s="41">
        <f t="shared" si="126"/>
        <v>0</v>
      </c>
      <c r="F157" s="41">
        <f t="shared" si="126"/>
        <v>0</v>
      </c>
      <c r="G157" s="41">
        <f t="shared" si="126"/>
        <v>0</v>
      </c>
      <c r="H157" s="41">
        <f t="shared" si="126"/>
        <v>0</v>
      </c>
      <c r="I157" s="41">
        <f t="shared" si="126"/>
        <v>0</v>
      </c>
      <c r="J157" s="41">
        <f t="shared" si="126"/>
        <v>0</v>
      </c>
      <c r="K157" s="41">
        <f t="shared" si="126"/>
        <v>0</v>
      </c>
      <c r="L157" s="41">
        <f t="shared" si="126"/>
        <v>0</v>
      </c>
      <c r="M157" s="41">
        <f t="shared" si="126"/>
        <v>0</v>
      </c>
      <c r="N157" s="41">
        <f t="shared" si="126"/>
        <v>0</v>
      </c>
      <c r="O157" s="140">
        <f t="shared" si="115"/>
        <v>0</v>
      </c>
      <c r="P157" s="109">
        <v>0</v>
      </c>
      <c r="Q157" s="108">
        <f t="shared" si="113"/>
        <v>0</v>
      </c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</row>
    <row r="158" spans="1:74" s="110" customFormat="1" ht="42.75" x14ac:dyDescent="0.2">
      <c r="A158" s="76" t="s">
        <v>559</v>
      </c>
      <c r="B158" s="77" t="s">
        <v>226</v>
      </c>
      <c r="C158" s="41">
        <f t="shared" ref="C158:N158" si="127">+C154*1.43856%</f>
        <v>0</v>
      </c>
      <c r="D158" s="41">
        <f t="shared" si="127"/>
        <v>0</v>
      </c>
      <c r="E158" s="41">
        <f t="shared" si="127"/>
        <v>0</v>
      </c>
      <c r="F158" s="41">
        <f t="shared" si="127"/>
        <v>0</v>
      </c>
      <c r="G158" s="41">
        <f t="shared" si="127"/>
        <v>0</v>
      </c>
      <c r="H158" s="41">
        <f t="shared" si="127"/>
        <v>0</v>
      </c>
      <c r="I158" s="41">
        <f t="shared" si="127"/>
        <v>0</v>
      </c>
      <c r="J158" s="41">
        <f t="shared" si="127"/>
        <v>0</v>
      </c>
      <c r="K158" s="41">
        <f t="shared" si="127"/>
        <v>0</v>
      </c>
      <c r="L158" s="41">
        <f t="shared" si="127"/>
        <v>0</v>
      </c>
      <c r="M158" s="41">
        <f t="shared" si="127"/>
        <v>0</v>
      </c>
      <c r="N158" s="41">
        <f t="shared" si="127"/>
        <v>0</v>
      </c>
      <c r="O158" s="140">
        <f t="shared" si="115"/>
        <v>0</v>
      </c>
      <c r="P158" s="109">
        <v>0</v>
      </c>
      <c r="Q158" s="108">
        <f t="shared" si="113"/>
        <v>0</v>
      </c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</row>
    <row r="159" spans="1:74" s="110" customFormat="1" ht="57" x14ac:dyDescent="0.2">
      <c r="A159" s="76" t="s">
        <v>560</v>
      </c>
      <c r="B159" s="77" t="s">
        <v>227</v>
      </c>
      <c r="C159" s="41">
        <f t="shared" ref="C159:N159" si="128">+C154*0.7048944%</f>
        <v>0</v>
      </c>
      <c r="D159" s="41">
        <f t="shared" si="128"/>
        <v>0</v>
      </c>
      <c r="E159" s="41">
        <f t="shared" si="128"/>
        <v>0</v>
      </c>
      <c r="F159" s="41">
        <f t="shared" si="128"/>
        <v>0</v>
      </c>
      <c r="G159" s="41">
        <f t="shared" si="128"/>
        <v>0</v>
      </c>
      <c r="H159" s="41">
        <f t="shared" si="128"/>
        <v>0</v>
      </c>
      <c r="I159" s="41">
        <f t="shared" si="128"/>
        <v>0</v>
      </c>
      <c r="J159" s="41">
        <f t="shared" si="128"/>
        <v>0</v>
      </c>
      <c r="K159" s="41">
        <f t="shared" si="128"/>
        <v>0</v>
      </c>
      <c r="L159" s="41">
        <f t="shared" si="128"/>
        <v>0</v>
      </c>
      <c r="M159" s="41">
        <f t="shared" si="128"/>
        <v>0</v>
      </c>
      <c r="N159" s="41">
        <f t="shared" si="128"/>
        <v>0</v>
      </c>
      <c r="O159" s="140">
        <f t="shared" si="115"/>
        <v>0</v>
      </c>
      <c r="P159" s="109">
        <v>0</v>
      </c>
      <c r="Q159" s="108">
        <f t="shared" si="113"/>
        <v>0</v>
      </c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  <c r="BU159" s="109"/>
      <c r="BV159" s="109"/>
    </row>
    <row r="160" spans="1:74" s="110" customFormat="1" ht="42.75" x14ac:dyDescent="0.2">
      <c r="A160" s="76" t="s">
        <v>561</v>
      </c>
      <c r="B160" s="77" t="s">
        <v>562</v>
      </c>
      <c r="C160" s="218">
        <f t="shared" ref="C160:N160" si="129">+C154*20%</f>
        <v>0</v>
      </c>
      <c r="D160" s="218">
        <f t="shared" si="129"/>
        <v>0</v>
      </c>
      <c r="E160" s="218">
        <f t="shared" si="129"/>
        <v>0</v>
      </c>
      <c r="F160" s="218">
        <f t="shared" si="129"/>
        <v>0</v>
      </c>
      <c r="G160" s="218">
        <f t="shared" si="129"/>
        <v>0</v>
      </c>
      <c r="H160" s="218">
        <f t="shared" si="129"/>
        <v>0</v>
      </c>
      <c r="I160" s="218">
        <f t="shared" si="129"/>
        <v>0</v>
      </c>
      <c r="J160" s="218">
        <f t="shared" si="129"/>
        <v>0</v>
      </c>
      <c r="K160" s="218">
        <f t="shared" si="129"/>
        <v>0</v>
      </c>
      <c r="L160" s="218">
        <f t="shared" si="129"/>
        <v>0</v>
      </c>
      <c r="M160" s="218">
        <f t="shared" si="129"/>
        <v>0</v>
      </c>
      <c r="N160" s="218">
        <f t="shared" si="129"/>
        <v>0</v>
      </c>
      <c r="O160" s="140">
        <f t="shared" si="115"/>
        <v>0</v>
      </c>
      <c r="P160" s="109">
        <v>0</v>
      </c>
      <c r="Q160" s="108">
        <f t="shared" si="113"/>
        <v>0</v>
      </c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9"/>
      <c r="BR160" s="109"/>
      <c r="BS160" s="109"/>
      <c r="BT160" s="109"/>
      <c r="BU160" s="109"/>
      <c r="BV160" s="109"/>
    </row>
    <row r="161" spans="1:74" s="110" customFormat="1" ht="31.5" x14ac:dyDescent="0.2">
      <c r="A161" s="81" t="s">
        <v>563</v>
      </c>
      <c r="B161" s="79" t="s">
        <v>564</v>
      </c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140">
        <f t="shared" si="115"/>
        <v>0</v>
      </c>
      <c r="P161" s="109">
        <v>0</v>
      </c>
      <c r="Q161" s="108">
        <f t="shared" si="113"/>
        <v>0</v>
      </c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</row>
    <row r="162" spans="1:74" s="110" customFormat="1" ht="42.75" x14ac:dyDescent="0.2">
      <c r="A162" s="76" t="s">
        <v>565</v>
      </c>
      <c r="B162" s="77" t="s">
        <v>228</v>
      </c>
      <c r="C162" s="41">
        <f t="shared" ref="C162:N162" si="130">+C161*87.230682%</f>
        <v>0</v>
      </c>
      <c r="D162" s="41">
        <f t="shared" si="130"/>
        <v>0</v>
      </c>
      <c r="E162" s="41">
        <f t="shared" si="130"/>
        <v>0</v>
      </c>
      <c r="F162" s="41">
        <f t="shared" si="130"/>
        <v>0</v>
      </c>
      <c r="G162" s="41">
        <f t="shared" si="130"/>
        <v>0</v>
      </c>
      <c r="H162" s="41">
        <f t="shared" si="130"/>
        <v>0</v>
      </c>
      <c r="I162" s="41">
        <f t="shared" si="130"/>
        <v>0</v>
      </c>
      <c r="J162" s="41">
        <f t="shared" si="130"/>
        <v>0</v>
      </c>
      <c r="K162" s="41">
        <f t="shared" si="130"/>
        <v>0</v>
      </c>
      <c r="L162" s="41">
        <f t="shared" si="130"/>
        <v>0</v>
      </c>
      <c r="M162" s="41">
        <f t="shared" si="130"/>
        <v>0</v>
      </c>
      <c r="N162" s="41">
        <f t="shared" si="130"/>
        <v>0</v>
      </c>
      <c r="O162" s="140">
        <f t="shared" si="115"/>
        <v>0</v>
      </c>
      <c r="P162" s="109">
        <v>0</v>
      </c>
      <c r="Q162" s="108">
        <f t="shared" si="113"/>
        <v>0</v>
      </c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109"/>
      <c r="BQ162" s="109"/>
      <c r="BR162" s="109"/>
      <c r="BS162" s="109"/>
      <c r="BT162" s="109"/>
      <c r="BU162" s="109"/>
      <c r="BV162" s="109"/>
    </row>
    <row r="163" spans="1:74" s="110" customFormat="1" ht="42.75" x14ac:dyDescent="0.2">
      <c r="A163" s="76" t="s">
        <v>566</v>
      </c>
      <c r="B163" s="77" t="s">
        <v>229</v>
      </c>
      <c r="C163" s="41">
        <f t="shared" ref="C163:N163" si="131">+C161*0.1%</f>
        <v>0</v>
      </c>
      <c r="D163" s="41">
        <f t="shared" si="131"/>
        <v>0</v>
      </c>
      <c r="E163" s="41">
        <f t="shared" si="131"/>
        <v>0</v>
      </c>
      <c r="F163" s="41">
        <f t="shared" si="131"/>
        <v>0</v>
      </c>
      <c r="G163" s="41">
        <f t="shared" si="131"/>
        <v>0</v>
      </c>
      <c r="H163" s="41">
        <f t="shared" si="131"/>
        <v>0</v>
      </c>
      <c r="I163" s="41">
        <f t="shared" si="131"/>
        <v>0</v>
      </c>
      <c r="J163" s="41">
        <f t="shared" si="131"/>
        <v>0</v>
      </c>
      <c r="K163" s="41">
        <f t="shared" si="131"/>
        <v>0</v>
      </c>
      <c r="L163" s="41">
        <f t="shared" si="131"/>
        <v>0</v>
      </c>
      <c r="M163" s="41">
        <f t="shared" si="131"/>
        <v>0</v>
      </c>
      <c r="N163" s="41">
        <f t="shared" si="131"/>
        <v>0</v>
      </c>
      <c r="O163" s="140">
        <f t="shared" si="115"/>
        <v>0</v>
      </c>
      <c r="P163" s="109">
        <v>0</v>
      </c>
      <c r="Q163" s="108">
        <f t="shared" si="113"/>
        <v>0</v>
      </c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  <c r="BU163" s="109"/>
      <c r="BV163" s="109"/>
    </row>
    <row r="164" spans="1:74" s="202" customFormat="1" ht="42.75" x14ac:dyDescent="0.2">
      <c r="A164" s="76" t="s">
        <v>567</v>
      </c>
      <c r="B164" s="77" t="s">
        <v>230</v>
      </c>
      <c r="C164" s="41">
        <f t="shared" ref="C164:N164" si="132">+C161*9.99%</f>
        <v>0</v>
      </c>
      <c r="D164" s="41">
        <f t="shared" si="132"/>
        <v>0</v>
      </c>
      <c r="E164" s="41">
        <f t="shared" si="132"/>
        <v>0</v>
      </c>
      <c r="F164" s="41">
        <f t="shared" si="132"/>
        <v>0</v>
      </c>
      <c r="G164" s="41">
        <f t="shared" si="132"/>
        <v>0</v>
      </c>
      <c r="H164" s="41">
        <f t="shared" si="132"/>
        <v>0</v>
      </c>
      <c r="I164" s="41">
        <f t="shared" si="132"/>
        <v>0</v>
      </c>
      <c r="J164" s="41">
        <f t="shared" si="132"/>
        <v>0</v>
      </c>
      <c r="K164" s="41">
        <f t="shared" si="132"/>
        <v>0</v>
      </c>
      <c r="L164" s="41">
        <f t="shared" si="132"/>
        <v>0</v>
      </c>
      <c r="M164" s="41">
        <f t="shared" si="132"/>
        <v>0</v>
      </c>
      <c r="N164" s="41">
        <f t="shared" si="132"/>
        <v>0</v>
      </c>
      <c r="O164" s="200">
        <f t="shared" si="115"/>
        <v>0</v>
      </c>
      <c r="P164" s="201">
        <v>0</v>
      </c>
      <c r="Q164" s="108">
        <f t="shared" si="113"/>
        <v>0</v>
      </c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</row>
    <row r="165" spans="1:74" s="202" customFormat="1" ht="42.75" x14ac:dyDescent="0.2">
      <c r="A165" s="76" t="s">
        <v>568</v>
      </c>
      <c r="B165" s="77" t="s">
        <v>231</v>
      </c>
      <c r="C165" s="41">
        <f t="shared" ref="C165:N165" si="133">+C161*1.7982%</f>
        <v>0</v>
      </c>
      <c r="D165" s="41">
        <f t="shared" si="133"/>
        <v>0</v>
      </c>
      <c r="E165" s="41">
        <f t="shared" si="133"/>
        <v>0</v>
      </c>
      <c r="F165" s="41">
        <f t="shared" si="133"/>
        <v>0</v>
      </c>
      <c r="G165" s="41">
        <f t="shared" si="133"/>
        <v>0</v>
      </c>
      <c r="H165" s="41">
        <f t="shared" si="133"/>
        <v>0</v>
      </c>
      <c r="I165" s="41">
        <f t="shared" si="133"/>
        <v>0</v>
      </c>
      <c r="J165" s="41">
        <f t="shared" si="133"/>
        <v>0</v>
      </c>
      <c r="K165" s="41">
        <f t="shared" si="133"/>
        <v>0</v>
      </c>
      <c r="L165" s="41">
        <f t="shared" si="133"/>
        <v>0</v>
      </c>
      <c r="M165" s="41">
        <f t="shared" si="133"/>
        <v>0</v>
      </c>
      <c r="N165" s="41">
        <f t="shared" si="133"/>
        <v>0</v>
      </c>
      <c r="O165" s="200">
        <f t="shared" si="115"/>
        <v>0</v>
      </c>
      <c r="P165" s="201">
        <v>0</v>
      </c>
      <c r="Q165" s="108">
        <f t="shared" si="113"/>
        <v>0</v>
      </c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</row>
    <row r="166" spans="1:74" s="202" customFormat="1" ht="57" x14ac:dyDescent="0.2">
      <c r="A166" s="76" t="s">
        <v>569</v>
      </c>
      <c r="B166" s="77" t="s">
        <v>232</v>
      </c>
      <c r="C166" s="41">
        <f t="shared" ref="C166:N166" si="134">+C161*0.881118%</f>
        <v>0</v>
      </c>
      <c r="D166" s="41">
        <f t="shared" si="134"/>
        <v>0</v>
      </c>
      <c r="E166" s="41">
        <f t="shared" si="134"/>
        <v>0</v>
      </c>
      <c r="F166" s="41">
        <f t="shared" si="134"/>
        <v>0</v>
      </c>
      <c r="G166" s="41">
        <f t="shared" si="134"/>
        <v>0</v>
      </c>
      <c r="H166" s="41">
        <f t="shared" si="134"/>
        <v>0</v>
      </c>
      <c r="I166" s="41">
        <f t="shared" si="134"/>
        <v>0</v>
      </c>
      <c r="J166" s="41">
        <f t="shared" si="134"/>
        <v>0</v>
      </c>
      <c r="K166" s="41">
        <f t="shared" si="134"/>
        <v>0</v>
      </c>
      <c r="L166" s="41">
        <f t="shared" si="134"/>
        <v>0</v>
      </c>
      <c r="M166" s="41">
        <f t="shared" si="134"/>
        <v>0</v>
      </c>
      <c r="N166" s="41">
        <f t="shared" si="134"/>
        <v>0</v>
      </c>
      <c r="O166" s="200">
        <f t="shared" si="115"/>
        <v>0</v>
      </c>
      <c r="P166" s="201">
        <v>0</v>
      </c>
      <c r="Q166" s="108">
        <f t="shared" si="113"/>
        <v>0</v>
      </c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</row>
    <row r="167" spans="1:74" s="202" customFormat="1" ht="18.75" x14ac:dyDescent="0.2">
      <c r="A167" s="81" t="s">
        <v>570</v>
      </c>
      <c r="B167" s="79" t="s">
        <v>571</v>
      </c>
      <c r="C167" s="281">
        <f t="shared" ref="C167:N167" si="135">+C168+C175</f>
        <v>0</v>
      </c>
      <c r="D167" s="281">
        <f t="shared" si="135"/>
        <v>0</v>
      </c>
      <c r="E167" s="281">
        <f t="shared" si="135"/>
        <v>0</v>
      </c>
      <c r="F167" s="281">
        <f t="shared" si="135"/>
        <v>0</v>
      </c>
      <c r="G167" s="281">
        <f t="shared" si="135"/>
        <v>0</v>
      </c>
      <c r="H167" s="281">
        <f t="shared" si="135"/>
        <v>0</v>
      </c>
      <c r="I167" s="281">
        <f t="shared" si="135"/>
        <v>0</v>
      </c>
      <c r="J167" s="281">
        <f t="shared" si="135"/>
        <v>0</v>
      </c>
      <c r="K167" s="281">
        <f t="shared" si="135"/>
        <v>0</v>
      </c>
      <c r="L167" s="281">
        <f t="shared" si="135"/>
        <v>0</v>
      </c>
      <c r="M167" s="281">
        <f t="shared" si="135"/>
        <v>0</v>
      </c>
      <c r="N167" s="281">
        <f t="shared" si="135"/>
        <v>0</v>
      </c>
      <c r="O167" s="200">
        <f t="shared" si="115"/>
        <v>0</v>
      </c>
      <c r="P167" s="201">
        <v>0</v>
      </c>
      <c r="Q167" s="108">
        <f t="shared" si="113"/>
        <v>0</v>
      </c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</row>
    <row r="168" spans="1:74" s="87" customFormat="1" ht="31.5" x14ac:dyDescent="0.2">
      <c r="A168" s="81" t="s">
        <v>572</v>
      </c>
      <c r="B168" s="79" t="s">
        <v>573</v>
      </c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200">
        <f t="shared" si="115"/>
        <v>0</v>
      </c>
      <c r="P168" s="86">
        <v>0</v>
      </c>
      <c r="Q168" s="108">
        <f t="shared" si="113"/>
        <v>0</v>
      </c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86"/>
      <c r="BB168" s="86"/>
      <c r="BC168" s="86"/>
      <c r="BD168" s="86"/>
      <c r="BE168" s="86"/>
      <c r="BF168" s="86"/>
      <c r="BG168" s="86"/>
      <c r="BH168" s="86"/>
      <c r="BI168" s="86"/>
      <c r="BJ168" s="86"/>
      <c r="BK168" s="86"/>
      <c r="BL168" s="86"/>
      <c r="BM168" s="86"/>
      <c r="BN168" s="86"/>
      <c r="BO168" s="86"/>
      <c r="BP168" s="86"/>
      <c r="BQ168" s="86"/>
      <c r="BR168" s="86"/>
      <c r="BS168" s="86"/>
      <c r="BT168" s="86"/>
      <c r="BU168" s="86"/>
      <c r="BV168" s="86"/>
    </row>
    <row r="169" spans="1:74" s="87" customFormat="1" ht="42.75" x14ac:dyDescent="0.2">
      <c r="A169" s="76" t="s">
        <v>574</v>
      </c>
      <c r="B169" s="77" t="s">
        <v>217</v>
      </c>
      <c r="C169" s="41">
        <f t="shared" ref="C169:N169" si="136">+C168*69.7845456%</f>
        <v>0</v>
      </c>
      <c r="D169" s="41">
        <f t="shared" si="136"/>
        <v>0</v>
      </c>
      <c r="E169" s="41">
        <f t="shared" si="136"/>
        <v>0</v>
      </c>
      <c r="F169" s="41">
        <f t="shared" si="136"/>
        <v>0</v>
      </c>
      <c r="G169" s="41">
        <f t="shared" si="136"/>
        <v>0</v>
      </c>
      <c r="H169" s="41">
        <f t="shared" si="136"/>
        <v>0</v>
      </c>
      <c r="I169" s="41">
        <f t="shared" si="136"/>
        <v>0</v>
      </c>
      <c r="J169" s="41">
        <f t="shared" si="136"/>
        <v>0</v>
      </c>
      <c r="K169" s="41">
        <f t="shared" si="136"/>
        <v>0</v>
      </c>
      <c r="L169" s="41">
        <f t="shared" si="136"/>
        <v>0</v>
      </c>
      <c r="M169" s="41">
        <f t="shared" si="136"/>
        <v>0</v>
      </c>
      <c r="N169" s="41">
        <f t="shared" si="136"/>
        <v>0</v>
      </c>
      <c r="O169" s="200">
        <f t="shared" si="115"/>
        <v>0</v>
      </c>
      <c r="P169" s="86">
        <v>0</v>
      </c>
      <c r="Q169" s="108">
        <f t="shared" si="113"/>
        <v>0</v>
      </c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86"/>
      <c r="BB169" s="86"/>
      <c r="BC169" s="86"/>
      <c r="BD169" s="86"/>
      <c r="BE169" s="86"/>
      <c r="BF169" s="86"/>
      <c r="BG169" s="86"/>
      <c r="BH169" s="86"/>
      <c r="BI169" s="86"/>
      <c r="BJ169" s="86"/>
      <c r="BK169" s="86"/>
      <c r="BL169" s="86"/>
      <c r="BM169" s="86"/>
      <c r="BN169" s="86"/>
      <c r="BO169" s="86"/>
      <c r="BP169" s="86"/>
      <c r="BQ169" s="86"/>
      <c r="BR169" s="86"/>
      <c r="BS169" s="86"/>
      <c r="BT169" s="86"/>
      <c r="BU169" s="86"/>
      <c r="BV169" s="86"/>
    </row>
    <row r="170" spans="1:74" s="87" customFormat="1" ht="42.75" x14ac:dyDescent="0.2">
      <c r="A170" s="76" t="s">
        <v>575</v>
      </c>
      <c r="B170" s="77" t="s">
        <v>218</v>
      </c>
      <c r="C170" s="41">
        <f t="shared" ref="C170:N170" si="137">+C168*0.08%</f>
        <v>0</v>
      </c>
      <c r="D170" s="41">
        <f t="shared" si="137"/>
        <v>0</v>
      </c>
      <c r="E170" s="41">
        <f t="shared" si="137"/>
        <v>0</v>
      </c>
      <c r="F170" s="41">
        <f t="shared" si="137"/>
        <v>0</v>
      </c>
      <c r="G170" s="41">
        <f t="shared" si="137"/>
        <v>0</v>
      </c>
      <c r="H170" s="41">
        <f t="shared" si="137"/>
        <v>0</v>
      </c>
      <c r="I170" s="41">
        <f t="shared" si="137"/>
        <v>0</v>
      </c>
      <c r="J170" s="41">
        <f t="shared" si="137"/>
        <v>0</v>
      </c>
      <c r="K170" s="41">
        <f t="shared" si="137"/>
        <v>0</v>
      </c>
      <c r="L170" s="41">
        <f t="shared" si="137"/>
        <v>0</v>
      </c>
      <c r="M170" s="41">
        <f t="shared" si="137"/>
        <v>0</v>
      </c>
      <c r="N170" s="41">
        <f t="shared" si="137"/>
        <v>0</v>
      </c>
      <c r="O170" s="140">
        <f t="shared" si="115"/>
        <v>0</v>
      </c>
      <c r="P170" s="86">
        <v>0</v>
      </c>
      <c r="Q170" s="108">
        <f t="shared" si="113"/>
        <v>0</v>
      </c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  <c r="BM170" s="86"/>
      <c r="BN170" s="86"/>
      <c r="BO170" s="86"/>
      <c r="BP170" s="86"/>
      <c r="BQ170" s="86"/>
      <c r="BR170" s="86"/>
      <c r="BS170" s="86"/>
      <c r="BT170" s="86"/>
      <c r="BU170" s="86"/>
      <c r="BV170" s="86"/>
    </row>
    <row r="171" spans="1:74" s="87" customFormat="1" ht="28.5" x14ac:dyDescent="0.2">
      <c r="A171" s="76" t="s">
        <v>576</v>
      </c>
      <c r="B171" s="77" t="s">
        <v>219</v>
      </c>
      <c r="C171" s="41">
        <f t="shared" ref="C171:N171" si="138">+C168*7.992%</f>
        <v>0</v>
      </c>
      <c r="D171" s="41">
        <f t="shared" si="138"/>
        <v>0</v>
      </c>
      <c r="E171" s="41">
        <f t="shared" si="138"/>
        <v>0</v>
      </c>
      <c r="F171" s="41">
        <f t="shared" si="138"/>
        <v>0</v>
      </c>
      <c r="G171" s="41">
        <f t="shared" si="138"/>
        <v>0</v>
      </c>
      <c r="H171" s="41">
        <f t="shared" si="138"/>
        <v>0</v>
      </c>
      <c r="I171" s="41">
        <f t="shared" si="138"/>
        <v>0</v>
      </c>
      <c r="J171" s="41">
        <f t="shared" si="138"/>
        <v>0</v>
      </c>
      <c r="K171" s="41">
        <f t="shared" si="138"/>
        <v>0</v>
      </c>
      <c r="L171" s="41">
        <f t="shared" si="138"/>
        <v>0</v>
      </c>
      <c r="M171" s="41">
        <f t="shared" si="138"/>
        <v>0</v>
      </c>
      <c r="N171" s="41">
        <f t="shared" si="138"/>
        <v>0</v>
      </c>
      <c r="O171" s="140">
        <f t="shared" si="115"/>
        <v>0</v>
      </c>
      <c r="P171" s="86">
        <v>0</v>
      </c>
      <c r="Q171" s="108">
        <f t="shared" si="113"/>
        <v>0</v>
      </c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86"/>
      <c r="BI171" s="86"/>
      <c r="BJ171" s="86"/>
      <c r="BK171" s="86"/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</row>
    <row r="172" spans="1:74" s="87" customFormat="1" ht="42.75" x14ac:dyDescent="0.2">
      <c r="A172" s="76" t="s">
        <v>577</v>
      </c>
      <c r="B172" s="77" t="s">
        <v>220</v>
      </c>
      <c r="C172" s="41">
        <f t="shared" ref="C172:N172" si="139">+C168*1.43856%</f>
        <v>0</v>
      </c>
      <c r="D172" s="41">
        <f t="shared" si="139"/>
        <v>0</v>
      </c>
      <c r="E172" s="41">
        <f t="shared" si="139"/>
        <v>0</v>
      </c>
      <c r="F172" s="41">
        <f t="shared" si="139"/>
        <v>0</v>
      </c>
      <c r="G172" s="41">
        <f t="shared" si="139"/>
        <v>0</v>
      </c>
      <c r="H172" s="41">
        <f t="shared" si="139"/>
        <v>0</v>
      </c>
      <c r="I172" s="41">
        <f t="shared" si="139"/>
        <v>0</v>
      </c>
      <c r="J172" s="41">
        <f t="shared" si="139"/>
        <v>0</v>
      </c>
      <c r="K172" s="41">
        <f t="shared" si="139"/>
        <v>0</v>
      </c>
      <c r="L172" s="41">
        <f t="shared" si="139"/>
        <v>0</v>
      </c>
      <c r="M172" s="41">
        <f t="shared" si="139"/>
        <v>0</v>
      </c>
      <c r="N172" s="41">
        <f t="shared" si="139"/>
        <v>0</v>
      </c>
      <c r="O172" s="140">
        <f t="shared" si="115"/>
        <v>0</v>
      </c>
      <c r="P172" s="86">
        <v>0</v>
      </c>
      <c r="Q172" s="108">
        <f t="shared" si="113"/>
        <v>0</v>
      </c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86"/>
      <c r="BB172" s="86"/>
      <c r="BC172" s="86"/>
      <c r="BD172" s="86"/>
      <c r="BE172" s="86"/>
      <c r="BF172" s="86"/>
      <c r="BG172" s="86"/>
      <c r="BH172" s="86"/>
      <c r="BI172" s="86"/>
      <c r="BJ172" s="86"/>
      <c r="BK172" s="86"/>
      <c r="BL172" s="86"/>
      <c r="BM172" s="86"/>
      <c r="BN172" s="86"/>
      <c r="BO172" s="86"/>
      <c r="BP172" s="86"/>
      <c r="BQ172" s="86"/>
      <c r="BR172" s="86"/>
      <c r="BS172" s="86"/>
      <c r="BT172" s="86"/>
      <c r="BU172" s="86"/>
      <c r="BV172" s="86"/>
    </row>
    <row r="173" spans="1:74" s="110" customFormat="1" ht="57" x14ac:dyDescent="0.2">
      <c r="A173" s="76" t="s">
        <v>578</v>
      </c>
      <c r="B173" s="77" t="s">
        <v>221</v>
      </c>
      <c r="C173" s="41">
        <f t="shared" ref="C173:N173" si="140">+C168*0.7048944%</f>
        <v>0</v>
      </c>
      <c r="D173" s="41">
        <f t="shared" si="140"/>
        <v>0</v>
      </c>
      <c r="E173" s="41">
        <f t="shared" si="140"/>
        <v>0</v>
      </c>
      <c r="F173" s="41">
        <f t="shared" si="140"/>
        <v>0</v>
      </c>
      <c r="G173" s="41">
        <f t="shared" si="140"/>
        <v>0</v>
      </c>
      <c r="H173" s="41">
        <f t="shared" si="140"/>
        <v>0</v>
      </c>
      <c r="I173" s="41">
        <f t="shared" si="140"/>
        <v>0</v>
      </c>
      <c r="J173" s="41">
        <f t="shared" si="140"/>
        <v>0</v>
      </c>
      <c r="K173" s="41">
        <f t="shared" si="140"/>
        <v>0</v>
      </c>
      <c r="L173" s="41">
        <f t="shared" si="140"/>
        <v>0</v>
      </c>
      <c r="M173" s="41">
        <f t="shared" si="140"/>
        <v>0</v>
      </c>
      <c r="N173" s="41">
        <f t="shared" si="140"/>
        <v>0</v>
      </c>
      <c r="O173" s="140">
        <f t="shared" si="115"/>
        <v>0</v>
      </c>
      <c r="P173" s="109">
        <v>0</v>
      </c>
      <c r="Q173" s="108">
        <f t="shared" si="113"/>
        <v>0</v>
      </c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</row>
    <row r="174" spans="1:74" s="110" customFormat="1" ht="42.75" x14ac:dyDescent="0.2">
      <c r="A174" s="76" t="s">
        <v>579</v>
      </c>
      <c r="B174" s="77" t="s">
        <v>580</v>
      </c>
      <c r="C174" s="218">
        <f t="shared" ref="C174:N174" si="141">+C168*20%</f>
        <v>0</v>
      </c>
      <c r="D174" s="218">
        <f t="shared" si="141"/>
        <v>0</v>
      </c>
      <c r="E174" s="218">
        <f t="shared" si="141"/>
        <v>0</v>
      </c>
      <c r="F174" s="218">
        <f t="shared" si="141"/>
        <v>0</v>
      </c>
      <c r="G174" s="218">
        <f t="shared" si="141"/>
        <v>0</v>
      </c>
      <c r="H174" s="218">
        <f t="shared" si="141"/>
        <v>0</v>
      </c>
      <c r="I174" s="218">
        <f t="shared" si="141"/>
        <v>0</v>
      </c>
      <c r="J174" s="218">
        <f t="shared" si="141"/>
        <v>0</v>
      </c>
      <c r="K174" s="218">
        <f t="shared" si="141"/>
        <v>0</v>
      </c>
      <c r="L174" s="218">
        <f t="shared" si="141"/>
        <v>0</v>
      </c>
      <c r="M174" s="218">
        <f t="shared" si="141"/>
        <v>0</v>
      </c>
      <c r="N174" s="218">
        <f t="shared" si="141"/>
        <v>0</v>
      </c>
      <c r="O174" s="140">
        <f t="shared" si="115"/>
        <v>0</v>
      </c>
      <c r="P174" s="109">
        <v>0</v>
      </c>
      <c r="Q174" s="108">
        <f t="shared" si="113"/>
        <v>0</v>
      </c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</row>
    <row r="175" spans="1:74" s="110" customFormat="1" ht="31.5" x14ac:dyDescent="0.2">
      <c r="A175" s="81" t="s">
        <v>581</v>
      </c>
      <c r="B175" s="101" t="s">
        <v>582</v>
      </c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0">
        <f t="shared" si="115"/>
        <v>0</v>
      </c>
      <c r="P175" s="109">
        <v>0</v>
      </c>
      <c r="Q175" s="108">
        <f t="shared" si="113"/>
        <v>0</v>
      </c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</row>
    <row r="176" spans="1:74" s="110" customFormat="1" ht="42.75" x14ac:dyDescent="0.2">
      <c r="A176" s="76" t="s">
        <v>583</v>
      </c>
      <c r="B176" s="77" t="s">
        <v>212</v>
      </c>
      <c r="C176" s="41">
        <f t="shared" ref="C176:N176" si="142">+C175*87.230682%</f>
        <v>0</v>
      </c>
      <c r="D176" s="41">
        <f t="shared" si="142"/>
        <v>0</v>
      </c>
      <c r="E176" s="41">
        <f t="shared" si="142"/>
        <v>0</v>
      </c>
      <c r="F176" s="41">
        <f t="shared" si="142"/>
        <v>0</v>
      </c>
      <c r="G176" s="41">
        <f t="shared" si="142"/>
        <v>0</v>
      </c>
      <c r="H176" s="41">
        <f t="shared" si="142"/>
        <v>0</v>
      </c>
      <c r="I176" s="41">
        <f t="shared" si="142"/>
        <v>0</v>
      </c>
      <c r="J176" s="41">
        <f t="shared" si="142"/>
        <v>0</v>
      </c>
      <c r="K176" s="41">
        <f t="shared" si="142"/>
        <v>0</v>
      </c>
      <c r="L176" s="41">
        <f t="shared" si="142"/>
        <v>0</v>
      </c>
      <c r="M176" s="41">
        <f t="shared" si="142"/>
        <v>0</v>
      </c>
      <c r="N176" s="41">
        <f t="shared" si="142"/>
        <v>0</v>
      </c>
      <c r="O176" s="140">
        <f t="shared" si="115"/>
        <v>0</v>
      </c>
      <c r="P176" s="109">
        <v>0</v>
      </c>
      <c r="Q176" s="108">
        <f t="shared" si="113"/>
        <v>0</v>
      </c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</row>
    <row r="177" spans="1:74" s="110" customFormat="1" ht="42.75" x14ac:dyDescent="0.2">
      <c r="A177" s="76" t="s">
        <v>584</v>
      </c>
      <c r="B177" s="77" t="s">
        <v>213</v>
      </c>
      <c r="C177" s="41">
        <f t="shared" ref="C177:N177" si="143">+C175*0.1%</f>
        <v>0</v>
      </c>
      <c r="D177" s="41">
        <f t="shared" si="143"/>
        <v>0</v>
      </c>
      <c r="E177" s="41">
        <f t="shared" si="143"/>
        <v>0</v>
      </c>
      <c r="F177" s="41">
        <f t="shared" si="143"/>
        <v>0</v>
      </c>
      <c r="G177" s="41">
        <f t="shared" si="143"/>
        <v>0</v>
      </c>
      <c r="H177" s="41">
        <f t="shared" si="143"/>
        <v>0</v>
      </c>
      <c r="I177" s="41">
        <f t="shared" si="143"/>
        <v>0</v>
      </c>
      <c r="J177" s="41">
        <f t="shared" si="143"/>
        <v>0</v>
      </c>
      <c r="K177" s="41">
        <f t="shared" si="143"/>
        <v>0</v>
      </c>
      <c r="L177" s="41">
        <f t="shared" si="143"/>
        <v>0</v>
      </c>
      <c r="M177" s="41">
        <f t="shared" si="143"/>
        <v>0</v>
      </c>
      <c r="N177" s="41">
        <f t="shared" si="143"/>
        <v>0</v>
      </c>
      <c r="O177" s="140">
        <f t="shared" si="115"/>
        <v>0</v>
      </c>
      <c r="P177" s="109">
        <v>0</v>
      </c>
      <c r="Q177" s="108">
        <f t="shared" si="113"/>
        <v>0</v>
      </c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</row>
    <row r="178" spans="1:74" s="110" customFormat="1" ht="42.75" x14ac:dyDescent="0.2">
      <c r="A178" s="76" t="s">
        <v>585</v>
      </c>
      <c r="B178" s="77" t="s">
        <v>214</v>
      </c>
      <c r="C178" s="41">
        <f t="shared" ref="C178:N178" si="144">+C175*9.99%</f>
        <v>0</v>
      </c>
      <c r="D178" s="41">
        <f t="shared" si="144"/>
        <v>0</v>
      </c>
      <c r="E178" s="41">
        <f t="shared" si="144"/>
        <v>0</v>
      </c>
      <c r="F178" s="41">
        <f t="shared" si="144"/>
        <v>0</v>
      </c>
      <c r="G178" s="41">
        <f t="shared" si="144"/>
        <v>0</v>
      </c>
      <c r="H178" s="41">
        <f t="shared" si="144"/>
        <v>0</v>
      </c>
      <c r="I178" s="41">
        <f t="shared" si="144"/>
        <v>0</v>
      </c>
      <c r="J178" s="41">
        <f t="shared" si="144"/>
        <v>0</v>
      </c>
      <c r="K178" s="41">
        <f t="shared" si="144"/>
        <v>0</v>
      </c>
      <c r="L178" s="41">
        <f t="shared" si="144"/>
        <v>0</v>
      </c>
      <c r="M178" s="41">
        <f t="shared" si="144"/>
        <v>0</v>
      </c>
      <c r="N178" s="41">
        <f t="shared" si="144"/>
        <v>0</v>
      </c>
      <c r="O178" s="140">
        <f t="shared" si="115"/>
        <v>0</v>
      </c>
      <c r="P178" s="109">
        <v>0</v>
      </c>
      <c r="Q178" s="108">
        <f t="shared" si="113"/>
        <v>0</v>
      </c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</row>
    <row r="179" spans="1:74" s="87" customFormat="1" ht="42.75" x14ac:dyDescent="0.2">
      <c r="A179" s="76" t="s">
        <v>586</v>
      </c>
      <c r="B179" s="77" t="s">
        <v>215</v>
      </c>
      <c r="C179" s="41">
        <f t="shared" ref="C179:N179" si="145">+C175*1.7982%</f>
        <v>0</v>
      </c>
      <c r="D179" s="41">
        <f t="shared" si="145"/>
        <v>0</v>
      </c>
      <c r="E179" s="41">
        <f t="shared" si="145"/>
        <v>0</v>
      </c>
      <c r="F179" s="41">
        <f t="shared" si="145"/>
        <v>0</v>
      </c>
      <c r="G179" s="41">
        <f t="shared" si="145"/>
        <v>0</v>
      </c>
      <c r="H179" s="41">
        <f t="shared" si="145"/>
        <v>0</v>
      </c>
      <c r="I179" s="41">
        <f t="shared" si="145"/>
        <v>0</v>
      </c>
      <c r="J179" s="41">
        <f t="shared" si="145"/>
        <v>0</v>
      </c>
      <c r="K179" s="41">
        <f t="shared" si="145"/>
        <v>0</v>
      </c>
      <c r="L179" s="41">
        <f t="shared" si="145"/>
        <v>0</v>
      </c>
      <c r="M179" s="41">
        <f t="shared" si="145"/>
        <v>0</v>
      </c>
      <c r="N179" s="41">
        <f t="shared" si="145"/>
        <v>0</v>
      </c>
      <c r="O179" s="140">
        <f t="shared" si="115"/>
        <v>0</v>
      </c>
      <c r="P179" s="86">
        <v>0</v>
      </c>
      <c r="Q179" s="108">
        <f t="shared" si="113"/>
        <v>0</v>
      </c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86"/>
      <c r="AT179" s="86"/>
      <c r="AU179" s="86"/>
      <c r="AV179" s="86"/>
      <c r="AW179" s="86"/>
      <c r="AX179" s="86"/>
      <c r="AY179" s="86"/>
      <c r="AZ179" s="86"/>
      <c r="BA179" s="86"/>
      <c r="BB179" s="86"/>
      <c r="BC179" s="86"/>
      <c r="BD179" s="86"/>
      <c r="BE179" s="86"/>
      <c r="BF179" s="86"/>
      <c r="BG179" s="86"/>
      <c r="BH179" s="86"/>
      <c r="BI179" s="86"/>
      <c r="BJ179" s="86"/>
      <c r="BK179" s="86"/>
      <c r="BL179" s="86"/>
      <c r="BM179" s="86"/>
      <c r="BN179" s="86"/>
      <c r="BO179" s="86"/>
      <c r="BP179" s="86"/>
      <c r="BQ179" s="86"/>
      <c r="BR179" s="86"/>
      <c r="BS179" s="86"/>
      <c r="BT179" s="86"/>
      <c r="BU179" s="86"/>
      <c r="BV179" s="86"/>
    </row>
    <row r="180" spans="1:74" s="110" customFormat="1" ht="57" x14ac:dyDescent="0.2">
      <c r="A180" s="76" t="s">
        <v>587</v>
      </c>
      <c r="B180" s="77" t="s">
        <v>216</v>
      </c>
      <c r="C180" s="41">
        <f t="shared" ref="C180:N180" si="146">+C175*0.881118%</f>
        <v>0</v>
      </c>
      <c r="D180" s="41">
        <f t="shared" si="146"/>
        <v>0</v>
      </c>
      <c r="E180" s="41">
        <f t="shared" si="146"/>
        <v>0</v>
      </c>
      <c r="F180" s="41">
        <f t="shared" si="146"/>
        <v>0</v>
      </c>
      <c r="G180" s="41">
        <f t="shared" si="146"/>
        <v>0</v>
      </c>
      <c r="H180" s="41">
        <f t="shared" si="146"/>
        <v>0</v>
      </c>
      <c r="I180" s="41">
        <f t="shared" si="146"/>
        <v>0</v>
      </c>
      <c r="J180" s="41">
        <f t="shared" si="146"/>
        <v>0</v>
      </c>
      <c r="K180" s="41">
        <f t="shared" si="146"/>
        <v>0</v>
      </c>
      <c r="L180" s="41">
        <f t="shared" si="146"/>
        <v>0</v>
      </c>
      <c r="M180" s="41">
        <f t="shared" si="146"/>
        <v>0</v>
      </c>
      <c r="N180" s="41">
        <f t="shared" si="146"/>
        <v>0</v>
      </c>
      <c r="O180" s="140">
        <f t="shared" si="115"/>
        <v>0</v>
      </c>
      <c r="P180" s="109">
        <v>0</v>
      </c>
      <c r="Q180" s="108">
        <f t="shared" si="113"/>
        <v>0</v>
      </c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</row>
    <row r="181" spans="1:74" s="110" customFormat="1" ht="19.5" x14ac:dyDescent="0.2">
      <c r="A181" s="81" t="s">
        <v>588</v>
      </c>
      <c r="B181" s="79" t="s">
        <v>589</v>
      </c>
      <c r="C181" s="217">
        <f t="shared" ref="C181:N184" si="147">+C182</f>
        <v>0</v>
      </c>
      <c r="D181" s="217">
        <f t="shared" si="147"/>
        <v>0</v>
      </c>
      <c r="E181" s="217">
        <f t="shared" si="147"/>
        <v>0</v>
      </c>
      <c r="F181" s="217">
        <f t="shared" si="147"/>
        <v>0</v>
      </c>
      <c r="G181" s="217">
        <f t="shared" si="147"/>
        <v>0</v>
      </c>
      <c r="H181" s="217">
        <f t="shared" si="147"/>
        <v>0</v>
      </c>
      <c r="I181" s="217">
        <f t="shared" si="147"/>
        <v>0</v>
      </c>
      <c r="J181" s="217">
        <f t="shared" si="147"/>
        <v>0</v>
      </c>
      <c r="K181" s="217">
        <f t="shared" si="147"/>
        <v>0</v>
      </c>
      <c r="L181" s="217">
        <f t="shared" si="147"/>
        <v>0</v>
      </c>
      <c r="M181" s="217">
        <f t="shared" si="147"/>
        <v>0</v>
      </c>
      <c r="N181" s="217">
        <f t="shared" si="147"/>
        <v>0</v>
      </c>
      <c r="O181" s="140">
        <f t="shared" si="115"/>
        <v>0</v>
      </c>
      <c r="P181" s="109">
        <v>0</v>
      </c>
      <c r="Q181" s="108">
        <f t="shared" si="113"/>
        <v>0</v>
      </c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</row>
    <row r="182" spans="1:74" s="110" customFormat="1" ht="31.5" x14ac:dyDescent="0.2">
      <c r="A182" s="81" t="s">
        <v>590</v>
      </c>
      <c r="B182" s="101" t="s">
        <v>591</v>
      </c>
      <c r="C182" s="217">
        <f t="shared" si="147"/>
        <v>0</v>
      </c>
      <c r="D182" s="217">
        <f t="shared" si="147"/>
        <v>0</v>
      </c>
      <c r="E182" s="217">
        <f t="shared" si="147"/>
        <v>0</v>
      </c>
      <c r="F182" s="217">
        <f t="shared" si="147"/>
        <v>0</v>
      </c>
      <c r="G182" s="217">
        <f t="shared" si="147"/>
        <v>0</v>
      </c>
      <c r="H182" s="217">
        <f t="shared" si="147"/>
        <v>0</v>
      </c>
      <c r="I182" s="217">
        <f t="shared" si="147"/>
        <v>0</v>
      </c>
      <c r="J182" s="217">
        <f t="shared" si="147"/>
        <v>0</v>
      </c>
      <c r="K182" s="217">
        <f t="shared" si="147"/>
        <v>0</v>
      </c>
      <c r="L182" s="217">
        <f t="shared" si="147"/>
        <v>0</v>
      </c>
      <c r="M182" s="217">
        <f t="shared" si="147"/>
        <v>0</v>
      </c>
      <c r="N182" s="217">
        <f t="shared" si="147"/>
        <v>0</v>
      </c>
      <c r="O182" s="140">
        <f t="shared" si="115"/>
        <v>0</v>
      </c>
      <c r="P182" s="109">
        <v>0</v>
      </c>
      <c r="Q182" s="108">
        <f t="shared" si="113"/>
        <v>0</v>
      </c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</row>
    <row r="183" spans="1:74" s="110" customFormat="1" ht="63" x14ac:dyDescent="0.2">
      <c r="A183" s="81" t="s">
        <v>592</v>
      </c>
      <c r="B183" s="79" t="s">
        <v>593</v>
      </c>
      <c r="C183" s="217">
        <f t="shared" si="147"/>
        <v>0</v>
      </c>
      <c r="D183" s="217">
        <f t="shared" si="147"/>
        <v>0</v>
      </c>
      <c r="E183" s="217">
        <f t="shared" si="147"/>
        <v>0</v>
      </c>
      <c r="F183" s="217">
        <f t="shared" si="147"/>
        <v>0</v>
      </c>
      <c r="G183" s="217">
        <f t="shared" si="147"/>
        <v>0</v>
      </c>
      <c r="H183" s="217">
        <f t="shared" si="147"/>
        <v>0</v>
      </c>
      <c r="I183" s="217">
        <f t="shared" si="147"/>
        <v>0</v>
      </c>
      <c r="J183" s="217">
        <f t="shared" si="147"/>
        <v>0</v>
      </c>
      <c r="K183" s="217">
        <f t="shared" si="147"/>
        <v>0</v>
      </c>
      <c r="L183" s="217">
        <f t="shared" si="147"/>
        <v>0</v>
      </c>
      <c r="M183" s="217">
        <f t="shared" si="147"/>
        <v>0</v>
      </c>
      <c r="N183" s="217">
        <f t="shared" si="147"/>
        <v>0</v>
      </c>
      <c r="O183" s="140">
        <f t="shared" si="115"/>
        <v>0</v>
      </c>
      <c r="P183" s="109">
        <v>0</v>
      </c>
      <c r="Q183" s="108">
        <f t="shared" si="113"/>
        <v>0</v>
      </c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</row>
    <row r="184" spans="1:74" s="110" customFormat="1" ht="47.25" x14ac:dyDescent="0.2">
      <c r="A184" s="81" t="s">
        <v>594</v>
      </c>
      <c r="B184" s="79" t="s">
        <v>595</v>
      </c>
      <c r="C184" s="217">
        <f t="shared" si="147"/>
        <v>0</v>
      </c>
      <c r="D184" s="217">
        <f t="shared" si="147"/>
        <v>0</v>
      </c>
      <c r="E184" s="217">
        <f t="shared" si="147"/>
        <v>0</v>
      </c>
      <c r="F184" s="217">
        <f t="shared" si="147"/>
        <v>0</v>
      </c>
      <c r="G184" s="217">
        <f t="shared" si="147"/>
        <v>0</v>
      </c>
      <c r="H184" s="217">
        <f t="shared" si="147"/>
        <v>0</v>
      </c>
      <c r="I184" s="217">
        <f t="shared" si="147"/>
        <v>0</v>
      </c>
      <c r="J184" s="217">
        <f t="shared" si="147"/>
        <v>0</v>
      </c>
      <c r="K184" s="217">
        <f t="shared" si="147"/>
        <v>0</v>
      </c>
      <c r="L184" s="217">
        <f t="shared" si="147"/>
        <v>0</v>
      </c>
      <c r="M184" s="217">
        <f t="shared" si="147"/>
        <v>0</v>
      </c>
      <c r="N184" s="217">
        <f t="shared" si="147"/>
        <v>0</v>
      </c>
      <c r="O184" s="140">
        <f t="shared" si="115"/>
        <v>0</v>
      </c>
      <c r="P184" s="109">
        <v>0</v>
      </c>
      <c r="Q184" s="108">
        <f t="shared" si="113"/>
        <v>0</v>
      </c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</row>
    <row r="185" spans="1:74" s="110" customFormat="1" ht="78.75" x14ac:dyDescent="0.2">
      <c r="A185" s="81" t="s">
        <v>596</v>
      </c>
      <c r="B185" s="79" t="s">
        <v>597</v>
      </c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0">
        <f t="shared" si="115"/>
        <v>0</v>
      </c>
      <c r="P185" s="109">
        <v>0</v>
      </c>
      <c r="Q185" s="108">
        <f t="shared" si="113"/>
        <v>0</v>
      </c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</row>
    <row r="186" spans="1:74" s="87" customFormat="1" ht="28.5" x14ac:dyDescent="0.2">
      <c r="A186" s="76" t="s">
        <v>598</v>
      </c>
      <c r="B186" s="77" t="s">
        <v>599</v>
      </c>
      <c r="C186" s="41">
        <f t="shared" ref="C186:N186" si="148">+C185*87.230682%</f>
        <v>0</v>
      </c>
      <c r="D186" s="41">
        <f t="shared" si="148"/>
        <v>0</v>
      </c>
      <c r="E186" s="41">
        <f t="shared" si="148"/>
        <v>0</v>
      </c>
      <c r="F186" s="41">
        <f t="shared" si="148"/>
        <v>0</v>
      </c>
      <c r="G186" s="41">
        <f t="shared" si="148"/>
        <v>0</v>
      </c>
      <c r="H186" s="41">
        <f t="shared" si="148"/>
        <v>0</v>
      </c>
      <c r="I186" s="41">
        <f t="shared" si="148"/>
        <v>0</v>
      </c>
      <c r="J186" s="41">
        <f t="shared" si="148"/>
        <v>0</v>
      </c>
      <c r="K186" s="41">
        <f t="shared" si="148"/>
        <v>0</v>
      </c>
      <c r="L186" s="41">
        <f t="shared" si="148"/>
        <v>0</v>
      </c>
      <c r="M186" s="41">
        <f t="shared" si="148"/>
        <v>0</v>
      </c>
      <c r="N186" s="41">
        <f t="shared" si="148"/>
        <v>0</v>
      </c>
      <c r="O186" s="140">
        <f t="shared" si="115"/>
        <v>0</v>
      </c>
      <c r="P186" s="86">
        <v>0</v>
      </c>
      <c r="Q186" s="108">
        <f t="shared" si="113"/>
        <v>0</v>
      </c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86"/>
      <c r="BB186" s="86"/>
      <c r="BC186" s="86"/>
      <c r="BD186" s="86"/>
      <c r="BE186" s="86"/>
      <c r="BF186" s="86"/>
      <c r="BG186" s="86"/>
      <c r="BH186" s="86"/>
      <c r="BI186" s="86"/>
      <c r="BJ186" s="86"/>
      <c r="BK186" s="86"/>
      <c r="BL186" s="86"/>
      <c r="BM186" s="86"/>
      <c r="BN186" s="86"/>
      <c r="BO186" s="86"/>
      <c r="BP186" s="86"/>
      <c r="BQ186" s="86"/>
      <c r="BR186" s="86"/>
      <c r="BS186" s="86"/>
      <c r="BT186" s="86"/>
      <c r="BU186" s="86"/>
      <c r="BV186" s="86"/>
    </row>
    <row r="187" spans="1:74" s="87" customFormat="1" ht="14.25" x14ac:dyDescent="0.2">
      <c r="A187" s="76" t="s">
        <v>600</v>
      </c>
      <c r="B187" s="77" t="s">
        <v>601</v>
      </c>
      <c r="C187" s="41">
        <f t="shared" ref="C187:N187" si="149">+C185*0.1%</f>
        <v>0</v>
      </c>
      <c r="D187" s="41">
        <f t="shared" si="149"/>
        <v>0</v>
      </c>
      <c r="E187" s="41">
        <f t="shared" si="149"/>
        <v>0</v>
      </c>
      <c r="F187" s="41">
        <f t="shared" si="149"/>
        <v>0</v>
      </c>
      <c r="G187" s="41">
        <f t="shared" si="149"/>
        <v>0</v>
      </c>
      <c r="H187" s="41">
        <f t="shared" si="149"/>
        <v>0</v>
      </c>
      <c r="I187" s="41">
        <f t="shared" si="149"/>
        <v>0</v>
      </c>
      <c r="J187" s="41">
        <f t="shared" si="149"/>
        <v>0</v>
      </c>
      <c r="K187" s="41">
        <f t="shared" si="149"/>
        <v>0</v>
      </c>
      <c r="L187" s="41">
        <f t="shared" si="149"/>
        <v>0</v>
      </c>
      <c r="M187" s="41">
        <f t="shared" si="149"/>
        <v>0</v>
      </c>
      <c r="N187" s="41">
        <f t="shared" si="149"/>
        <v>0</v>
      </c>
      <c r="O187" s="140">
        <f t="shared" si="115"/>
        <v>0</v>
      </c>
      <c r="P187" s="86">
        <v>0</v>
      </c>
      <c r="Q187" s="108">
        <f t="shared" si="113"/>
        <v>0</v>
      </c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6"/>
      <c r="AM187" s="86"/>
      <c r="AN187" s="86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86"/>
      <c r="BB187" s="86"/>
      <c r="BC187" s="86"/>
      <c r="BD187" s="86"/>
      <c r="BE187" s="86"/>
      <c r="BF187" s="86"/>
      <c r="BG187" s="86"/>
      <c r="BH187" s="86"/>
      <c r="BI187" s="86"/>
      <c r="BJ187" s="86"/>
      <c r="BK187" s="86"/>
      <c r="BL187" s="86"/>
      <c r="BM187" s="86"/>
      <c r="BN187" s="86"/>
      <c r="BO187" s="86"/>
      <c r="BP187" s="86"/>
      <c r="BQ187" s="86"/>
      <c r="BR187" s="86"/>
      <c r="BS187" s="86"/>
      <c r="BT187" s="86"/>
      <c r="BU187" s="86"/>
      <c r="BV187" s="86"/>
    </row>
    <row r="188" spans="1:74" s="110" customFormat="1" ht="14.25" x14ac:dyDescent="0.2">
      <c r="A188" s="76" t="s">
        <v>602</v>
      </c>
      <c r="B188" s="77" t="s">
        <v>603</v>
      </c>
      <c r="C188" s="41">
        <f t="shared" ref="C188:N188" si="150">+C185*9.99%</f>
        <v>0</v>
      </c>
      <c r="D188" s="41">
        <f t="shared" si="150"/>
        <v>0</v>
      </c>
      <c r="E188" s="41">
        <f t="shared" si="150"/>
        <v>0</v>
      </c>
      <c r="F188" s="41">
        <f t="shared" si="150"/>
        <v>0</v>
      </c>
      <c r="G188" s="41">
        <f t="shared" si="150"/>
        <v>0</v>
      </c>
      <c r="H188" s="41">
        <f t="shared" si="150"/>
        <v>0</v>
      </c>
      <c r="I188" s="41">
        <f t="shared" si="150"/>
        <v>0</v>
      </c>
      <c r="J188" s="41">
        <f t="shared" si="150"/>
        <v>0</v>
      </c>
      <c r="K188" s="41">
        <f t="shared" si="150"/>
        <v>0</v>
      </c>
      <c r="L188" s="41">
        <f t="shared" si="150"/>
        <v>0</v>
      </c>
      <c r="M188" s="41">
        <f t="shared" si="150"/>
        <v>0</v>
      </c>
      <c r="N188" s="41">
        <f t="shared" si="150"/>
        <v>0</v>
      </c>
      <c r="O188" s="140">
        <f t="shared" si="115"/>
        <v>0</v>
      </c>
      <c r="P188" s="109">
        <v>0</v>
      </c>
      <c r="Q188" s="108">
        <f t="shared" si="113"/>
        <v>0</v>
      </c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</row>
    <row r="189" spans="1:74" s="110" customFormat="1" ht="28.5" x14ac:dyDescent="0.2">
      <c r="A189" s="76" t="s">
        <v>604</v>
      </c>
      <c r="B189" s="77" t="s">
        <v>605</v>
      </c>
      <c r="C189" s="41">
        <f t="shared" ref="C189:N189" si="151">+C185*1.7982%</f>
        <v>0</v>
      </c>
      <c r="D189" s="41">
        <f t="shared" si="151"/>
        <v>0</v>
      </c>
      <c r="E189" s="41">
        <f t="shared" si="151"/>
        <v>0</v>
      </c>
      <c r="F189" s="41">
        <f t="shared" si="151"/>
        <v>0</v>
      </c>
      <c r="G189" s="41">
        <f t="shared" si="151"/>
        <v>0</v>
      </c>
      <c r="H189" s="41">
        <f t="shared" si="151"/>
        <v>0</v>
      </c>
      <c r="I189" s="41">
        <f t="shared" si="151"/>
        <v>0</v>
      </c>
      <c r="J189" s="41">
        <f t="shared" si="151"/>
        <v>0</v>
      </c>
      <c r="K189" s="41">
        <f t="shared" si="151"/>
        <v>0</v>
      </c>
      <c r="L189" s="41">
        <f t="shared" si="151"/>
        <v>0</v>
      </c>
      <c r="M189" s="41">
        <f t="shared" si="151"/>
        <v>0</v>
      </c>
      <c r="N189" s="41">
        <f t="shared" si="151"/>
        <v>0</v>
      </c>
      <c r="O189" s="140">
        <f t="shared" si="115"/>
        <v>0</v>
      </c>
      <c r="P189" s="109">
        <v>0</v>
      </c>
      <c r="Q189" s="108">
        <f t="shared" si="113"/>
        <v>0</v>
      </c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</row>
    <row r="190" spans="1:74" s="110" customFormat="1" ht="42.75" x14ac:dyDescent="0.2">
      <c r="A190" s="76" t="s">
        <v>606</v>
      </c>
      <c r="B190" s="154" t="s">
        <v>607</v>
      </c>
      <c r="C190" s="41">
        <f t="shared" ref="C190:N190" si="152">+C185*0.881118%</f>
        <v>0</v>
      </c>
      <c r="D190" s="41">
        <f t="shared" si="152"/>
        <v>0</v>
      </c>
      <c r="E190" s="41">
        <f t="shared" si="152"/>
        <v>0</v>
      </c>
      <c r="F190" s="41">
        <f t="shared" si="152"/>
        <v>0</v>
      </c>
      <c r="G190" s="41">
        <f t="shared" si="152"/>
        <v>0</v>
      </c>
      <c r="H190" s="41">
        <f t="shared" si="152"/>
        <v>0</v>
      </c>
      <c r="I190" s="41">
        <f t="shared" si="152"/>
        <v>0</v>
      </c>
      <c r="J190" s="41">
        <f t="shared" si="152"/>
        <v>0</v>
      </c>
      <c r="K190" s="41">
        <f t="shared" si="152"/>
        <v>0</v>
      </c>
      <c r="L190" s="41">
        <f t="shared" si="152"/>
        <v>0</v>
      </c>
      <c r="M190" s="41">
        <f t="shared" si="152"/>
        <v>0</v>
      </c>
      <c r="N190" s="41">
        <f t="shared" si="152"/>
        <v>0</v>
      </c>
      <c r="O190" s="140">
        <f t="shared" si="115"/>
        <v>0</v>
      </c>
      <c r="P190" s="109">
        <v>0</v>
      </c>
      <c r="Q190" s="108">
        <f t="shared" si="113"/>
        <v>0</v>
      </c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</row>
    <row r="191" spans="1:74" s="110" customFormat="1" ht="19.5" x14ac:dyDescent="0.2">
      <c r="A191" s="81" t="s">
        <v>608</v>
      </c>
      <c r="B191" s="79" t="s">
        <v>609</v>
      </c>
      <c r="C191" s="217">
        <f t="shared" ref="C191:N191" si="153">+C192+C200+C206+C215</f>
        <v>0</v>
      </c>
      <c r="D191" s="217">
        <f t="shared" si="153"/>
        <v>0</v>
      </c>
      <c r="E191" s="217">
        <f t="shared" si="153"/>
        <v>0</v>
      </c>
      <c r="F191" s="217">
        <f t="shared" si="153"/>
        <v>0</v>
      </c>
      <c r="G191" s="217">
        <f t="shared" si="153"/>
        <v>0</v>
      </c>
      <c r="H191" s="217">
        <f t="shared" si="153"/>
        <v>0</v>
      </c>
      <c r="I191" s="217">
        <f t="shared" si="153"/>
        <v>0</v>
      </c>
      <c r="J191" s="217">
        <f t="shared" si="153"/>
        <v>0</v>
      </c>
      <c r="K191" s="217">
        <f t="shared" si="153"/>
        <v>0</v>
      </c>
      <c r="L191" s="217">
        <f t="shared" si="153"/>
        <v>0</v>
      </c>
      <c r="M191" s="217">
        <f t="shared" si="153"/>
        <v>0</v>
      </c>
      <c r="N191" s="217">
        <f t="shared" si="153"/>
        <v>0</v>
      </c>
      <c r="O191" s="140">
        <f t="shared" si="115"/>
        <v>0</v>
      </c>
      <c r="P191" s="109">
        <v>0</v>
      </c>
      <c r="Q191" s="108">
        <f t="shared" si="113"/>
        <v>0</v>
      </c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09"/>
      <c r="BT191" s="109"/>
      <c r="BU191" s="109"/>
      <c r="BV191" s="109"/>
    </row>
    <row r="192" spans="1:74" s="110" customFormat="1" ht="31.5" x14ac:dyDescent="0.2">
      <c r="A192" s="81" t="s">
        <v>610</v>
      </c>
      <c r="B192" s="79" t="s">
        <v>611</v>
      </c>
      <c r="C192" s="217">
        <f>+C193+C197+C198+C199</f>
        <v>0</v>
      </c>
      <c r="D192" s="217">
        <f t="shared" ref="D192:N192" si="154">+D193+D197+D198+D199</f>
        <v>0</v>
      </c>
      <c r="E192" s="217">
        <f t="shared" si="154"/>
        <v>0</v>
      </c>
      <c r="F192" s="217">
        <f t="shared" si="154"/>
        <v>0</v>
      </c>
      <c r="G192" s="217">
        <f t="shared" si="154"/>
        <v>0</v>
      </c>
      <c r="H192" s="217">
        <f t="shared" si="154"/>
        <v>0</v>
      </c>
      <c r="I192" s="217">
        <f t="shared" si="154"/>
        <v>0</v>
      </c>
      <c r="J192" s="217">
        <f t="shared" si="154"/>
        <v>0</v>
      </c>
      <c r="K192" s="217">
        <f t="shared" si="154"/>
        <v>0</v>
      </c>
      <c r="L192" s="217">
        <f t="shared" si="154"/>
        <v>0</v>
      </c>
      <c r="M192" s="217">
        <f t="shared" si="154"/>
        <v>0</v>
      </c>
      <c r="N192" s="217">
        <f t="shared" si="154"/>
        <v>0</v>
      </c>
      <c r="O192" s="140">
        <f t="shared" si="115"/>
        <v>0</v>
      </c>
      <c r="P192" s="109">
        <v>0</v>
      </c>
      <c r="Q192" s="108">
        <f t="shared" si="113"/>
        <v>0</v>
      </c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09"/>
      <c r="BT192" s="109"/>
      <c r="BU192" s="109"/>
      <c r="BV192" s="109"/>
    </row>
    <row r="193" spans="1:74" s="110" customFormat="1" ht="19.5" x14ac:dyDescent="0.2">
      <c r="A193" s="81" t="s">
        <v>612</v>
      </c>
      <c r="B193" s="79" t="s">
        <v>613</v>
      </c>
      <c r="C193" s="217">
        <f>SUM(C194:C196)</f>
        <v>0</v>
      </c>
      <c r="D193" s="217">
        <f t="shared" ref="D193:N193" si="155">SUM(D194:D196)</f>
        <v>0</v>
      </c>
      <c r="E193" s="217">
        <f t="shared" si="155"/>
        <v>0</v>
      </c>
      <c r="F193" s="217">
        <f t="shared" si="155"/>
        <v>0</v>
      </c>
      <c r="G193" s="217">
        <f t="shared" si="155"/>
        <v>0</v>
      </c>
      <c r="H193" s="217">
        <f t="shared" si="155"/>
        <v>0</v>
      </c>
      <c r="I193" s="217">
        <f t="shared" si="155"/>
        <v>0</v>
      </c>
      <c r="J193" s="217">
        <f t="shared" si="155"/>
        <v>0</v>
      </c>
      <c r="K193" s="217">
        <f t="shared" si="155"/>
        <v>0</v>
      </c>
      <c r="L193" s="217">
        <f t="shared" si="155"/>
        <v>0</v>
      </c>
      <c r="M193" s="217">
        <f t="shared" si="155"/>
        <v>0</v>
      </c>
      <c r="N193" s="217">
        <f t="shared" si="155"/>
        <v>0</v>
      </c>
      <c r="O193" s="140">
        <f t="shared" si="115"/>
        <v>0</v>
      </c>
      <c r="P193" s="109">
        <v>0</v>
      </c>
      <c r="Q193" s="108">
        <f t="shared" si="113"/>
        <v>0</v>
      </c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  <c r="BU193" s="109"/>
      <c r="BV193" s="109"/>
    </row>
    <row r="194" spans="1:74" s="110" customFormat="1" ht="28.5" x14ac:dyDescent="0.2">
      <c r="A194" s="76" t="s">
        <v>614</v>
      </c>
      <c r="B194" s="77" t="s">
        <v>615</v>
      </c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140">
        <f t="shared" si="115"/>
        <v>0</v>
      </c>
      <c r="P194" s="109">
        <v>0</v>
      </c>
      <c r="Q194" s="108">
        <f t="shared" si="113"/>
        <v>0</v>
      </c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</row>
    <row r="195" spans="1:74" s="110" customFormat="1" ht="42.75" x14ac:dyDescent="0.2">
      <c r="A195" s="76" t="s">
        <v>616</v>
      </c>
      <c r="B195" s="77" t="s">
        <v>617</v>
      </c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140">
        <f t="shared" si="115"/>
        <v>0</v>
      </c>
      <c r="P195" s="109">
        <v>0</v>
      </c>
      <c r="Q195" s="108">
        <f t="shared" si="113"/>
        <v>0</v>
      </c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</row>
    <row r="196" spans="1:74" s="110" customFormat="1" ht="28.5" x14ac:dyDescent="0.2">
      <c r="A196" s="76" t="s">
        <v>618</v>
      </c>
      <c r="B196" s="77" t="s">
        <v>619</v>
      </c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140">
        <f t="shared" si="115"/>
        <v>0</v>
      </c>
      <c r="P196" s="109">
        <v>0</v>
      </c>
      <c r="Q196" s="108">
        <f t="shared" si="113"/>
        <v>0</v>
      </c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</row>
    <row r="197" spans="1:74" s="110" customFormat="1" ht="14.25" x14ac:dyDescent="0.2">
      <c r="A197" s="76" t="s">
        <v>620</v>
      </c>
      <c r="B197" s="154" t="s">
        <v>621</v>
      </c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140">
        <f t="shared" si="115"/>
        <v>0</v>
      </c>
      <c r="P197" s="109">
        <v>0</v>
      </c>
      <c r="Q197" s="108">
        <f t="shared" si="113"/>
        <v>0</v>
      </c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</row>
    <row r="198" spans="1:74" s="110" customFormat="1" ht="14.25" x14ac:dyDescent="0.2">
      <c r="A198" s="76" t="s">
        <v>620</v>
      </c>
      <c r="B198" s="154" t="s">
        <v>621</v>
      </c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140">
        <f t="shared" si="115"/>
        <v>0</v>
      </c>
      <c r="P198" s="109"/>
      <c r="Q198" s="108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</row>
    <row r="199" spans="1:74" s="110" customFormat="1" ht="42.75" x14ac:dyDescent="0.2">
      <c r="A199" s="76" t="s">
        <v>1889</v>
      </c>
      <c r="B199" s="154" t="s">
        <v>1890</v>
      </c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140">
        <f t="shared" si="115"/>
        <v>0</v>
      </c>
      <c r="P199" s="109"/>
      <c r="Q199" s="108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</row>
    <row r="200" spans="1:74" s="110" customFormat="1" ht="31.5" x14ac:dyDescent="0.2">
      <c r="A200" s="81" t="s">
        <v>622</v>
      </c>
      <c r="B200" s="79" t="s">
        <v>623</v>
      </c>
      <c r="C200" s="217">
        <f t="shared" ref="C200:N201" si="156">+C201</f>
        <v>0</v>
      </c>
      <c r="D200" s="217">
        <f t="shared" si="156"/>
        <v>0</v>
      </c>
      <c r="E200" s="217">
        <f t="shared" si="156"/>
        <v>0</v>
      </c>
      <c r="F200" s="217">
        <f t="shared" si="156"/>
        <v>0</v>
      </c>
      <c r="G200" s="217">
        <f t="shared" si="156"/>
        <v>0</v>
      </c>
      <c r="H200" s="217">
        <f t="shared" si="156"/>
        <v>0</v>
      </c>
      <c r="I200" s="217">
        <f t="shared" si="156"/>
        <v>0</v>
      </c>
      <c r="J200" s="217">
        <f t="shared" si="156"/>
        <v>0</v>
      </c>
      <c r="K200" s="217">
        <f t="shared" si="156"/>
        <v>0</v>
      </c>
      <c r="L200" s="217">
        <f t="shared" si="156"/>
        <v>0</v>
      </c>
      <c r="M200" s="217">
        <f t="shared" si="156"/>
        <v>0</v>
      </c>
      <c r="N200" s="217">
        <f t="shared" si="156"/>
        <v>0</v>
      </c>
      <c r="O200" s="140">
        <f t="shared" si="115"/>
        <v>0</v>
      </c>
      <c r="P200" s="109">
        <v>0</v>
      </c>
      <c r="Q200" s="108">
        <f t="shared" si="113"/>
        <v>0</v>
      </c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</row>
    <row r="201" spans="1:74" s="110" customFormat="1" ht="19.5" x14ac:dyDescent="0.2">
      <c r="A201" s="81" t="s">
        <v>624</v>
      </c>
      <c r="B201" s="79" t="s">
        <v>625</v>
      </c>
      <c r="C201" s="217">
        <f t="shared" si="156"/>
        <v>0</v>
      </c>
      <c r="D201" s="217">
        <f t="shared" si="156"/>
        <v>0</v>
      </c>
      <c r="E201" s="217">
        <f t="shared" si="156"/>
        <v>0</v>
      </c>
      <c r="F201" s="217">
        <f t="shared" si="156"/>
        <v>0</v>
      </c>
      <c r="G201" s="217">
        <f t="shared" si="156"/>
        <v>0</v>
      </c>
      <c r="H201" s="217">
        <f t="shared" si="156"/>
        <v>0</v>
      </c>
      <c r="I201" s="217">
        <f t="shared" si="156"/>
        <v>0</v>
      </c>
      <c r="J201" s="217">
        <f t="shared" si="156"/>
        <v>0</v>
      </c>
      <c r="K201" s="217">
        <f t="shared" si="156"/>
        <v>0</v>
      </c>
      <c r="L201" s="217">
        <f t="shared" si="156"/>
        <v>0</v>
      </c>
      <c r="M201" s="217">
        <f t="shared" si="156"/>
        <v>0</v>
      </c>
      <c r="N201" s="217">
        <f t="shared" si="156"/>
        <v>0</v>
      </c>
      <c r="O201" s="140">
        <f t="shared" si="115"/>
        <v>0</v>
      </c>
      <c r="P201" s="109">
        <v>0</v>
      </c>
      <c r="Q201" s="108">
        <f t="shared" si="113"/>
        <v>0</v>
      </c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</row>
    <row r="202" spans="1:74" s="110" customFormat="1" ht="31.5" x14ac:dyDescent="0.2">
      <c r="A202" s="81" t="s">
        <v>626</v>
      </c>
      <c r="B202" s="79" t="s">
        <v>627</v>
      </c>
      <c r="C202" s="217">
        <f t="shared" ref="C202:N202" si="157">SUM(C203:C205)</f>
        <v>0</v>
      </c>
      <c r="D202" s="217">
        <f t="shared" si="157"/>
        <v>0</v>
      </c>
      <c r="E202" s="217">
        <f t="shared" si="157"/>
        <v>0</v>
      </c>
      <c r="F202" s="217">
        <f t="shared" si="157"/>
        <v>0</v>
      </c>
      <c r="G202" s="217">
        <f t="shared" si="157"/>
        <v>0</v>
      </c>
      <c r="H202" s="217">
        <f t="shared" si="157"/>
        <v>0</v>
      </c>
      <c r="I202" s="217">
        <f t="shared" si="157"/>
        <v>0</v>
      </c>
      <c r="J202" s="217">
        <f t="shared" si="157"/>
        <v>0</v>
      </c>
      <c r="K202" s="217">
        <f t="shared" si="157"/>
        <v>0</v>
      </c>
      <c r="L202" s="217">
        <f t="shared" si="157"/>
        <v>0</v>
      </c>
      <c r="M202" s="217">
        <f t="shared" si="157"/>
        <v>0</v>
      </c>
      <c r="N202" s="217">
        <f t="shared" si="157"/>
        <v>0</v>
      </c>
      <c r="O202" s="140">
        <f t="shared" si="115"/>
        <v>0</v>
      </c>
      <c r="P202" s="109">
        <v>0</v>
      </c>
      <c r="Q202" s="108">
        <f t="shared" si="113"/>
        <v>0</v>
      </c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</row>
    <row r="203" spans="1:74" s="87" customFormat="1" ht="14.25" x14ac:dyDescent="0.2">
      <c r="A203" s="76" t="s">
        <v>628</v>
      </c>
      <c r="B203" s="77" t="s">
        <v>629</v>
      </c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40">
        <f t="shared" si="115"/>
        <v>0</v>
      </c>
      <c r="P203" s="86">
        <v>0</v>
      </c>
      <c r="Q203" s="108">
        <f t="shared" si="113"/>
        <v>0</v>
      </c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  <c r="AK203" s="86"/>
      <c r="AL203" s="86"/>
      <c r="AM203" s="86"/>
      <c r="AN203" s="86"/>
      <c r="AO203" s="86"/>
      <c r="AP203" s="86"/>
      <c r="AQ203" s="86"/>
      <c r="AR203" s="86"/>
      <c r="AS203" s="86"/>
      <c r="AT203" s="86"/>
      <c r="AU203" s="86"/>
      <c r="AV203" s="86"/>
      <c r="AW203" s="86"/>
      <c r="AX203" s="86"/>
      <c r="AY203" s="86"/>
      <c r="AZ203" s="86"/>
      <c r="BA203" s="86"/>
      <c r="BB203" s="86"/>
      <c r="BC203" s="86"/>
      <c r="BD203" s="86"/>
      <c r="BE203" s="86"/>
      <c r="BF203" s="86"/>
      <c r="BG203" s="86"/>
      <c r="BH203" s="86"/>
      <c r="BI203" s="86"/>
      <c r="BJ203" s="86"/>
      <c r="BK203" s="86"/>
      <c r="BL203" s="86"/>
      <c r="BM203" s="86"/>
      <c r="BN203" s="86"/>
      <c r="BO203" s="86"/>
      <c r="BP203" s="86"/>
      <c r="BQ203" s="86"/>
      <c r="BR203" s="86"/>
      <c r="BS203" s="86"/>
      <c r="BT203" s="86"/>
      <c r="BU203" s="86"/>
      <c r="BV203" s="86"/>
    </row>
    <row r="204" spans="1:74" s="87" customFormat="1" ht="28.5" x14ac:dyDescent="0.2">
      <c r="A204" s="76" t="s">
        <v>630</v>
      </c>
      <c r="B204" s="77" t="s">
        <v>631</v>
      </c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40">
        <f t="shared" si="115"/>
        <v>0</v>
      </c>
      <c r="P204" s="86">
        <v>0</v>
      </c>
      <c r="Q204" s="108">
        <f t="shared" si="113"/>
        <v>0</v>
      </c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86"/>
      <c r="BB204" s="86"/>
      <c r="BC204" s="86"/>
      <c r="BD204" s="86"/>
      <c r="BE204" s="86"/>
      <c r="BF204" s="86"/>
      <c r="BG204" s="86"/>
      <c r="BH204" s="86"/>
      <c r="BI204" s="86"/>
      <c r="BJ204" s="86"/>
      <c r="BK204" s="86"/>
      <c r="BL204" s="86"/>
      <c r="BM204" s="86"/>
      <c r="BN204" s="86"/>
      <c r="BO204" s="86"/>
      <c r="BP204" s="86"/>
      <c r="BQ204" s="86"/>
      <c r="BR204" s="86"/>
      <c r="BS204" s="86"/>
      <c r="BT204" s="86"/>
      <c r="BU204" s="86"/>
      <c r="BV204" s="86"/>
    </row>
    <row r="205" spans="1:74" s="87" customFormat="1" ht="14.25" x14ac:dyDescent="0.2">
      <c r="A205" s="76" t="s">
        <v>632</v>
      </c>
      <c r="B205" s="77" t="s">
        <v>633</v>
      </c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40">
        <f t="shared" si="115"/>
        <v>0</v>
      </c>
      <c r="P205" s="86">
        <v>0</v>
      </c>
      <c r="Q205" s="108">
        <f t="shared" si="113"/>
        <v>0</v>
      </c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86"/>
      <c r="BG205" s="86"/>
      <c r="BH205" s="86"/>
      <c r="BI205" s="86"/>
      <c r="BJ205" s="86"/>
      <c r="BK205" s="86"/>
      <c r="BL205" s="86"/>
      <c r="BM205" s="86"/>
      <c r="BN205" s="86"/>
      <c r="BO205" s="86"/>
      <c r="BP205" s="86"/>
      <c r="BQ205" s="86"/>
      <c r="BR205" s="86"/>
      <c r="BS205" s="86"/>
      <c r="BT205" s="86"/>
      <c r="BU205" s="86"/>
      <c r="BV205" s="86"/>
    </row>
    <row r="206" spans="1:74" s="87" customFormat="1" ht="31.5" x14ac:dyDescent="0.2">
      <c r="A206" s="81" t="s">
        <v>634</v>
      </c>
      <c r="B206" s="79" t="s">
        <v>635</v>
      </c>
      <c r="C206" s="217">
        <f t="shared" ref="C206:N206" si="158">+C207</f>
        <v>0</v>
      </c>
      <c r="D206" s="217">
        <f t="shared" si="158"/>
        <v>0</v>
      </c>
      <c r="E206" s="217">
        <f t="shared" si="158"/>
        <v>0</v>
      </c>
      <c r="F206" s="217">
        <f t="shared" si="158"/>
        <v>0</v>
      </c>
      <c r="G206" s="217">
        <f t="shared" si="158"/>
        <v>0</v>
      </c>
      <c r="H206" s="217">
        <f t="shared" si="158"/>
        <v>0</v>
      </c>
      <c r="I206" s="217">
        <f t="shared" si="158"/>
        <v>0</v>
      </c>
      <c r="J206" s="217">
        <f t="shared" si="158"/>
        <v>0</v>
      </c>
      <c r="K206" s="217">
        <f t="shared" si="158"/>
        <v>0</v>
      </c>
      <c r="L206" s="217">
        <f t="shared" si="158"/>
        <v>0</v>
      </c>
      <c r="M206" s="217">
        <f t="shared" si="158"/>
        <v>0</v>
      </c>
      <c r="N206" s="217">
        <f t="shared" si="158"/>
        <v>0</v>
      </c>
      <c r="O206" s="140">
        <f t="shared" si="115"/>
        <v>0</v>
      </c>
      <c r="P206" s="86">
        <v>0</v>
      </c>
      <c r="Q206" s="108">
        <f t="shared" ref="Q206:Q269" si="159">+P206-O206</f>
        <v>0</v>
      </c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86"/>
      <c r="BB206" s="86"/>
      <c r="BC206" s="86"/>
      <c r="BD206" s="86"/>
      <c r="BE206" s="86"/>
      <c r="BF206" s="86"/>
      <c r="BG206" s="86"/>
      <c r="BH206" s="86"/>
      <c r="BI206" s="86"/>
      <c r="BJ206" s="86"/>
      <c r="BK206" s="86"/>
      <c r="BL206" s="86"/>
      <c r="BM206" s="86"/>
      <c r="BN206" s="86"/>
      <c r="BO206" s="86"/>
      <c r="BP206" s="86"/>
      <c r="BQ206" s="86"/>
      <c r="BR206" s="86"/>
      <c r="BS206" s="86"/>
      <c r="BT206" s="86"/>
      <c r="BU206" s="86"/>
      <c r="BV206" s="86"/>
    </row>
    <row r="207" spans="1:74" s="87" customFormat="1" ht="19.5" x14ac:dyDescent="0.2">
      <c r="A207" s="81" t="s">
        <v>636</v>
      </c>
      <c r="B207" s="79" t="s">
        <v>637</v>
      </c>
      <c r="C207" s="217">
        <f t="shared" ref="C207:N207" si="160">SUM(C208:C211)</f>
        <v>0</v>
      </c>
      <c r="D207" s="217">
        <f t="shared" si="160"/>
        <v>0</v>
      </c>
      <c r="E207" s="217">
        <f t="shared" si="160"/>
        <v>0</v>
      </c>
      <c r="F207" s="217">
        <f t="shared" si="160"/>
        <v>0</v>
      </c>
      <c r="G207" s="217">
        <f t="shared" si="160"/>
        <v>0</v>
      </c>
      <c r="H207" s="217">
        <f t="shared" si="160"/>
        <v>0</v>
      </c>
      <c r="I207" s="217">
        <f t="shared" si="160"/>
        <v>0</v>
      </c>
      <c r="J207" s="217">
        <f t="shared" si="160"/>
        <v>0</v>
      </c>
      <c r="K207" s="217">
        <f t="shared" si="160"/>
        <v>0</v>
      </c>
      <c r="L207" s="217">
        <f t="shared" si="160"/>
        <v>0</v>
      </c>
      <c r="M207" s="217">
        <f t="shared" si="160"/>
        <v>0</v>
      </c>
      <c r="N207" s="217">
        <f t="shared" si="160"/>
        <v>0</v>
      </c>
      <c r="O207" s="140">
        <f t="shared" si="115"/>
        <v>0</v>
      </c>
      <c r="P207" s="86">
        <v>0</v>
      </c>
      <c r="Q207" s="108">
        <f t="shared" si="159"/>
        <v>0</v>
      </c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86"/>
      <c r="AT207" s="86"/>
      <c r="AU207" s="86"/>
      <c r="AV207" s="86"/>
      <c r="AW207" s="86"/>
      <c r="AX207" s="86"/>
      <c r="AY207" s="86"/>
      <c r="AZ207" s="86"/>
      <c r="BA207" s="86"/>
      <c r="BB207" s="86"/>
      <c r="BC207" s="86"/>
      <c r="BD207" s="86"/>
      <c r="BE207" s="86"/>
      <c r="BF207" s="86"/>
      <c r="BG207" s="86"/>
      <c r="BH207" s="86"/>
      <c r="BI207" s="86"/>
      <c r="BJ207" s="86"/>
      <c r="BK207" s="86"/>
      <c r="BL207" s="86"/>
      <c r="BM207" s="86"/>
      <c r="BN207" s="86"/>
      <c r="BO207" s="86"/>
      <c r="BP207" s="86"/>
      <c r="BQ207" s="86"/>
      <c r="BR207" s="86"/>
      <c r="BS207" s="86"/>
      <c r="BT207" s="86"/>
      <c r="BU207" s="86"/>
      <c r="BV207" s="86"/>
    </row>
    <row r="208" spans="1:74" s="87" customFormat="1" ht="14.25" x14ac:dyDescent="0.2">
      <c r="A208" s="76" t="s">
        <v>638</v>
      </c>
      <c r="B208" s="77" t="s">
        <v>639</v>
      </c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140">
        <f t="shared" si="115"/>
        <v>0</v>
      </c>
      <c r="P208" s="86">
        <v>0</v>
      </c>
      <c r="Q208" s="108">
        <f t="shared" si="159"/>
        <v>0</v>
      </c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86"/>
      <c r="BB208" s="86"/>
      <c r="BC208" s="86"/>
      <c r="BD208" s="86"/>
      <c r="BE208" s="86"/>
      <c r="BF208" s="86"/>
      <c r="BG208" s="86"/>
      <c r="BH208" s="86"/>
      <c r="BI208" s="86"/>
      <c r="BJ208" s="86"/>
      <c r="BK208" s="86"/>
      <c r="BL208" s="86"/>
      <c r="BM208" s="86"/>
      <c r="BN208" s="86"/>
      <c r="BO208" s="86"/>
      <c r="BP208" s="86"/>
      <c r="BQ208" s="86"/>
      <c r="BR208" s="86"/>
      <c r="BS208" s="86"/>
      <c r="BT208" s="86"/>
      <c r="BU208" s="86"/>
      <c r="BV208" s="86"/>
    </row>
    <row r="209" spans="1:74" s="110" customFormat="1" ht="28.5" x14ac:dyDescent="0.2">
      <c r="A209" s="76" t="s">
        <v>640</v>
      </c>
      <c r="B209" s="77" t="s">
        <v>641</v>
      </c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140">
        <f t="shared" si="115"/>
        <v>0</v>
      </c>
      <c r="P209" s="109">
        <v>0</v>
      </c>
      <c r="Q209" s="108">
        <f t="shared" si="159"/>
        <v>0</v>
      </c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  <c r="BU209" s="109"/>
      <c r="BV209" s="109"/>
    </row>
    <row r="210" spans="1:74" s="110" customFormat="1" ht="28.5" x14ac:dyDescent="0.2">
      <c r="A210" s="76" t="s">
        <v>642</v>
      </c>
      <c r="B210" s="77" t="s">
        <v>643</v>
      </c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140">
        <f t="shared" ref="O210:O285" si="161">SUM(C210:N210)</f>
        <v>0</v>
      </c>
      <c r="P210" s="109">
        <v>0</v>
      </c>
      <c r="Q210" s="108">
        <f t="shared" si="159"/>
        <v>0</v>
      </c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</row>
    <row r="211" spans="1:74" s="110" customFormat="1" ht="19.5" x14ac:dyDescent="0.2">
      <c r="A211" s="81" t="s">
        <v>644</v>
      </c>
      <c r="B211" s="101" t="s">
        <v>645</v>
      </c>
      <c r="C211" s="217">
        <f t="shared" ref="C211:N211" si="162">SUM(C212:C214)</f>
        <v>0</v>
      </c>
      <c r="D211" s="217">
        <f t="shared" si="162"/>
        <v>0</v>
      </c>
      <c r="E211" s="217">
        <f t="shared" si="162"/>
        <v>0</v>
      </c>
      <c r="F211" s="217">
        <f t="shared" si="162"/>
        <v>0</v>
      </c>
      <c r="G211" s="217">
        <f t="shared" si="162"/>
        <v>0</v>
      </c>
      <c r="H211" s="217">
        <f t="shared" si="162"/>
        <v>0</v>
      </c>
      <c r="I211" s="217">
        <f t="shared" si="162"/>
        <v>0</v>
      </c>
      <c r="J211" s="217">
        <f t="shared" si="162"/>
        <v>0</v>
      </c>
      <c r="K211" s="217">
        <f t="shared" si="162"/>
        <v>0</v>
      </c>
      <c r="L211" s="217">
        <f t="shared" si="162"/>
        <v>0</v>
      </c>
      <c r="M211" s="217">
        <f t="shared" si="162"/>
        <v>0</v>
      </c>
      <c r="N211" s="217">
        <f t="shared" si="162"/>
        <v>0</v>
      </c>
      <c r="O211" s="140">
        <f t="shared" si="161"/>
        <v>0</v>
      </c>
      <c r="P211" s="109">
        <v>0</v>
      </c>
      <c r="Q211" s="108">
        <f t="shared" si="159"/>
        <v>0</v>
      </c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09"/>
      <c r="BT211" s="109"/>
      <c r="BU211" s="109"/>
      <c r="BV211" s="109"/>
    </row>
    <row r="212" spans="1:74" s="110" customFormat="1" ht="14.25" x14ac:dyDescent="0.2">
      <c r="A212" s="76" t="s">
        <v>646</v>
      </c>
      <c r="B212" s="77" t="s">
        <v>647</v>
      </c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40">
        <f t="shared" si="161"/>
        <v>0</v>
      </c>
      <c r="P212" s="109">
        <v>0</v>
      </c>
      <c r="Q212" s="108">
        <f t="shared" si="159"/>
        <v>0</v>
      </c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</row>
    <row r="213" spans="1:74" s="110" customFormat="1" ht="14.25" x14ac:dyDescent="0.2">
      <c r="A213" s="76" t="s">
        <v>648</v>
      </c>
      <c r="B213" s="77" t="s">
        <v>649</v>
      </c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40">
        <f t="shared" si="161"/>
        <v>0</v>
      </c>
      <c r="P213" s="109">
        <v>0</v>
      </c>
      <c r="Q213" s="108">
        <f t="shared" si="159"/>
        <v>0</v>
      </c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</row>
    <row r="214" spans="1:74" s="110" customFormat="1" ht="14.25" x14ac:dyDescent="0.2">
      <c r="A214" s="76" t="s">
        <v>650</v>
      </c>
      <c r="B214" s="77" t="s">
        <v>651</v>
      </c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140">
        <f t="shared" si="161"/>
        <v>0</v>
      </c>
      <c r="P214" s="109">
        <v>0</v>
      </c>
      <c r="Q214" s="108">
        <f t="shared" si="159"/>
        <v>0</v>
      </c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</row>
    <row r="215" spans="1:74" s="110" customFormat="1" ht="18.75" x14ac:dyDescent="0.2">
      <c r="A215" s="81" t="s">
        <v>652</v>
      </c>
      <c r="B215" s="79" t="s">
        <v>653</v>
      </c>
      <c r="C215" s="281">
        <f t="shared" ref="C215:N215" si="163">+C216</f>
        <v>0</v>
      </c>
      <c r="D215" s="281">
        <f t="shared" si="163"/>
        <v>0</v>
      </c>
      <c r="E215" s="281">
        <f t="shared" si="163"/>
        <v>0</v>
      </c>
      <c r="F215" s="281">
        <f t="shared" si="163"/>
        <v>0</v>
      </c>
      <c r="G215" s="281">
        <f t="shared" si="163"/>
        <v>0</v>
      </c>
      <c r="H215" s="281">
        <f t="shared" si="163"/>
        <v>0</v>
      </c>
      <c r="I215" s="281">
        <f t="shared" si="163"/>
        <v>0</v>
      </c>
      <c r="J215" s="281">
        <f t="shared" si="163"/>
        <v>0</v>
      </c>
      <c r="K215" s="281">
        <f t="shared" si="163"/>
        <v>0</v>
      </c>
      <c r="L215" s="281">
        <f t="shared" si="163"/>
        <v>0</v>
      </c>
      <c r="M215" s="281">
        <f t="shared" si="163"/>
        <v>0</v>
      </c>
      <c r="N215" s="281">
        <f t="shared" si="163"/>
        <v>0</v>
      </c>
      <c r="O215" s="140">
        <f t="shared" si="161"/>
        <v>0</v>
      </c>
      <c r="P215" s="109">
        <v>0</v>
      </c>
      <c r="Q215" s="108">
        <f t="shared" si="159"/>
        <v>0</v>
      </c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</row>
    <row r="216" spans="1:74" s="87" customFormat="1" ht="18.75" x14ac:dyDescent="0.2">
      <c r="A216" s="81" t="s">
        <v>654</v>
      </c>
      <c r="B216" s="79" t="s">
        <v>655</v>
      </c>
      <c r="C216" s="219">
        <f t="shared" ref="C216:N216" si="164">SUM(C217:C218)</f>
        <v>0</v>
      </c>
      <c r="D216" s="219">
        <f t="shared" si="164"/>
        <v>0</v>
      </c>
      <c r="E216" s="219">
        <f t="shared" si="164"/>
        <v>0</v>
      </c>
      <c r="F216" s="219">
        <f t="shared" si="164"/>
        <v>0</v>
      </c>
      <c r="G216" s="219">
        <f t="shared" si="164"/>
        <v>0</v>
      </c>
      <c r="H216" s="219">
        <f t="shared" si="164"/>
        <v>0</v>
      </c>
      <c r="I216" s="219">
        <f t="shared" si="164"/>
        <v>0</v>
      </c>
      <c r="J216" s="219">
        <f t="shared" si="164"/>
        <v>0</v>
      </c>
      <c r="K216" s="219">
        <f t="shared" si="164"/>
        <v>0</v>
      </c>
      <c r="L216" s="219">
        <f t="shared" si="164"/>
        <v>0</v>
      </c>
      <c r="M216" s="219">
        <f t="shared" si="164"/>
        <v>0</v>
      </c>
      <c r="N216" s="219">
        <f t="shared" si="164"/>
        <v>0</v>
      </c>
      <c r="O216" s="140">
        <f t="shared" si="161"/>
        <v>0</v>
      </c>
      <c r="P216" s="86">
        <v>0</v>
      </c>
      <c r="Q216" s="108">
        <f t="shared" si="159"/>
        <v>0</v>
      </c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86"/>
      <c r="BB216" s="86"/>
      <c r="BC216" s="86"/>
      <c r="BD216" s="86"/>
      <c r="BE216" s="86"/>
      <c r="BF216" s="86"/>
      <c r="BG216" s="86"/>
      <c r="BH216" s="86"/>
      <c r="BI216" s="86"/>
      <c r="BJ216" s="86"/>
      <c r="BK216" s="86"/>
      <c r="BL216" s="86"/>
      <c r="BM216" s="86"/>
      <c r="BN216" s="86"/>
      <c r="BO216" s="86"/>
      <c r="BP216" s="86"/>
      <c r="BQ216" s="86"/>
      <c r="BR216" s="86"/>
      <c r="BS216" s="86"/>
      <c r="BT216" s="86"/>
      <c r="BU216" s="86"/>
      <c r="BV216" s="86"/>
    </row>
    <row r="217" spans="1:74" s="87" customFormat="1" ht="14.25" x14ac:dyDescent="0.2">
      <c r="A217" s="76" t="s">
        <v>656</v>
      </c>
      <c r="B217" s="77" t="s">
        <v>657</v>
      </c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140">
        <f t="shared" si="161"/>
        <v>0</v>
      </c>
      <c r="P217" s="86">
        <v>0</v>
      </c>
      <c r="Q217" s="108">
        <f t="shared" si="159"/>
        <v>0</v>
      </c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  <c r="AK217" s="86"/>
      <c r="AL217" s="86"/>
      <c r="AM217" s="86"/>
      <c r="AN217" s="86"/>
      <c r="AO217" s="86"/>
      <c r="AP217" s="86"/>
      <c r="AQ217" s="86"/>
      <c r="AR217" s="86"/>
      <c r="AS217" s="86"/>
      <c r="AT217" s="86"/>
      <c r="AU217" s="86"/>
      <c r="AV217" s="86"/>
      <c r="AW217" s="86"/>
      <c r="AX217" s="86"/>
      <c r="AY217" s="86"/>
      <c r="AZ217" s="86"/>
      <c r="BA217" s="86"/>
      <c r="BB217" s="86"/>
      <c r="BC217" s="86"/>
      <c r="BD217" s="86"/>
      <c r="BE217" s="86"/>
      <c r="BF217" s="86"/>
      <c r="BG217" s="86"/>
      <c r="BH217" s="86"/>
      <c r="BI217" s="86"/>
      <c r="BJ217" s="86"/>
      <c r="BK217" s="86"/>
      <c r="BL217" s="86"/>
      <c r="BM217" s="86"/>
      <c r="BN217" s="86"/>
      <c r="BO217" s="86"/>
      <c r="BP217" s="86"/>
      <c r="BQ217" s="86"/>
      <c r="BR217" s="86"/>
      <c r="BS217" s="86"/>
      <c r="BT217" s="86"/>
      <c r="BU217" s="86"/>
      <c r="BV217" s="86"/>
    </row>
    <row r="218" spans="1:74" s="87" customFormat="1" ht="28.5" x14ac:dyDescent="0.2">
      <c r="A218" s="76" t="s">
        <v>658</v>
      </c>
      <c r="B218" s="77" t="s">
        <v>659</v>
      </c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40">
        <f t="shared" si="161"/>
        <v>0</v>
      </c>
      <c r="P218" s="86">
        <v>0</v>
      </c>
      <c r="Q218" s="108">
        <f t="shared" si="159"/>
        <v>0</v>
      </c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86"/>
      <c r="AT218" s="86"/>
      <c r="AU218" s="86"/>
      <c r="AV218" s="86"/>
      <c r="AW218" s="86"/>
      <c r="AX218" s="86"/>
      <c r="AY218" s="86"/>
      <c r="AZ218" s="86"/>
      <c r="BA218" s="86"/>
      <c r="BB218" s="86"/>
      <c r="BC218" s="86"/>
      <c r="BD218" s="86"/>
      <c r="BE218" s="86"/>
      <c r="BF218" s="86"/>
      <c r="BG218" s="86"/>
      <c r="BH218" s="86"/>
      <c r="BI218" s="86"/>
      <c r="BJ218" s="86"/>
      <c r="BK218" s="86"/>
      <c r="BL218" s="86"/>
      <c r="BM218" s="86"/>
      <c r="BN218" s="86"/>
      <c r="BO218" s="86"/>
      <c r="BP218" s="86"/>
      <c r="BQ218" s="86"/>
      <c r="BR218" s="86"/>
      <c r="BS218" s="86"/>
      <c r="BT218" s="86"/>
      <c r="BU218" s="86"/>
      <c r="BV218" s="86"/>
    </row>
    <row r="219" spans="1:74" s="110" customFormat="1" ht="31.5" x14ac:dyDescent="0.2">
      <c r="A219" s="81" t="s">
        <v>660</v>
      </c>
      <c r="B219" s="79" t="s">
        <v>661</v>
      </c>
      <c r="C219" s="220">
        <f t="shared" ref="C219:N221" si="165">+C220</f>
        <v>0</v>
      </c>
      <c r="D219" s="220">
        <f t="shared" si="165"/>
        <v>0</v>
      </c>
      <c r="E219" s="220">
        <f t="shared" si="165"/>
        <v>0</v>
      </c>
      <c r="F219" s="220">
        <f t="shared" si="165"/>
        <v>0</v>
      </c>
      <c r="G219" s="220">
        <f t="shared" si="165"/>
        <v>0</v>
      </c>
      <c r="H219" s="220">
        <f t="shared" si="165"/>
        <v>0</v>
      </c>
      <c r="I219" s="220">
        <f t="shared" si="165"/>
        <v>0</v>
      </c>
      <c r="J219" s="220">
        <f t="shared" si="165"/>
        <v>0</v>
      </c>
      <c r="K219" s="220">
        <f t="shared" si="165"/>
        <v>0</v>
      </c>
      <c r="L219" s="220">
        <f t="shared" si="165"/>
        <v>0</v>
      </c>
      <c r="M219" s="220">
        <f t="shared" si="165"/>
        <v>0</v>
      </c>
      <c r="N219" s="220">
        <f t="shared" si="165"/>
        <v>0</v>
      </c>
      <c r="O219" s="140">
        <f t="shared" si="161"/>
        <v>0</v>
      </c>
      <c r="P219" s="109">
        <v>0</v>
      </c>
      <c r="Q219" s="108">
        <f t="shared" si="159"/>
        <v>0</v>
      </c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09"/>
      <c r="BT219" s="109"/>
      <c r="BU219" s="109"/>
      <c r="BV219" s="109"/>
    </row>
    <row r="220" spans="1:74" s="87" customFormat="1" ht="63" x14ac:dyDescent="0.2">
      <c r="A220" s="81" t="s">
        <v>662</v>
      </c>
      <c r="B220" s="79" t="s">
        <v>663</v>
      </c>
      <c r="C220" s="217">
        <f t="shared" si="165"/>
        <v>0</v>
      </c>
      <c r="D220" s="217">
        <f t="shared" si="165"/>
        <v>0</v>
      </c>
      <c r="E220" s="217">
        <f t="shared" si="165"/>
        <v>0</v>
      </c>
      <c r="F220" s="217">
        <f t="shared" si="165"/>
        <v>0</v>
      </c>
      <c r="G220" s="217">
        <f t="shared" si="165"/>
        <v>0</v>
      </c>
      <c r="H220" s="217">
        <f t="shared" si="165"/>
        <v>0</v>
      </c>
      <c r="I220" s="217">
        <f t="shared" si="165"/>
        <v>0</v>
      </c>
      <c r="J220" s="217">
        <f t="shared" si="165"/>
        <v>0</v>
      </c>
      <c r="K220" s="217">
        <f t="shared" si="165"/>
        <v>0</v>
      </c>
      <c r="L220" s="217">
        <f t="shared" si="165"/>
        <v>0</v>
      </c>
      <c r="M220" s="217">
        <f t="shared" si="165"/>
        <v>0</v>
      </c>
      <c r="N220" s="217">
        <f t="shared" si="165"/>
        <v>0</v>
      </c>
      <c r="O220" s="140">
        <f t="shared" si="161"/>
        <v>0</v>
      </c>
      <c r="P220" s="86">
        <v>0</v>
      </c>
      <c r="Q220" s="108">
        <f t="shared" si="159"/>
        <v>0</v>
      </c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86"/>
      <c r="BB220" s="86"/>
      <c r="BC220" s="86"/>
      <c r="BD220" s="86"/>
      <c r="BE220" s="86"/>
      <c r="BF220" s="86"/>
      <c r="BG220" s="86"/>
      <c r="BH220" s="86"/>
      <c r="BI220" s="86"/>
      <c r="BJ220" s="86"/>
      <c r="BK220" s="86"/>
      <c r="BL220" s="86"/>
      <c r="BM220" s="86"/>
      <c r="BN220" s="86"/>
      <c r="BO220" s="86"/>
      <c r="BP220" s="86"/>
      <c r="BQ220" s="86"/>
      <c r="BR220" s="86"/>
      <c r="BS220" s="86"/>
      <c r="BT220" s="86"/>
      <c r="BU220" s="86"/>
      <c r="BV220" s="86"/>
    </row>
    <row r="221" spans="1:74" s="110" customFormat="1" ht="63" x14ac:dyDescent="0.2">
      <c r="A221" s="81" t="s">
        <v>664</v>
      </c>
      <c r="B221" s="79" t="s">
        <v>665</v>
      </c>
      <c r="C221" s="220">
        <f t="shared" si="165"/>
        <v>0</v>
      </c>
      <c r="D221" s="220">
        <f t="shared" si="165"/>
        <v>0</v>
      </c>
      <c r="E221" s="220">
        <f t="shared" si="165"/>
        <v>0</v>
      </c>
      <c r="F221" s="220">
        <f t="shared" si="165"/>
        <v>0</v>
      </c>
      <c r="G221" s="220">
        <f t="shared" si="165"/>
        <v>0</v>
      </c>
      <c r="H221" s="220">
        <f t="shared" si="165"/>
        <v>0</v>
      </c>
      <c r="I221" s="220">
        <f t="shared" si="165"/>
        <v>0</v>
      </c>
      <c r="J221" s="220">
        <f t="shared" si="165"/>
        <v>0</v>
      </c>
      <c r="K221" s="220">
        <f t="shared" si="165"/>
        <v>0</v>
      </c>
      <c r="L221" s="220">
        <f t="shared" si="165"/>
        <v>0</v>
      </c>
      <c r="M221" s="220">
        <f t="shared" si="165"/>
        <v>0</v>
      </c>
      <c r="N221" s="220">
        <f t="shared" si="165"/>
        <v>0</v>
      </c>
      <c r="O221" s="140">
        <f t="shared" si="161"/>
        <v>0</v>
      </c>
      <c r="P221" s="109">
        <v>0</v>
      </c>
      <c r="Q221" s="108">
        <f t="shared" si="159"/>
        <v>0</v>
      </c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  <c r="BU221" s="109"/>
      <c r="BV221" s="109"/>
    </row>
    <row r="222" spans="1:74" s="110" customFormat="1" ht="47.25" x14ac:dyDescent="0.2">
      <c r="A222" s="81" t="s">
        <v>666</v>
      </c>
      <c r="B222" s="79" t="s">
        <v>667</v>
      </c>
      <c r="C222" s="217">
        <f t="shared" ref="C222:N222" si="166">+C223+C234</f>
        <v>0</v>
      </c>
      <c r="D222" s="217">
        <f t="shared" si="166"/>
        <v>0</v>
      </c>
      <c r="E222" s="217">
        <f t="shared" si="166"/>
        <v>0</v>
      </c>
      <c r="F222" s="217">
        <f t="shared" si="166"/>
        <v>0</v>
      </c>
      <c r="G222" s="217">
        <f t="shared" si="166"/>
        <v>0</v>
      </c>
      <c r="H222" s="217">
        <f t="shared" si="166"/>
        <v>0</v>
      </c>
      <c r="I222" s="217">
        <f t="shared" si="166"/>
        <v>0</v>
      </c>
      <c r="J222" s="217">
        <f t="shared" si="166"/>
        <v>0</v>
      </c>
      <c r="K222" s="217">
        <f t="shared" si="166"/>
        <v>0</v>
      </c>
      <c r="L222" s="217">
        <f t="shared" si="166"/>
        <v>0</v>
      </c>
      <c r="M222" s="217">
        <f t="shared" si="166"/>
        <v>0</v>
      </c>
      <c r="N222" s="217">
        <f t="shared" si="166"/>
        <v>0</v>
      </c>
      <c r="O222" s="140">
        <f t="shared" si="161"/>
        <v>0</v>
      </c>
      <c r="P222" s="109">
        <v>0</v>
      </c>
      <c r="Q222" s="108">
        <f t="shared" si="159"/>
        <v>0</v>
      </c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  <c r="BO222" s="109"/>
      <c r="BP222" s="109"/>
      <c r="BQ222" s="109"/>
      <c r="BR222" s="109"/>
      <c r="BS222" s="109"/>
      <c r="BT222" s="109"/>
      <c r="BU222" s="109"/>
      <c r="BV222" s="109"/>
    </row>
    <row r="223" spans="1:74" s="110" customFormat="1" ht="63" x14ac:dyDescent="0.2">
      <c r="A223" s="81" t="s">
        <v>668</v>
      </c>
      <c r="B223" s="79" t="s">
        <v>669</v>
      </c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140">
        <f t="shared" si="161"/>
        <v>0</v>
      </c>
      <c r="P223" s="109">
        <v>0</v>
      </c>
      <c r="Q223" s="108">
        <f t="shared" si="159"/>
        <v>0</v>
      </c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  <c r="BU223" s="109"/>
      <c r="BV223" s="109"/>
    </row>
    <row r="224" spans="1:74" s="110" customFormat="1" ht="42.75" x14ac:dyDescent="0.2">
      <c r="A224" s="76" t="s">
        <v>670</v>
      </c>
      <c r="B224" s="77" t="s">
        <v>279</v>
      </c>
      <c r="C224" s="41">
        <f t="shared" ref="C224:N224" si="167">+C223*0%</f>
        <v>0</v>
      </c>
      <c r="D224" s="41">
        <f t="shared" si="167"/>
        <v>0</v>
      </c>
      <c r="E224" s="41">
        <f t="shared" si="167"/>
        <v>0</v>
      </c>
      <c r="F224" s="41">
        <f t="shared" si="167"/>
        <v>0</v>
      </c>
      <c r="G224" s="41">
        <f t="shared" si="167"/>
        <v>0</v>
      </c>
      <c r="H224" s="41">
        <f t="shared" si="167"/>
        <v>0</v>
      </c>
      <c r="I224" s="41">
        <f t="shared" si="167"/>
        <v>0</v>
      </c>
      <c r="J224" s="41">
        <f t="shared" si="167"/>
        <v>0</v>
      </c>
      <c r="K224" s="41">
        <f t="shared" si="167"/>
        <v>0</v>
      </c>
      <c r="L224" s="41">
        <f t="shared" si="167"/>
        <v>0</v>
      </c>
      <c r="M224" s="41">
        <f t="shared" si="167"/>
        <v>0</v>
      </c>
      <c r="N224" s="41">
        <f t="shared" si="167"/>
        <v>0</v>
      </c>
      <c r="O224" s="140">
        <f t="shared" si="161"/>
        <v>0</v>
      </c>
      <c r="P224" s="109">
        <v>0</v>
      </c>
      <c r="Q224" s="108">
        <f t="shared" si="159"/>
        <v>0</v>
      </c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  <c r="BO224" s="109"/>
      <c r="BP224" s="109"/>
      <c r="BQ224" s="109"/>
      <c r="BR224" s="109"/>
      <c r="BS224" s="109"/>
      <c r="BT224" s="109"/>
      <c r="BU224" s="109"/>
      <c r="BV224" s="109"/>
    </row>
    <row r="225" spans="1:74" s="110" customFormat="1" ht="42.75" x14ac:dyDescent="0.2">
      <c r="A225" s="76" t="s">
        <v>671</v>
      </c>
      <c r="B225" s="77" t="s">
        <v>280</v>
      </c>
      <c r="C225" s="41">
        <f t="shared" ref="C225:N225" si="168">+C223*0%</f>
        <v>0</v>
      </c>
      <c r="D225" s="41">
        <f t="shared" si="168"/>
        <v>0</v>
      </c>
      <c r="E225" s="41">
        <f t="shared" si="168"/>
        <v>0</v>
      </c>
      <c r="F225" s="41">
        <f t="shared" si="168"/>
        <v>0</v>
      </c>
      <c r="G225" s="41">
        <f t="shared" si="168"/>
        <v>0</v>
      </c>
      <c r="H225" s="41">
        <f t="shared" si="168"/>
        <v>0</v>
      </c>
      <c r="I225" s="41">
        <f t="shared" si="168"/>
        <v>0</v>
      </c>
      <c r="J225" s="41">
        <f t="shared" si="168"/>
        <v>0</v>
      </c>
      <c r="K225" s="41">
        <f t="shared" si="168"/>
        <v>0</v>
      </c>
      <c r="L225" s="41">
        <f t="shared" si="168"/>
        <v>0</v>
      </c>
      <c r="M225" s="41">
        <f t="shared" si="168"/>
        <v>0</v>
      </c>
      <c r="N225" s="41">
        <f t="shared" si="168"/>
        <v>0</v>
      </c>
      <c r="O225" s="140">
        <f t="shared" si="161"/>
        <v>0</v>
      </c>
      <c r="P225" s="109">
        <v>0</v>
      </c>
      <c r="Q225" s="108">
        <f t="shared" si="159"/>
        <v>0</v>
      </c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109"/>
      <c r="BQ225" s="109"/>
      <c r="BR225" s="109"/>
      <c r="BS225" s="109"/>
      <c r="BT225" s="109"/>
      <c r="BU225" s="109"/>
      <c r="BV225" s="109"/>
    </row>
    <row r="226" spans="1:74" s="110" customFormat="1" ht="57" x14ac:dyDescent="0.2">
      <c r="A226" s="76" t="s">
        <v>672</v>
      </c>
      <c r="B226" s="77" t="s">
        <v>673</v>
      </c>
      <c r="C226" s="41">
        <f t="shared" ref="C226:N226" si="169">+C223*11.665%</f>
        <v>0</v>
      </c>
      <c r="D226" s="41">
        <f t="shared" si="169"/>
        <v>0</v>
      </c>
      <c r="E226" s="41">
        <f t="shared" si="169"/>
        <v>0</v>
      </c>
      <c r="F226" s="41">
        <f t="shared" si="169"/>
        <v>0</v>
      </c>
      <c r="G226" s="41">
        <f t="shared" si="169"/>
        <v>0</v>
      </c>
      <c r="H226" s="41">
        <f t="shared" si="169"/>
        <v>0</v>
      </c>
      <c r="I226" s="41">
        <f t="shared" si="169"/>
        <v>0</v>
      </c>
      <c r="J226" s="41">
        <f t="shared" si="169"/>
        <v>0</v>
      </c>
      <c r="K226" s="41">
        <f t="shared" si="169"/>
        <v>0</v>
      </c>
      <c r="L226" s="41">
        <f t="shared" si="169"/>
        <v>0</v>
      </c>
      <c r="M226" s="41">
        <f t="shared" si="169"/>
        <v>0</v>
      </c>
      <c r="N226" s="41">
        <f t="shared" si="169"/>
        <v>0</v>
      </c>
      <c r="O226" s="140">
        <f t="shared" si="161"/>
        <v>0</v>
      </c>
      <c r="P226" s="109">
        <v>0</v>
      </c>
      <c r="Q226" s="108">
        <f t="shared" si="159"/>
        <v>0</v>
      </c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09"/>
      <c r="BT226" s="109"/>
      <c r="BU226" s="109"/>
      <c r="BV226" s="109"/>
    </row>
    <row r="227" spans="1:74" s="87" customFormat="1" ht="57" x14ac:dyDescent="0.2">
      <c r="A227" s="76" t="s">
        <v>674</v>
      </c>
      <c r="B227" s="77" t="s">
        <v>675</v>
      </c>
      <c r="C227" s="41">
        <f t="shared" ref="C227:N227" si="170">+C223*0%</f>
        <v>0</v>
      </c>
      <c r="D227" s="41">
        <f t="shared" si="170"/>
        <v>0</v>
      </c>
      <c r="E227" s="41">
        <f t="shared" si="170"/>
        <v>0</v>
      </c>
      <c r="F227" s="41">
        <f t="shared" si="170"/>
        <v>0</v>
      </c>
      <c r="G227" s="41">
        <f t="shared" si="170"/>
        <v>0</v>
      </c>
      <c r="H227" s="41">
        <f t="shared" si="170"/>
        <v>0</v>
      </c>
      <c r="I227" s="41">
        <f t="shared" si="170"/>
        <v>0</v>
      </c>
      <c r="J227" s="41">
        <f t="shared" si="170"/>
        <v>0</v>
      </c>
      <c r="K227" s="41">
        <f t="shared" si="170"/>
        <v>0</v>
      </c>
      <c r="L227" s="41">
        <f t="shared" si="170"/>
        <v>0</v>
      </c>
      <c r="M227" s="41">
        <f t="shared" si="170"/>
        <v>0</v>
      </c>
      <c r="N227" s="41">
        <f t="shared" si="170"/>
        <v>0</v>
      </c>
      <c r="O227" s="140">
        <f t="shared" si="161"/>
        <v>0</v>
      </c>
      <c r="P227" s="86">
        <v>0</v>
      </c>
      <c r="Q227" s="108">
        <f t="shared" si="159"/>
        <v>0</v>
      </c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/>
      <c r="AS227" s="86"/>
      <c r="AT227" s="86"/>
      <c r="AU227" s="86"/>
      <c r="AV227" s="86"/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86"/>
      <c r="BI227" s="86"/>
      <c r="BJ227" s="86"/>
      <c r="BK227" s="86"/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</row>
    <row r="228" spans="1:74" s="87" customFormat="1" ht="42.75" x14ac:dyDescent="0.2">
      <c r="A228" s="76" t="s">
        <v>676</v>
      </c>
      <c r="B228" s="77" t="s">
        <v>677</v>
      </c>
      <c r="C228" s="41">
        <f t="shared" ref="C228:N228" si="171">+C223*60.7461638894%</f>
        <v>0</v>
      </c>
      <c r="D228" s="41">
        <f t="shared" si="171"/>
        <v>0</v>
      </c>
      <c r="E228" s="41">
        <f t="shared" si="171"/>
        <v>0</v>
      </c>
      <c r="F228" s="41">
        <f t="shared" si="171"/>
        <v>0</v>
      </c>
      <c r="G228" s="41">
        <f t="shared" si="171"/>
        <v>0</v>
      </c>
      <c r="H228" s="41">
        <f t="shared" si="171"/>
        <v>0</v>
      </c>
      <c r="I228" s="41">
        <f t="shared" si="171"/>
        <v>0</v>
      </c>
      <c r="J228" s="41">
        <f t="shared" si="171"/>
        <v>0</v>
      </c>
      <c r="K228" s="41">
        <f t="shared" si="171"/>
        <v>0</v>
      </c>
      <c r="L228" s="41">
        <f t="shared" si="171"/>
        <v>0</v>
      </c>
      <c r="M228" s="41">
        <f t="shared" si="171"/>
        <v>0</v>
      </c>
      <c r="N228" s="41">
        <f t="shared" si="171"/>
        <v>0</v>
      </c>
      <c r="O228" s="140">
        <f t="shared" si="161"/>
        <v>0</v>
      </c>
      <c r="P228" s="86">
        <v>0</v>
      </c>
      <c r="Q228" s="108">
        <f t="shared" si="159"/>
        <v>0</v>
      </c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86"/>
      <c r="BB228" s="86"/>
      <c r="BC228" s="86"/>
      <c r="BD228" s="86"/>
      <c r="BE228" s="86"/>
      <c r="BF228" s="86"/>
      <c r="BG228" s="86"/>
      <c r="BH228" s="86"/>
      <c r="BI228" s="86"/>
      <c r="BJ228" s="86"/>
      <c r="BK228" s="86"/>
      <c r="BL228" s="86"/>
      <c r="BM228" s="86"/>
      <c r="BN228" s="86"/>
      <c r="BO228" s="86"/>
      <c r="BP228" s="86"/>
      <c r="BQ228" s="86"/>
      <c r="BR228" s="86"/>
      <c r="BS228" s="86"/>
      <c r="BT228" s="86"/>
      <c r="BU228" s="86"/>
      <c r="BV228" s="86"/>
    </row>
    <row r="229" spans="1:74" s="110" customFormat="1" ht="28.5" x14ac:dyDescent="0.2">
      <c r="A229" s="76" t="s">
        <v>678</v>
      </c>
      <c r="B229" s="77" t="s">
        <v>679</v>
      </c>
      <c r="C229" s="41">
        <f t="shared" ref="C229:N229" si="172">+C223*0.07667%</f>
        <v>0</v>
      </c>
      <c r="D229" s="41">
        <f t="shared" si="172"/>
        <v>0</v>
      </c>
      <c r="E229" s="41">
        <f t="shared" si="172"/>
        <v>0</v>
      </c>
      <c r="F229" s="41">
        <f t="shared" si="172"/>
        <v>0</v>
      </c>
      <c r="G229" s="41">
        <f t="shared" si="172"/>
        <v>0</v>
      </c>
      <c r="H229" s="41">
        <f t="shared" si="172"/>
        <v>0</v>
      </c>
      <c r="I229" s="41">
        <f t="shared" si="172"/>
        <v>0</v>
      </c>
      <c r="J229" s="41">
        <f t="shared" si="172"/>
        <v>0</v>
      </c>
      <c r="K229" s="41">
        <f t="shared" si="172"/>
        <v>0</v>
      </c>
      <c r="L229" s="41">
        <f t="shared" si="172"/>
        <v>0</v>
      </c>
      <c r="M229" s="41">
        <f t="shared" si="172"/>
        <v>0</v>
      </c>
      <c r="N229" s="41">
        <f t="shared" si="172"/>
        <v>0</v>
      </c>
      <c r="O229" s="198">
        <f t="shared" si="161"/>
        <v>0</v>
      </c>
      <c r="P229" s="109">
        <v>0</v>
      </c>
      <c r="Q229" s="108">
        <f t="shared" si="159"/>
        <v>0</v>
      </c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109"/>
      <c r="BQ229" s="109"/>
      <c r="BR229" s="109"/>
      <c r="BS229" s="109"/>
      <c r="BT229" s="109"/>
      <c r="BU229" s="109"/>
      <c r="BV229" s="109"/>
    </row>
    <row r="230" spans="1:74" s="87" customFormat="1" ht="28.5" x14ac:dyDescent="0.2">
      <c r="A230" s="76" t="s">
        <v>680</v>
      </c>
      <c r="B230" s="77" t="s">
        <v>282</v>
      </c>
      <c r="C230" s="41">
        <f t="shared" ref="C230:N230" si="173">+C223*7.659333%</f>
        <v>0</v>
      </c>
      <c r="D230" s="41">
        <f t="shared" si="173"/>
        <v>0</v>
      </c>
      <c r="E230" s="41">
        <f t="shared" si="173"/>
        <v>0</v>
      </c>
      <c r="F230" s="41">
        <f t="shared" si="173"/>
        <v>0</v>
      </c>
      <c r="G230" s="41">
        <f t="shared" si="173"/>
        <v>0</v>
      </c>
      <c r="H230" s="41">
        <f t="shared" si="173"/>
        <v>0</v>
      </c>
      <c r="I230" s="41">
        <f t="shared" si="173"/>
        <v>0</v>
      </c>
      <c r="J230" s="41">
        <f t="shared" si="173"/>
        <v>0</v>
      </c>
      <c r="K230" s="41">
        <f t="shared" si="173"/>
        <v>0</v>
      </c>
      <c r="L230" s="41">
        <f t="shared" si="173"/>
        <v>0</v>
      </c>
      <c r="M230" s="41">
        <f t="shared" si="173"/>
        <v>0</v>
      </c>
      <c r="N230" s="41">
        <f t="shared" si="173"/>
        <v>0</v>
      </c>
      <c r="O230" s="140">
        <f t="shared" si="161"/>
        <v>0</v>
      </c>
      <c r="P230" s="86">
        <v>0</v>
      </c>
      <c r="Q230" s="108">
        <f t="shared" si="159"/>
        <v>0</v>
      </c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86"/>
      <c r="AT230" s="86"/>
      <c r="AU230" s="86"/>
      <c r="AV230" s="86"/>
      <c r="AW230" s="86"/>
      <c r="AX230" s="86"/>
      <c r="AY230" s="86"/>
      <c r="AZ230" s="86"/>
      <c r="BA230" s="86"/>
      <c r="BB230" s="86"/>
      <c r="BC230" s="86"/>
      <c r="BD230" s="86"/>
      <c r="BE230" s="86"/>
      <c r="BF230" s="86"/>
      <c r="BG230" s="86"/>
      <c r="BH230" s="86"/>
      <c r="BI230" s="86"/>
      <c r="BJ230" s="86"/>
      <c r="BK230" s="86"/>
      <c r="BL230" s="86"/>
      <c r="BM230" s="86"/>
      <c r="BN230" s="86"/>
      <c r="BO230" s="86"/>
      <c r="BP230" s="86"/>
      <c r="BQ230" s="86"/>
      <c r="BR230" s="86"/>
      <c r="BS230" s="86"/>
      <c r="BT230" s="86"/>
      <c r="BU230" s="86"/>
      <c r="BV230" s="86"/>
    </row>
    <row r="231" spans="1:74" s="110" customFormat="1" ht="28.5" x14ac:dyDescent="0.2">
      <c r="A231" s="76" t="s">
        <v>681</v>
      </c>
      <c r="B231" s="77" t="s">
        <v>283</v>
      </c>
      <c r="C231" s="41">
        <f t="shared" ref="C231:N231" si="174">+C223*1.37867994%</f>
        <v>0</v>
      </c>
      <c r="D231" s="41">
        <f t="shared" si="174"/>
        <v>0</v>
      </c>
      <c r="E231" s="41">
        <f t="shared" si="174"/>
        <v>0</v>
      </c>
      <c r="F231" s="41">
        <f t="shared" si="174"/>
        <v>0</v>
      </c>
      <c r="G231" s="41">
        <f t="shared" si="174"/>
        <v>0</v>
      </c>
      <c r="H231" s="41">
        <f t="shared" si="174"/>
        <v>0</v>
      </c>
      <c r="I231" s="41">
        <f t="shared" si="174"/>
        <v>0</v>
      </c>
      <c r="J231" s="41">
        <f t="shared" si="174"/>
        <v>0</v>
      </c>
      <c r="K231" s="41">
        <f t="shared" si="174"/>
        <v>0</v>
      </c>
      <c r="L231" s="41">
        <f t="shared" si="174"/>
        <v>0</v>
      </c>
      <c r="M231" s="41">
        <f t="shared" si="174"/>
        <v>0</v>
      </c>
      <c r="N231" s="41">
        <f t="shared" si="174"/>
        <v>0</v>
      </c>
      <c r="O231" s="140">
        <f t="shared" si="161"/>
        <v>0</v>
      </c>
      <c r="P231" s="109">
        <v>0</v>
      </c>
      <c r="Q231" s="108">
        <f t="shared" si="159"/>
        <v>0</v>
      </c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09"/>
      <c r="BS231" s="109"/>
      <c r="BT231" s="109"/>
      <c r="BU231" s="109"/>
      <c r="BV231" s="109"/>
    </row>
    <row r="232" spans="1:74" s="110" customFormat="1" ht="42.75" x14ac:dyDescent="0.2">
      <c r="A232" s="76" t="s">
        <v>682</v>
      </c>
      <c r="B232" s="77" t="s">
        <v>683</v>
      </c>
      <c r="C232" s="41">
        <f t="shared" ref="C232:N232" si="175">+C223*0.6755531706%</f>
        <v>0</v>
      </c>
      <c r="D232" s="41">
        <f t="shared" si="175"/>
        <v>0</v>
      </c>
      <c r="E232" s="41">
        <f t="shared" si="175"/>
        <v>0</v>
      </c>
      <c r="F232" s="41">
        <f t="shared" si="175"/>
        <v>0</v>
      </c>
      <c r="G232" s="41">
        <f t="shared" si="175"/>
        <v>0</v>
      </c>
      <c r="H232" s="41">
        <f t="shared" si="175"/>
        <v>0</v>
      </c>
      <c r="I232" s="41">
        <f t="shared" si="175"/>
        <v>0</v>
      </c>
      <c r="J232" s="41">
        <f t="shared" si="175"/>
        <v>0</v>
      </c>
      <c r="K232" s="41">
        <f t="shared" si="175"/>
        <v>0</v>
      </c>
      <c r="L232" s="41">
        <f t="shared" si="175"/>
        <v>0</v>
      </c>
      <c r="M232" s="41">
        <f t="shared" si="175"/>
        <v>0</v>
      </c>
      <c r="N232" s="41">
        <f t="shared" si="175"/>
        <v>0</v>
      </c>
      <c r="O232" s="140">
        <f t="shared" si="161"/>
        <v>0</v>
      </c>
      <c r="P232" s="109">
        <v>0</v>
      </c>
      <c r="Q232" s="108">
        <f t="shared" si="159"/>
        <v>0</v>
      </c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  <c r="BU232" s="109"/>
      <c r="BV232" s="109"/>
    </row>
    <row r="233" spans="1:74" s="87" customFormat="1" ht="28.5" x14ac:dyDescent="0.2">
      <c r="A233" s="76" t="s">
        <v>684</v>
      </c>
      <c r="B233" s="77" t="s">
        <v>685</v>
      </c>
      <c r="C233" s="41">
        <f t="shared" ref="C233:N233" si="176">+C223*6.1336%</f>
        <v>0</v>
      </c>
      <c r="D233" s="41">
        <f t="shared" si="176"/>
        <v>0</v>
      </c>
      <c r="E233" s="41">
        <f t="shared" si="176"/>
        <v>0</v>
      </c>
      <c r="F233" s="41">
        <f t="shared" si="176"/>
        <v>0</v>
      </c>
      <c r="G233" s="41">
        <f t="shared" si="176"/>
        <v>0</v>
      </c>
      <c r="H233" s="41">
        <f t="shared" si="176"/>
        <v>0</v>
      </c>
      <c r="I233" s="41">
        <f t="shared" si="176"/>
        <v>0</v>
      </c>
      <c r="J233" s="41">
        <f t="shared" si="176"/>
        <v>0</v>
      </c>
      <c r="K233" s="41">
        <f t="shared" si="176"/>
        <v>0</v>
      </c>
      <c r="L233" s="41">
        <f t="shared" si="176"/>
        <v>0</v>
      </c>
      <c r="M233" s="41">
        <f t="shared" si="176"/>
        <v>0</v>
      </c>
      <c r="N233" s="41">
        <f t="shared" si="176"/>
        <v>0</v>
      </c>
      <c r="O233" s="140">
        <f t="shared" si="161"/>
        <v>0</v>
      </c>
      <c r="P233" s="86">
        <v>0</v>
      </c>
      <c r="Q233" s="108">
        <f t="shared" si="159"/>
        <v>0</v>
      </c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  <c r="AK233" s="86"/>
      <c r="AL233" s="86"/>
      <c r="AM233" s="86"/>
      <c r="AN233" s="86"/>
      <c r="AO233" s="86"/>
      <c r="AP233" s="86"/>
      <c r="AQ233" s="86"/>
      <c r="AR233" s="86"/>
      <c r="AS233" s="86"/>
      <c r="AT233" s="86"/>
      <c r="AU233" s="86"/>
      <c r="AV233" s="86"/>
      <c r="AW233" s="86"/>
      <c r="AX233" s="86"/>
      <c r="AY233" s="86"/>
      <c r="AZ233" s="86"/>
      <c r="BA233" s="86"/>
      <c r="BB233" s="86"/>
      <c r="BC233" s="86"/>
      <c r="BD233" s="86"/>
      <c r="BE233" s="86"/>
      <c r="BF233" s="86"/>
      <c r="BG233" s="86"/>
      <c r="BH233" s="86"/>
      <c r="BI233" s="86"/>
      <c r="BJ233" s="86"/>
      <c r="BK233" s="86"/>
      <c r="BL233" s="86"/>
      <c r="BM233" s="86"/>
      <c r="BN233" s="86"/>
      <c r="BO233" s="86"/>
      <c r="BP233" s="86"/>
      <c r="BQ233" s="86"/>
      <c r="BR233" s="86"/>
      <c r="BS233" s="86"/>
      <c r="BT233" s="86"/>
      <c r="BU233" s="86"/>
      <c r="BV233" s="86"/>
    </row>
    <row r="234" spans="1:74" s="87" customFormat="1" ht="63" x14ac:dyDescent="0.2">
      <c r="A234" s="81" t="s">
        <v>686</v>
      </c>
      <c r="B234" s="79" t="s">
        <v>687</v>
      </c>
      <c r="C234" s="220"/>
      <c r="D234" s="220"/>
      <c r="E234" s="220"/>
      <c r="F234" s="220"/>
      <c r="G234" s="220"/>
      <c r="H234" s="220"/>
      <c r="I234" s="220"/>
      <c r="J234" s="220"/>
      <c r="K234" s="220"/>
      <c r="L234" s="220"/>
      <c r="M234" s="220"/>
      <c r="N234" s="220"/>
      <c r="O234" s="140">
        <f t="shared" si="161"/>
        <v>0</v>
      </c>
      <c r="P234" s="86">
        <v>0</v>
      </c>
      <c r="Q234" s="108">
        <f t="shared" si="159"/>
        <v>0</v>
      </c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86"/>
      <c r="AT234" s="86"/>
      <c r="AU234" s="86"/>
      <c r="AV234" s="86"/>
      <c r="AW234" s="86"/>
      <c r="AX234" s="86"/>
      <c r="AY234" s="86"/>
      <c r="AZ234" s="86"/>
      <c r="BA234" s="86"/>
      <c r="BB234" s="86"/>
      <c r="BC234" s="86"/>
      <c r="BD234" s="86"/>
      <c r="BE234" s="86"/>
      <c r="BF234" s="86"/>
      <c r="BG234" s="86"/>
      <c r="BH234" s="86"/>
      <c r="BI234" s="86"/>
      <c r="BJ234" s="86"/>
      <c r="BK234" s="86"/>
      <c r="BL234" s="86"/>
      <c r="BM234" s="86"/>
      <c r="BN234" s="86"/>
      <c r="BO234" s="86"/>
      <c r="BP234" s="86"/>
      <c r="BQ234" s="86"/>
      <c r="BR234" s="86"/>
      <c r="BS234" s="86"/>
      <c r="BT234" s="86"/>
      <c r="BU234" s="86"/>
      <c r="BV234" s="86"/>
    </row>
    <row r="235" spans="1:74" s="110" customFormat="1" ht="42.75" x14ac:dyDescent="0.2">
      <c r="A235" s="193" t="s">
        <v>688</v>
      </c>
      <c r="B235" s="77" t="s">
        <v>279</v>
      </c>
      <c r="C235" s="41">
        <f t="shared" ref="C235:N235" si="177">+C234*0%</f>
        <v>0</v>
      </c>
      <c r="D235" s="41">
        <f t="shared" si="177"/>
        <v>0</v>
      </c>
      <c r="E235" s="41">
        <f t="shared" si="177"/>
        <v>0</v>
      </c>
      <c r="F235" s="41">
        <f t="shared" si="177"/>
        <v>0</v>
      </c>
      <c r="G235" s="41">
        <f t="shared" si="177"/>
        <v>0</v>
      </c>
      <c r="H235" s="41">
        <f t="shared" si="177"/>
        <v>0</v>
      </c>
      <c r="I235" s="41">
        <f t="shared" si="177"/>
        <v>0</v>
      </c>
      <c r="J235" s="41">
        <f t="shared" si="177"/>
        <v>0</v>
      </c>
      <c r="K235" s="41">
        <f t="shared" si="177"/>
        <v>0</v>
      </c>
      <c r="L235" s="41">
        <f t="shared" si="177"/>
        <v>0</v>
      </c>
      <c r="M235" s="41">
        <f t="shared" si="177"/>
        <v>0</v>
      </c>
      <c r="N235" s="41">
        <f t="shared" si="177"/>
        <v>0</v>
      </c>
      <c r="O235" s="140">
        <f t="shared" si="161"/>
        <v>0</v>
      </c>
      <c r="P235" s="109">
        <v>0</v>
      </c>
      <c r="Q235" s="108">
        <f t="shared" si="159"/>
        <v>0</v>
      </c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09"/>
      <c r="BS235" s="109"/>
      <c r="BT235" s="109"/>
      <c r="BU235" s="109"/>
      <c r="BV235" s="109"/>
    </row>
    <row r="236" spans="1:74" s="110" customFormat="1" ht="45" x14ac:dyDescent="0.2">
      <c r="A236" s="193" t="s">
        <v>689</v>
      </c>
      <c r="B236" s="194" t="s">
        <v>280</v>
      </c>
      <c r="C236" s="41">
        <f t="shared" ref="C236:N236" si="178">+C234*0%</f>
        <v>0</v>
      </c>
      <c r="D236" s="41">
        <f t="shared" si="178"/>
        <v>0</v>
      </c>
      <c r="E236" s="41">
        <f t="shared" si="178"/>
        <v>0</v>
      </c>
      <c r="F236" s="41">
        <f t="shared" si="178"/>
        <v>0</v>
      </c>
      <c r="G236" s="41">
        <f t="shared" si="178"/>
        <v>0</v>
      </c>
      <c r="H236" s="41">
        <f t="shared" si="178"/>
        <v>0</v>
      </c>
      <c r="I236" s="41">
        <f t="shared" si="178"/>
        <v>0</v>
      </c>
      <c r="J236" s="41">
        <f t="shared" si="178"/>
        <v>0</v>
      </c>
      <c r="K236" s="41">
        <f t="shared" si="178"/>
        <v>0</v>
      </c>
      <c r="L236" s="41">
        <f t="shared" si="178"/>
        <v>0</v>
      </c>
      <c r="M236" s="41">
        <f t="shared" si="178"/>
        <v>0</v>
      </c>
      <c r="N236" s="41">
        <f t="shared" si="178"/>
        <v>0</v>
      </c>
      <c r="O236" s="140">
        <f t="shared" si="161"/>
        <v>0</v>
      </c>
      <c r="P236" s="109">
        <v>0</v>
      </c>
      <c r="Q236" s="108">
        <f t="shared" si="159"/>
        <v>0</v>
      </c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09"/>
      <c r="BS236" s="109"/>
      <c r="BT236" s="109"/>
      <c r="BU236" s="109"/>
      <c r="BV236" s="109"/>
    </row>
    <row r="237" spans="1:74" s="87" customFormat="1" ht="60" x14ac:dyDescent="0.2">
      <c r="A237" s="193" t="s">
        <v>690</v>
      </c>
      <c r="B237" s="194" t="s">
        <v>673</v>
      </c>
      <c r="C237" s="41">
        <f t="shared" ref="C237:N237" si="179">+C234*11.665%</f>
        <v>0</v>
      </c>
      <c r="D237" s="41">
        <f t="shared" si="179"/>
        <v>0</v>
      </c>
      <c r="E237" s="41">
        <f t="shared" si="179"/>
        <v>0</v>
      </c>
      <c r="F237" s="41">
        <f t="shared" si="179"/>
        <v>0</v>
      </c>
      <c r="G237" s="41">
        <f t="shared" si="179"/>
        <v>0</v>
      </c>
      <c r="H237" s="41">
        <f t="shared" si="179"/>
        <v>0</v>
      </c>
      <c r="I237" s="41">
        <f t="shared" si="179"/>
        <v>0</v>
      </c>
      <c r="J237" s="41">
        <f t="shared" si="179"/>
        <v>0</v>
      </c>
      <c r="K237" s="41">
        <f t="shared" si="179"/>
        <v>0</v>
      </c>
      <c r="L237" s="41">
        <f t="shared" si="179"/>
        <v>0</v>
      </c>
      <c r="M237" s="41">
        <f t="shared" si="179"/>
        <v>0</v>
      </c>
      <c r="N237" s="41">
        <f t="shared" si="179"/>
        <v>0</v>
      </c>
      <c r="O237" s="140">
        <f t="shared" si="161"/>
        <v>0</v>
      </c>
      <c r="P237" s="86">
        <v>0</v>
      </c>
      <c r="Q237" s="108">
        <f t="shared" si="159"/>
        <v>0</v>
      </c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  <c r="AK237" s="86"/>
      <c r="AL237" s="86"/>
      <c r="AM237" s="86"/>
      <c r="AN237" s="86"/>
      <c r="AO237" s="86"/>
      <c r="AP237" s="86"/>
      <c r="AQ237" s="86"/>
      <c r="AR237" s="86"/>
      <c r="AS237" s="86"/>
      <c r="AT237" s="86"/>
      <c r="AU237" s="86"/>
      <c r="AV237" s="86"/>
      <c r="AW237" s="86"/>
      <c r="AX237" s="86"/>
      <c r="AY237" s="86"/>
      <c r="AZ237" s="86"/>
      <c r="BA237" s="86"/>
      <c r="BB237" s="86"/>
      <c r="BC237" s="86"/>
      <c r="BD237" s="86"/>
      <c r="BE237" s="86"/>
      <c r="BF237" s="86"/>
      <c r="BG237" s="86"/>
      <c r="BH237" s="86"/>
      <c r="BI237" s="86"/>
      <c r="BJ237" s="86"/>
      <c r="BK237" s="86"/>
      <c r="BL237" s="86"/>
      <c r="BM237" s="86"/>
      <c r="BN237" s="86"/>
      <c r="BO237" s="86"/>
      <c r="BP237" s="86"/>
      <c r="BQ237" s="86"/>
      <c r="BR237" s="86"/>
      <c r="BS237" s="86"/>
      <c r="BT237" s="86"/>
      <c r="BU237" s="86"/>
      <c r="BV237" s="86"/>
    </row>
    <row r="238" spans="1:74" s="87" customFormat="1" ht="57" x14ac:dyDescent="0.2">
      <c r="A238" s="76" t="s">
        <v>691</v>
      </c>
      <c r="B238" s="77" t="s">
        <v>675</v>
      </c>
      <c r="C238" s="41">
        <f t="shared" ref="C238:N238" si="180">+C234*0%</f>
        <v>0</v>
      </c>
      <c r="D238" s="41">
        <f t="shared" si="180"/>
        <v>0</v>
      </c>
      <c r="E238" s="41">
        <f t="shared" si="180"/>
        <v>0</v>
      </c>
      <c r="F238" s="41">
        <f t="shared" si="180"/>
        <v>0</v>
      </c>
      <c r="G238" s="41">
        <f t="shared" si="180"/>
        <v>0</v>
      </c>
      <c r="H238" s="41">
        <f t="shared" si="180"/>
        <v>0</v>
      </c>
      <c r="I238" s="41">
        <f t="shared" si="180"/>
        <v>0</v>
      </c>
      <c r="J238" s="41">
        <f t="shared" si="180"/>
        <v>0</v>
      </c>
      <c r="K238" s="41">
        <f t="shared" si="180"/>
        <v>0</v>
      </c>
      <c r="L238" s="41">
        <f t="shared" si="180"/>
        <v>0</v>
      </c>
      <c r="M238" s="41">
        <f t="shared" si="180"/>
        <v>0</v>
      </c>
      <c r="N238" s="41">
        <f t="shared" si="180"/>
        <v>0</v>
      </c>
      <c r="O238" s="140">
        <f t="shared" si="161"/>
        <v>0</v>
      </c>
      <c r="P238" s="86">
        <v>0</v>
      </c>
      <c r="Q238" s="108">
        <f t="shared" si="159"/>
        <v>0</v>
      </c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86"/>
      <c r="BB238" s="86"/>
      <c r="BC238" s="86"/>
      <c r="BD238" s="86"/>
      <c r="BE238" s="86"/>
      <c r="BF238" s="86"/>
      <c r="BG238" s="86"/>
      <c r="BH238" s="86"/>
      <c r="BI238" s="86"/>
      <c r="BJ238" s="86"/>
      <c r="BK238" s="86"/>
      <c r="BL238" s="86"/>
      <c r="BM238" s="86"/>
      <c r="BN238" s="86"/>
      <c r="BO238" s="86"/>
      <c r="BP238" s="86"/>
      <c r="BQ238" s="86"/>
      <c r="BR238" s="86"/>
      <c r="BS238" s="86"/>
      <c r="BT238" s="86"/>
      <c r="BU238" s="86"/>
      <c r="BV238" s="86"/>
    </row>
    <row r="239" spans="1:74" s="110" customFormat="1" ht="42.75" x14ac:dyDescent="0.2">
      <c r="A239" s="76" t="s">
        <v>692</v>
      </c>
      <c r="B239" s="77" t="s">
        <v>281</v>
      </c>
      <c r="C239" s="41">
        <f t="shared" ref="C239:N239" si="181">+C234*60.7461638894%</f>
        <v>0</v>
      </c>
      <c r="D239" s="41">
        <f t="shared" si="181"/>
        <v>0</v>
      </c>
      <c r="E239" s="41">
        <f t="shared" si="181"/>
        <v>0</v>
      </c>
      <c r="F239" s="41">
        <f t="shared" si="181"/>
        <v>0</v>
      </c>
      <c r="G239" s="41">
        <f t="shared" si="181"/>
        <v>0</v>
      </c>
      <c r="H239" s="41">
        <f t="shared" si="181"/>
        <v>0</v>
      </c>
      <c r="I239" s="41">
        <f t="shared" si="181"/>
        <v>0</v>
      </c>
      <c r="J239" s="41">
        <f t="shared" si="181"/>
        <v>0</v>
      </c>
      <c r="K239" s="41">
        <f t="shared" si="181"/>
        <v>0</v>
      </c>
      <c r="L239" s="41">
        <f t="shared" si="181"/>
        <v>0</v>
      </c>
      <c r="M239" s="41">
        <f t="shared" si="181"/>
        <v>0</v>
      </c>
      <c r="N239" s="41">
        <f t="shared" si="181"/>
        <v>0</v>
      </c>
      <c r="O239" s="140">
        <f t="shared" si="161"/>
        <v>0</v>
      </c>
      <c r="P239" s="109">
        <v>0</v>
      </c>
      <c r="Q239" s="108">
        <f t="shared" si="159"/>
        <v>0</v>
      </c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109"/>
      <c r="BQ239" s="109"/>
      <c r="BR239" s="109"/>
      <c r="BS239" s="109"/>
      <c r="BT239" s="109"/>
      <c r="BU239" s="109"/>
      <c r="BV239" s="109"/>
    </row>
    <row r="240" spans="1:74" s="110" customFormat="1" ht="28.5" x14ac:dyDescent="0.2">
      <c r="A240" s="76" t="s">
        <v>693</v>
      </c>
      <c r="B240" s="77" t="s">
        <v>679</v>
      </c>
      <c r="C240" s="41">
        <f t="shared" ref="C240:N240" si="182">+C234*0.07667%</f>
        <v>0</v>
      </c>
      <c r="D240" s="41">
        <f t="shared" si="182"/>
        <v>0</v>
      </c>
      <c r="E240" s="41">
        <f t="shared" si="182"/>
        <v>0</v>
      </c>
      <c r="F240" s="41">
        <f t="shared" si="182"/>
        <v>0</v>
      </c>
      <c r="G240" s="41">
        <f t="shared" si="182"/>
        <v>0</v>
      </c>
      <c r="H240" s="41">
        <f t="shared" si="182"/>
        <v>0</v>
      </c>
      <c r="I240" s="41">
        <f t="shared" si="182"/>
        <v>0</v>
      </c>
      <c r="J240" s="41">
        <f t="shared" si="182"/>
        <v>0</v>
      </c>
      <c r="K240" s="41">
        <f t="shared" si="182"/>
        <v>0</v>
      </c>
      <c r="L240" s="41">
        <f t="shared" si="182"/>
        <v>0</v>
      </c>
      <c r="M240" s="41">
        <f t="shared" si="182"/>
        <v>0</v>
      </c>
      <c r="N240" s="41">
        <f t="shared" si="182"/>
        <v>0</v>
      </c>
      <c r="O240" s="140">
        <f t="shared" si="161"/>
        <v>0</v>
      </c>
      <c r="P240" s="109">
        <v>0</v>
      </c>
      <c r="Q240" s="108">
        <f t="shared" si="159"/>
        <v>0</v>
      </c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  <c r="BU240" s="109"/>
      <c r="BV240" s="109"/>
    </row>
    <row r="241" spans="1:74" s="110" customFormat="1" ht="30" x14ac:dyDescent="0.2">
      <c r="A241" s="193" t="s">
        <v>694</v>
      </c>
      <c r="B241" s="194" t="s">
        <v>282</v>
      </c>
      <c r="C241" s="41">
        <f t="shared" ref="C241:N241" si="183">+C234*7.659333%</f>
        <v>0</v>
      </c>
      <c r="D241" s="41">
        <f t="shared" si="183"/>
        <v>0</v>
      </c>
      <c r="E241" s="41">
        <f t="shared" si="183"/>
        <v>0</v>
      </c>
      <c r="F241" s="41">
        <f t="shared" si="183"/>
        <v>0</v>
      </c>
      <c r="G241" s="41">
        <f t="shared" si="183"/>
        <v>0</v>
      </c>
      <c r="H241" s="41">
        <f t="shared" si="183"/>
        <v>0</v>
      </c>
      <c r="I241" s="41">
        <f t="shared" si="183"/>
        <v>0</v>
      </c>
      <c r="J241" s="41">
        <f t="shared" si="183"/>
        <v>0</v>
      </c>
      <c r="K241" s="41">
        <f t="shared" si="183"/>
        <v>0</v>
      </c>
      <c r="L241" s="41">
        <f t="shared" si="183"/>
        <v>0</v>
      </c>
      <c r="M241" s="41">
        <f t="shared" si="183"/>
        <v>0</v>
      </c>
      <c r="N241" s="41">
        <f t="shared" si="183"/>
        <v>0</v>
      </c>
      <c r="O241" s="140">
        <f t="shared" si="161"/>
        <v>0</v>
      </c>
      <c r="P241" s="109">
        <v>0</v>
      </c>
      <c r="Q241" s="108">
        <f t="shared" si="159"/>
        <v>0</v>
      </c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  <c r="BO241" s="109"/>
      <c r="BP241" s="109"/>
      <c r="BQ241" s="109"/>
      <c r="BR241" s="109"/>
      <c r="BS241" s="109"/>
      <c r="BT241" s="109"/>
      <c r="BU241" s="109"/>
      <c r="BV241" s="109"/>
    </row>
    <row r="242" spans="1:74" s="87" customFormat="1" ht="28.5" x14ac:dyDescent="0.2">
      <c r="A242" s="76" t="s">
        <v>695</v>
      </c>
      <c r="B242" s="77" t="s">
        <v>283</v>
      </c>
      <c r="C242" s="41">
        <f t="shared" ref="C242:N242" si="184">+C234*1.37867994%</f>
        <v>0</v>
      </c>
      <c r="D242" s="41">
        <f t="shared" si="184"/>
        <v>0</v>
      </c>
      <c r="E242" s="41">
        <f t="shared" si="184"/>
        <v>0</v>
      </c>
      <c r="F242" s="41">
        <f t="shared" si="184"/>
        <v>0</v>
      </c>
      <c r="G242" s="41">
        <f t="shared" si="184"/>
        <v>0</v>
      </c>
      <c r="H242" s="41">
        <f t="shared" si="184"/>
        <v>0</v>
      </c>
      <c r="I242" s="41">
        <f t="shared" si="184"/>
        <v>0</v>
      </c>
      <c r="J242" s="41">
        <f t="shared" si="184"/>
        <v>0</v>
      </c>
      <c r="K242" s="41">
        <f t="shared" si="184"/>
        <v>0</v>
      </c>
      <c r="L242" s="41">
        <f t="shared" si="184"/>
        <v>0</v>
      </c>
      <c r="M242" s="41">
        <f t="shared" si="184"/>
        <v>0</v>
      </c>
      <c r="N242" s="41">
        <f t="shared" si="184"/>
        <v>0</v>
      </c>
      <c r="O242" s="140">
        <f t="shared" si="161"/>
        <v>0</v>
      </c>
      <c r="P242" s="86">
        <v>0</v>
      </c>
      <c r="Q242" s="108">
        <f t="shared" si="159"/>
        <v>0</v>
      </c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86"/>
      <c r="AT242" s="86"/>
      <c r="AU242" s="86"/>
      <c r="AV242" s="86"/>
      <c r="AW242" s="86"/>
      <c r="AX242" s="86"/>
      <c r="AY242" s="86"/>
      <c r="AZ242" s="86"/>
      <c r="BA242" s="86"/>
      <c r="BB242" s="86"/>
      <c r="BC242" s="86"/>
      <c r="BD242" s="86"/>
      <c r="BE242" s="86"/>
      <c r="BF242" s="86"/>
      <c r="BG242" s="86"/>
      <c r="BH242" s="86"/>
      <c r="BI242" s="86"/>
      <c r="BJ242" s="86"/>
      <c r="BK242" s="86"/>
      <c r="BL242" s="86"/>
      <c r="BM242" s="86"/>
      <c r="BN242" s="86"/>
      <c r="BO242" s="86"/>
      <c r="BP242" s="86"/>
      <c r="BQ242" s="86"/>
      <c r="BR242" s="86"/>
      <c r="BS242" s="86"/>
      <c r="BT242" s="86"/>
      <c r="BU242" s="86"/>
      <c r="BV242" s="86"/>
    </row>
    <row r="243" spans="1:74" s="110" customFormat="1" ht="60" x14ac:dyDescent="0.2">
      <c r="A243" s="193" t="s">
        <v>696</v>
      </c>
      <c r="B243" s="194" t="s">
        <v>683</v>
      </c>
      <c r="C243" s="41">
        <f t="shared" ref="C243:N243" si="185">+C234*0.6755531706%</f>
        <v>0</v>
      </c>
      <c r="D243" s="41">
        <f t="shared" si="185"/>
        <v>0</v>
      </c>
      <c r="E243" s="41">
        <f t="shared" si="185"/>
        <v>0</v>
      </c>
      <c r="F243" s="41">
        <f t="shared" si="185"/>
        <v>0</v>
      </c>
      <c r="G243" s="41">
        <f t="shared" si="185"/>
        <v>0</v>
      </c>
      <c r="H243" s="41">
        <f t="shared" si="185"/>
        <v>0</v>
      </c>
      <c r="I243" s="41">
        <f t="shared" si="185"/>
        <v>0</v>
      </c>
      <c r="J243" s="41">
        <f t="shared" si="185"/>
        <v>0</v>
      </c>
      <c r="K243" s="41">
        <f t="shared" si="185"/>
        <v>0</v>
      </c>
      <c r="L243" s="41">
        <f t="shared" si="185"/>
        <v>0</v>
      </c>
      <c r="M243" s="41">
        <f t="shared" si="185"/>
        <v>0</v>
      </c>
      <c r="N243" s="41">
        <f t="shared" si="185"/>
        <v>0</v>
      </c>
      <c r="O243" s="140">
        <f t="shared" si="161"/>
        <v>0</v>
      </c>
      <c r="P243" s="109">
        <v>0</v>
      </c>
      <c r="Q243" s="108">
        <f t="shared" si="159"/>
        <v>0</v>
      </c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09"/>
      <c r="BV243" s="109"/>
    </row>
    <row r="244" spans="1:74" s="87" customFormat="1" ht="28.5" x14ac:dyDescent="0.2">
      <c r="A244" s="76" t="s">
        <v>697</v>
      </c>
      <c r="B244" s="77" t="s">
        <v>685</v>
      </c>
      <c r="C244" s="41">
        <f t="shared" ref="C244:N244" si="186">+C234*6.1336%</f>
        <v>0</v>
      </c>
      <c r="D244" s="41">
        <f t="shared" si="186"/>
        <v>0</v>
      </c>
      <c r="E244" s="41">
        <f t="shared" si="186"/>
        <v>0</v>
      </c>
      <c r="F244" s="41">
        <f t="shared" si="186"/>
        <v>0</v>
      </c>
      <c r="G244" s="41">
        <f t="shared" si="186"/>
        <v>0</v>
      </c>
      <c r="H244" s="41">
        <f t="shared" si="186"/>
        <v>0</v>
      </c>
      <c r="I244" s="41">
        <f t="shared" si="186"/>
        <v>0</v>
      </c>
      <c r="J244" s="41">
        <f t="shared" si="186"/>
        <v>0</v>
      </c>
      <c r="K244" s="41">
        <f t="shared" si="186"/>
        <v>0</v>
      </c>
      <c r="L244" s="41">
        <f t="shared" si="186"/>
        <v>0</v>
      </c>
      <c r="M244" s="41">
        <f t="shared" si="186"/>
        <v>0</v>
      </c>
      <c r="N244" s="41">
        <f t="shared" si="186"/>
        <v>0</v>
      </c>
      <c r="O244" s="140">
        <f t="shared" si="161"/>
        <v>0</v>
      </c>
      <c r="P244" s="86">
        <v>0</v>
      </c>
      <c r="Q244" s="108">
        <f t="shared" si="159"/>
        <v>0</v>
      </c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86"/>
      <c r="AT244" s="86"/>
      <c r="AU244" s="86"/>
      <c r="AV244" s="86"/>
      <c r="AW244" s="86"/>
      <c r="AX244" s="86"/>
      <c r="AY244" s="86"/>
      <c r="AZ244" s="86"/>
      <c r="BA244" s="86"/>
      <c r="BB244" s="86"/>
      <c r="BC244" s="86"/>
      <c r="BD244" s="86"/>
      <c r="BE244" s="86"/>
      <c r="BF244" s="86"/>
      <c r="BG244" s="86"/>
      <c r="BH244" s="86"/>
      <c r="BI244" s="86"/>
      <c r="BJ244" s="86"/>
      <c r="BK244" s="86"/>
      <c r="BL244" s="86"/>
      <c r="BM244" s="86"/>
      <c r="BN244" s="86"/>
      <c r="BO244" s="86"/>
      <c r="BP244" s="86"/>
      <c r="BQ244" s="86"/>
      <c r="BR244" s="86"/>
      <c r="BS244" s="86"/>
      <c r="BT244" s="86"/>
      <c r="BU244" s="86"/>
      <c r="BV244" s="86"/>
    </row>
    <row r="245" spans="1:74" s="110" customFormat="1" ht="19.5" x14ac:dyDescent="0.2">
      <c r="A245" s="81" t="s">
        <v>698</v>
      </c>
      <c r="B245" s="79" t="s">
        <v>85</v>
      </c>
      <c r="C245" s="217">
        <f t="shared" ref="C245:N245" si="187">+C252+C340+C566+C246+C249+C572+C329+C335+C650</f>
        <v>5734052268</v>
      </c>
      <c r="D245" s="217">
        <f t="shared" si="187"/>
        <v>0</v>
      </c>
      <c r="E245" s="217">
        <f t="shared" si="187"/>
        <v>19694419247.690002</v>
      </c>
      <c r="F245" s="217">
        <f t="shared" si="187"/>
        <v>97517512149.100006</v>
      </c>
      <c r="G245" s="217">
        <f t="shared" si="187"/>
        <v>199258599192.16998</v>
      </c>
      <c r="H245" s="217">
        <f t="shared" si="187"/>
        <v>1837938193.73</v>
      </c>
      <c r="I245" s="217">
        <f t="shared" si="187"/>
        <v>353771970.91000003</v>
      </c>
      <c r="J245" s="217">
        <f t="shared" si="187"/>
        <v>0</v>
      </c>
      <c r="K245" s="217">
        <f t="shared" si="187"/>
        <v>0</v>
      </c>
      <c r="L245" s="217">
        <f t="shared" si="187"/>
        <v>0</v>
      </c>
      <c r="M245" s="217">
        <f t="shared" si="187"/>
        <v>0</v>
      </c>
      <c r="N245" s="217">
        <f t="shared" si="187"/>
        <v>0</v>
      </c>
      <c r="O245" s="140">
        <f t="shared" si="161"/>
        <v>324396293021.59991</v>
      </c>
      <c r="P245" s="86">
        <v>273229606153.95999</v>
      </c>
      <c r="Q245" s="108">
        <f t="shared" si="159"/>
        <v>-51166686867.639923</v>
      </c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  <c r="BO245" s="109"/>
      <c r="BP245" s="109"/>
      <c r="BQ245" s="109"/>
      <c r="BR245" s="109"/>
      <c r="BS245" s="109"/>
      <c r="BT245" s="109"/>
      <c r="BU245" s="109"/>
      <c r="BV245" s="109"/>
    </row>
    <row r="246" spans="1:74" s="87" customFormat="1" ht="19.5" x14ac:dyDescent="0.2">
      <c r="A246" s="81" t="s">
        <v>699</v>
      </c>
      <c r="B246" s="79" t="s">
        <v>700</v>
      </c>
      <c r="C246" s="217">
        <f t="shared" ref="C246:N247" si="188">+C247</f>
        <v>0</v>
      </c>
      <c r="D246" s="217">
        <f t="shared" si="188"/>
        <v>0</v>
      </c>
      <c r="E246" s="217">
        <f t="shared" si="188"/>
        <v>0</v>
      </c>
      <c r="F246" s="217">
        <f t="shared" si="188"/>
        <v>0</v>
      </c>
      <c r="G246" s="217">
        <f t="shared" si="188"/>
        <v>0</v>
      </c>
      <c r="H246" s="217">
        <f t="shared" si="188"/>
        <v>0</v>
      </c>
      <c r="I246" s="217">
        <f t="shared" si="188"/>
        <v>0</v>
      </c>
      <c r="J246" s="217">
        <f t="shared" si="188"/>
        <v>0</v>
      </c>
      <c r="K246" s="217">
        <f t="shared" si="188"/>
        <v>0</v>
      </c>
      <c r="L246" s="217">
        <f t="shared" si="188"/>
        <v>0</v>
      </c>
      <c r="M246" s="217">
        <f t="shared" si="188"/>
        <v>0</v>
      </c>
      <c r="N246" s="217">
        <f t="shared" si="188"/>
        <v>0</v>
      </c>
      <c r="O246" s="140">
        <f t="shared" si="161"/>
        <v>0</v>
      </c>
      <c r="P246" s="86">
        <v>0</v>
      </c>
      <c r="Q246" s="108">
        <f t="shared" si="159"/>
        <v>0</v>
      </c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86"/>
      <c r="AT246" s="86"/>
      <c r="AU246" s="86"/>
      <c r="AV246" s="86"/>
      <c r="AW246" s="86"/>
      <c r="AX246" s="86"/>
      <c r="AY246" s="86"/>
      <c r="AZ246" s="86"/>
      <c r="BA246" s="86"/>
      <c r="BB246" s="86"/>
      <c r="BC246" s="86"/>
      <c r="BD246" s="86"/>
      <c r="BE246" s="86"/>
      <c r="BF246" s="86"/>
      <c r="BG246" s="86"/>
      <c r="BH246" s="86"/>
      <c r="BI246" s="86"/>
      <c r="BJ246" s="86"/>
      <c r="BK246" s="86"/>
      <c r="BL246" s="86"/>
      <c r="BM246" s="86"/>
      <c r="BN246" s="86"/>
      <c r="BO246" s="86"/>
      <c r="BP246" s="86"/>
      <c r="BQ246" s="86"/>
      <c r="BR246" s="86"/>
      <c r="BS246" s="86"/>
      <c r="BT246" s="86"/>
      <c r="BU246" s="86"/>
      <c r="BV246" s="86"/>
    </row>
    <row r="247" spans="1:74" s="87" customFormat="1" ht="45" x14ac:dyDescent="0.2">
      <c r="A247" s="193" t="s">
        <v>701</v>
      </c>
      <c r="B247" s="194" t="s">
        <v>702</v>
      </c>
      <c r="C247" s="217">
        <f t="shared" si="188"/>
        <v>0</v>
      </c>
      <c r="D247" s="217">
        <f t="shared" si="188"/>
        <v>0</v>
      </c>
      <c r="E247" s="217">
        <f t="shared" si="188"/>
        <v>0</v>
      </c>
      <c r="F247" s="217">
        <f t="shared" si="188"/>
        <v>0</v>
      </c>
      <c r="G247" s="217">
        <f t="shared" si="188"/>
        <v>0</v>
      </c>
      <c r="H247" s="217">
        <f t="shared" si="188"/>
        <v>0</v>
      </c>
      <c r="I247" s="217">
        <f t="shared" si="188"/>
        <v>0</v>
      </c>
      <c r="J247" s="217">
        <f t="shared" si="188"/>
        <v>0</v>
      </c>
      <c r="K247" s="217">
        <f t="shared" si="188"/>
        <v>0</v>
      </c>
      <c r="L247" s="217">
        <f t="shared" si="188"/>
        <v>0</v>
      </c>
      <c r="M247" s="217">
        <f t="shared" si="188"/>
        <v>0</v>
      </c>
      <c r="N247" s="217">
        <f t="shared" si="188"/>
        <v>0</v>
      </c>
      <c r="O247" s="140">
        <f t="shared" si="161"/>
        <v>0</v>
      </c>
      <c r="P247" s="86">
        <v>0</v>
      </c>
      <c r="Q247" s="108">
        <f t="shared" si="159"/>
        <v>0</v>
      </c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  <c r="AK247" s="86"/>
      <c r="AL247" s="86"/>
      <c r="AM247" s="86"/>
      <c r="AN247" s="86"/>
      <c r="AO247" s="86"/>
      <c r="AP247" s="86"/>
      <c r="AQ247" s="86"/>
      <c r="AR247" s="86"/>
      <c r="AS247" s="86"/>
      <c r="AT247" s="86"/>
      <c r="AU247" s="86"/>
      <c r="AV247" s="86"/>
      <c r="AW247" s="86"/>
      <c r="AX247" s="86"/>
      <c r="AY247" s="86"/>
      <c r="AZ247" s="86"/>
      <c r="BA247" s="86"/>
      <c r="BB247" s="86"/>
      <c r="BC247" s="86"/>
      <c r="BD247" s="86"/>
      <c r="BE247" s="86"/>
      <c r="BF247" s="86"/>
      <c r="BG247" s="86"/>
      <c r="BH247" s="86"/>
      <c r="BI247" s="86"/>
      <c r="BJ247" s="86"/>
      <c r="BK247" s="86"/>
      <c r="BL247" s="86"/>
      <c r="BM247" s="86"/>
      <c r="BN247" s="86"/>
      <c r="BO247" s="86"/>
      <c r="BP247" s="86"/>
      <c r="BQ247" s="86"/>
      <c r="BR247" s="86"/>
      <c r="BS247" s="86"/>
      <c r="BT247" s="86"/>
      <c r="BU247" s="86"/>
      <c r="BV247" s="86"/>
    </row>
    <row r="248" spans="1:74" s="87" customFormat="1" ht="15" x14ac:dyDescent="0.2">
      <c r="A248" s="76" t="s">
        <v>703</v>
      </c>
      <c r="B248" s="77" t="s">
        <v>262</v>
      </c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40">
        <f t="shared" si="161"/>
        <v>0</v>
      </c>
      <c r="P248" s="86">
        <v>0</v>
      </c>
      <c r="Q248" s="108">
        <f t="shared" si="159"/>
        <v>0</v>
      </c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86"/>
      <c r="AT248" s="86"/>
      <c r="AU248" s="86"/>
      <c r="AV248" s="86"/>
      <c r="AW248" s="86"/>
      <c r="AX248" s="86"/>
      <c r="AY248" s="86"/>
      <c r="AZ248" s="86"/>
      <c r="BA248" s="86"/>
      <c r="BB248" s="86"/>
      <c r="BC248" s="86"/>
      <c r="BD248" s="86"/>
      <c r="BE248" s="86"/>
      <c r="BF248" s="86"/>
      <c r="BG248" s="86"/>
      <c r="BH248" s="86"/>
      <c r="BI248" s="86"/>
      <c r="BJ248" s="86"/>
      <c r="BK248" s="86"/>
      <c r="BL248" s="86"/>
      <c r="BM248" s="86"/>
      <c r="BN248" s="86"/>
      <c r="BO248" s="86"/>
      <c r="BP248" s="86"/>
      <c r="BQ248" s="86"/>
      <c r="BR248" s="86"/>
      <c r="BS248" s="86"/>
      <c r="BT248" s="86"/>
      <c r="BU248" s="86"/>
      <c r="BV248" s="86"/>
    </row>
    <row r="249" spans="1:74" s="87" customFormat="1" ht="31.5" x14ac:dyDescent="0.2">
      <c r="A249" s="81" t="s">
        <v>704</v>
      </c>
      <c r="B249" s="79" t="s">
        <v>705</v>
      </c>
      <c r="C249" s="217">
        <f t="shared" ref="C249:N250" si="189">+C250</f>
        <v>0</v>
      </c>
      <c r="D249" s="217">
        <f t="shared" si="189"/>
        <v>0</v>
      </c>
      <c r="E249" s="217">
        <f t="shared" si="189"/>
        <v>0</v>
      </c>
      <c r="F249" s="217">
        <f t="shared" si="189"/>
        <v>0</v>
      </c>
      <c r="G249" s="217">
        <f t="shared" si="189"/>
        <v>0</v>
      </c>
      <c r="H249" s="217">
        <f t="shared" si="189"/>
        <v>0</v>
      </c>
      <c r="I249" s="217">
        <f t="shared" si="189"/>
        <v>0</v>
      </c>
      <c r="J249" s="217">
        <f t="shared" si="189"/>
        <v>0</v>
      </c>
      <c r="K249" s="217">
        <f t="shared" si="189"/>
        <v>0</v>
      </c>
      <c r="L249" s="217">
        <f t="shared" si="189"/>
        <v>0</v>
      </c>
      <c r="M249" s="217">
        <f t="shared" si="189"/>
        <v>0</v>
      </c>
      <c r="N249" s="217">
        <f t="shared" si="189"/>
        <v>0</v>
      </c>
      <c r="O249" s="140">
        <f t="shared" si="161"/>
        <v>0</v>
      </c>
      <c r="P249" s="86">
        <v>0</v>
      </c>
      <c r="Q249" s="108">
        <f t="shared" si="159"/>
        <v>0</v>
      </c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  <c r="AL249" s="86"/>
      <c r="AM249" s="86"/>
      <c r="AN249" s="86"/>
      <c r="AO249" s="86"/>
      <c r="AP249" s="86"/>
      <c r="AQ249" s="86"/>
      <c r="AR249" s="86"/>
      <c r="AS249" s="86"/>
      <c r="AT249" s="86"/>
      <c r="AU249" s="86"/>
      <c r="AV249" s="86"/>
      <c r="AW249" s="86"/>
      <c r="AX249" s="86"/>
      <c r="AY249" s="86"/>
      <c r="AZ249" s="86"/>
      <c r="BA249" s="86"/>
      <c r="BB249" s="86"/>
      <c r="BC249" s="86"/>
      <c r="BD249" s="86"/>
      <c r="BE249" s="86"/>
      <c r="BF249" s="86"/>
      <c r="BG249" s="86"/>
      <c r="BH249" s="86"/>
      <c r="BI249" s="86"/>
      <c r="BJ249" s="86"/>
      <c r="BK249" s="86"/>
      <c r="BL249" s="86"/>
      <c r="BM249" s="86"/>
      <c r="BN249" s="86"/>
      <c r="BO249" s="86"/>
      <c r="BP249" s="86"/>
      <c r="BQ249" s="86"/>
      <c r="BR249" s="86"/>
      <c r="BS249" s="86"/>
      <c r="BT249" s="86"/>
      <c r="BU249" s="86"/>
      <c r="BV249" s="86"/>
    </row>
    <row r="250" spans="1:74" s="87" customFormat="1" ht="47.25" x14ac:dyDescent="0.2">
      <c r="A250" s="81" t="s">
        <v>706</v>
      </c>
      <c r="B250" s="79" t="s">
        <v>702</v>
      </c>
      <c r="C250" s="217">
        <f t="shared" si="189"/>
        <v>0</v>
      </c>
      <c r="D250" s="217">
        <f t="shared" si="189"/>
        <v>0</v>
      </c>
      <c r="E250" s="217">
        <f t="shared" si="189"/>
        <v>0</v>
      </c>
      <c r="F250" s="217">
        <f t="shared" si="189"/>
        <v>0</v>
      </c>
      <c r="G250" s="217">
        <f t="shared" si="189"/>
        <v>0</v>
      </c>
      <c r="H250" s="217">
        <f t="shared" si="189"/>
        <v>0</v>
      </c>
      <c r="I250" s="217">
        <f t="shared" si="189"/>
        <v>0</v>
      </c>
      <c r="J250" s="217">
        <f t="shared" si="189"/>
        <v>0</v>
      </c>
      <c r="K250" s="217">
        <f t="shared" si="189"/>
        <v>0</v>
      </c>
      <c r="L250" s="217">
        <f t="shared" si="189"/>
        <v>0</v>
      </c>
      <c r="M250" s="217">
        <f t="shared" si="189"/>
        <v>0</v>
      </c>
      <c r="N250" s="217">
        <f t="shared" si="189"/>
        <v>0</v>
      </c>
      <c r="O250" s="140">
        <f t="shared" si="161"/>
        <v>0</v>
      </c>
      <c r="Q250" s="108">
        <f t="shared" si="159"/>
        <v>0</v>
      </c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86"/>
      <c r="AT250" s="86"/>
      <c r="AU250" s="86"/>
      <c r="AV250" s="86"/>
      <c r="AW250" s="86"/>
      <c r="AX250" s="86"/>
      <c r="AY250" s="86"/>
      <c r="AZ250" s="86"/>
      <c r="BA250" s="86"/>
      <c r="BB250" s="86"/>
      <c r="BC250" s="86"/>
      <c r="BD250" s="86"/>
      <c r="BE250" s="86"/>
      <c r="BF250" s="86"/>
      <c r="BG250" s="86"/>
      <c r="BH250" s="86"/>
      <c r="BI250" s="86"/>
      <c r="BJ250" s="86"/>
      <c r="BK250" s="86"/>
      <c r="BL250" s="86"/>
      <c r="BM250" s="86"/>
      <c r="BN250" s="86"/>
      <c r="BO250" s="86"/>
      <c r="BP250" s="86"/>
      <c r="BQ250" s="86"/>
      <c r="BR250" s="86"/>
      <c r="BS250" s="86"/>
      <c r="BT250" s="86"/>
      <c r="BU250" s="86"/>
      <c r="BV250" s="86"/>
    </row>
    <row r="251" spans="1:74" s="110" customFormat="1" ht="14.25" x14ac:dyDescent="0.2">
      <c r="A251" s="76" t="s">
        <v>707</v>
      </c>
      <c r="B251" s="77" t="s">
        <v>103</v>
      </c>
      <c r="C251" s="128"/>
      <c r="D251" s="128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40">
        <f t="shared" si="161"/>
        <v>0</v>
      </c>
      <c r="Q251" s="108">
        <f t="shared" si="159"/>
        <v>0</v>
      </c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109"/>
      <c r="BQ251" s="109"/>
      <c r="BR251" s="109"/>
      <c r="BS251" s="109"/>
      <c r="BT251" s="109"/>
      <c r="BU251" s="109"/>
      <c r="BV251" s="109"/>
    </row>
    <row r="252" spans="1:74" s="110" customFormat="1" ht="19.5" x14ac:dyDescent="0.2">
      <c r="A252" s="81" t="s">
        <v>708</v>
      </c>
      <c r="B252" s="79" t="s">
        <v>709</v>
      </c>
      <c r="C252" s="217">
        <f t="shared" ref="C252:N252" si="190">+C253</f>
        <v>0</v>
      </c>
      <c r="D252" s="217">
        <f t="shared" si="190"/>
        <v>0</v>
      </c>
      <c r="E252" s="217">
        <f t="shared" si="190"/>
        <v>0</v>
      </c>
      <c r="F252" s="217">
        <f t="shared" si="190"/>
        <v>5619810</v>
      </c>
      <c r="G252" s="217">
        <f t="shared" si="190"/>
        <v>0</v>
      </c>
      <c r="H252" s="217">
        <f>+H253</f>
        <v>10403954</v>
      </c>
      <c r="I252" s="217">
        <f t="shared" si="190"/>
        <v>0</v>
      </c>
      <c r="J252" s="217">
        <f t="shared" si="190"/>
        <v>0</v>
      </c>
      <c r="K252" s="217">
        <f t="shared" si="190"/>
        <v>0</v>
      </c>
      <c r="L252" s="217">
        <f t="shared" si="190"/>
        <v>0</v>
      </c>
      <c r="M252" s="217">
        <f t="shared" si="190"/>
        <v>0</v>
      </c>
      <c r="N252" s="217">
        <f t="shared" si="190"/>
        <v>0</v>
      </c>
      <c r="O252" s="140">
        <f t="shared" si="161"/>
        <v>16023764</v>
      </c>
      <c r="P252" s="86">
        <v>5619810</v>
      </c>
      <c r="Q252" s="108">
        <f t="shared" si="159"/>
        <v>-10403954</v>
      </c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  <c r="BO252" s="109"/>
      <c r="BP252" s="109"/>
      <c r="BQ252" s="109"/>
      <c r="BR252" s="109"/>
      <c r="BS252" s="109"/>
      <c r="BT252" s="109"/>
      <c r="BU252" s="109"/>
      <c r="BV252" s="109"/>
    </row>
    <row r="253" spans="1:74" s="87" customFormat="1" ht="19.5" x14ac:dyDescent="0.2">
      <c r="A253" s="81" t="s">
        <v>710</v>
      </c>
      <c r="B253" s="79" t="s">
        <v>711</v>
      </c>
      <c r="C253" s="217">
        <f>+C254+C255+C256+C257+C258+C288+C289+C290+C291+C292+C293+C294+C296+C297+C298+C299+C300+C301+C302+C303+C304+C305+C306+C307+C308+C310+C311+C312+C313+C314+C315+C316+C317+C318+C319+C320+C321+C322+C323+C324+C325+C326+C295+C309+C327+C328</f>
        <v>0</v>
      </c>
      <c r="D253" s="217">
        <f t="shared" ref="D253:N253" si="191">+D254+D255+D256+D257+D258+D288+D289+D290+D291+D292+D293+D294+D296+D297+D298+D299+D300+D301+D302+D303+D304+D305+D306+D307+D308+D310+D311+D312+D313+D314+D315+D316+D317+D318+D319+D320+D321+D322+D323+D324+D325+D326+D295+D309+D327+D328</f>
        <v>0</v>
      </c>
      <c r="E253" s="217">
        <f t="shared" si="191"/>
        <v>0</v>
      </c>
      <c r="F253" s="217">
        <f t="shared" si="191"/>
        <v>5619810</v>
      </c>
      <c r="G253" s="217">
        <f t="shared" si="191"/>
        <v>0</v>
      </c>
      <c r="H253" s="217">
        <f t="shared" si="191"/>
        <v>10403954</v>
      </c>
      <c r="I253" s="217">
        <f t="shared" si="191"/>
        <v>0</v>
      </c>
      <c r="J253" s="217">
        <f t="shared" si="191"/>
        <v>0</v>
      </c>
      <c r="K253" s="217">
        <f t="shared" si="191"/>
        <v>0</v>
      </c>
      <c r="L253" s="217">
        <f t="shared" si="191"/>
        <v>0</v>
      </c>
      <c r="M253" s="217">
        <f t="shared" si="191"/>
        <v>0</v>
      </c>
      <c r="N253" s="217">
        <f t="shared" si="191"/>
        <v>0</v>
      </c>
      <c r="O253" s="140">
        <f t="shared" si="161"/>
        <v>16023764</v>
      </c>
      <c r="P253" s="86">
        <v>5619810</v>
      </c>
      <c r="Q253" s="108">
        <f t="shared" si="159"/>
        <v>-10403954</v>
      </c>
      <c r="R253" s="86"/>
      <c r="S253" s="86"/>
      <c r="T253" s="86"/>
      <c r="U253" s="86"/>
      <c r="V253" s="86"/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  <c r="AG253" s="86"/>
      <c r="AH253" s="86"/>
      <c r="AI253" s="86"/>
      <c r="AJ253" s="86"/>
      <c r="AK253" s="86"/>
      <c r="AL253" s="86"/>
      <c r="AM253" s="86"/>
      <c r="AN253" s="86"/>
      <c r="AO253" s="86"/>
      <c r="AP253" s="86"/>
      <c r="AQ253" s="86"/>
      <c r="AR253" s="86"/>
      <c r="AS253" s="86"/>
      <c r="AT253" s="86"/>
      <c r="AU253" s="86"/>
      <c r="AV253" s="86"/>
      <c r="AW253" s="86"/>
      <c r="AX253" s="86"/>
      <c r="AY253" s="86"/>
      <c r="AZ253" s="86"/>
      <c r="BA253" s="86"/>
      <c r="BB253" s="86"/>
      <c r="BC253" s="86"/>
      <c r="BD253" s="86"/>
      <c r="BE253" s="86"/>
      <c r="BF253" s="86"/>
      <c r="BG253" s="86"/>
      <c r="BH253" s="86"/>
      <c r="BI253" s="86"/>
      <c r="BJ253" s="86"/>
      <c r="BK253" s="86"/>
      <c r="BL253" s="86"/>
      <c r="BM253" s="86"/>
      <c r="BN253" s="86"/>
      <c r="BO253" s="86"/>
      <c r="BP253" s="86"/>
      <c r="BQ253" s="86"/>
      <c r="BR253" s="86"/>
      <c r="BS253" s="86"/>
      <c r="BT253" s="86"/>
      <c r="BU253" s="86"/>
      <c r="BV253" s="86"/>
    </row>
    <row r="254" spans="1:74" s="87" customFormat="1" ht="15" x14ac:dyDescent="0.2">
      <c r="A254" s="76" t="s">
        <v>712</v>
      </c>
      <c r="B254" s="77" t="s">
        <v>86</v>
      </c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40">
        <f t="shared" si="161"/>
        <v>0</v>
      </c>
      <c r="P254" s="86">
        <v>0</v>
      </c>
      <c r="Q254" s="108">
        <f t="shared" si="159"/>
        <v>0</v>
      </c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86"/>
      <c r="AT254" s="86"/>
      <c r="AU254" s="86"/>
      <c r="AV254" s="86"/>
      <c r="AW254" s="86"/>
      <c r="AX254" s="86"/>
      <c r="AY254" s="86"/>
      <c r="AZ254" s="86"/>
      <c r="BA254" s="86"/>
      <c r="BB254" s="86"/>
      <c r="BC254" s="86"/>
      <c r="BD254" s="86"/>
      <c r="BE254" s="86"/>
      <c r="BF254" s="86"/>
      <c r="BG254" s="86"/>
      <c r="BH254" s="86"/>
      <c r="BI254" s="86"/>
      <c r="BJ254" s="86"/>
      <c r="BK254" s="86"/>
      <c r="BL254" s="86"/>
      <c r="BM254" s="86"/>
      <c r="BN254" s="86"/>
      <c r="BO254" s="86"/>
      <c r="BP254" s="86"/>
      <c r="BQ254" s="86"/>
      <c r="BR254" s="86"/>
      <c r="BS254" s="86"/>
      <c r="BT254" s="86"/>
      <c r="BU254" s="86"/>
      <c r="BV254" s="86"/>
    </row>
    <row r="255" spans="1:74" s="87" customFormat="1" ht="14.25" x14ac:dyDescent="0.2">
      <c r="A255" s="76" t="s">
        <v>713</v>
      </c>
      <c r="B255" s="77" t="s">
        <v>326</v>
      </c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140">
        <f t="shared" si="161"/>
        <v>0</v>
      </c>
      <c r="P255" s="86">
        <v>0</v>
      </c>
      <c r="Q255" s="108">
        <f t="shared" si="159"/>
        <v>0</v>
      </c>
      <c r="R255" s="86"/>
      <c r="S255" s="86"/>
      <c r="T255" s="86"/>
      <c r="U255" s="86"/>
      <c r="V255" s="86"/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  <c r="AG255" s="86"/>
      <c r="AH255" s="86"/>
      <c r="AI255" s="86"/>
      <c r="AJ255" s="86"/>
      <c r="AK255" s="86"/>
      <c r="AL255" s="86"/>
      <c r="AM255" s="86"/>
      <c r="AN255" s="86"/>
      <c r="AO255" s="86"/>
      <c r="AP255" s="86"/>
      <c r="AQ255" s="86"/>
      <c r="AR255" s="86"/>
      <c r="AS255" s="86"/>
      <c r="AT255" s="86"/>
      <c r="AU255" s="86"/>
      <c r="AV255" s="86"/>
      <c r="AW255" s="86"/>
      <c r="AX255" s="86"/>
      <c r="AY255" s="86"/>
      <c r="AZ255" s="86"/>
      <c r="BA255" s="86"/>
      <c r="BB255" s="86"/>
      <c r="BC255" s="86"/>
      <c r="BD255" s="86"/>
      <c r="BE255" s="86"/>
      <c r="BF255" s="86"/>
      <c r="BG255" s="86"/>
      <c r="BH255" s="86"/>
      <c r="BI255" s="86"/>
      <c r="BJ255" s="86"/>
      <c r="BK255" s="86"/>
      <c r="BL255" s="86"/>
      <c r="BM255" s="86"/>
      <c r="BN255" s="86"/>
      <c r="BO255" s="86"/>
      <c r="BP255" s="86"/>
      <c r="BQ255" s="86"/>
      <c r="BR255" s="86"/>
      <c r="BS255" s="86"/>
      <c r="BT255" s="86"/>
      <c r="BU255" s="86"/>
      <c r="BV255" s="86"/>
    </row>
    <row r="256" spans="1:74" s="110" customFormat="1" ht="14.25" x14ac:dyDescent="0.2">
      <c r="A256" s="76" t="s">
        <v>714</v>
      </c>
      <c r="B256" s="77" t="s">
        <v>236</v>
      </c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140">
        <f t="shared" si="161"/>
        <v>0</v>
      </c>
      <c r="P256" s="86">
        <v>0</v>
      </c>
      <c r="Q256" s="108">
        <f t="shared" si="159"/>
        <v>0</v>
      </c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  <c r="BO256" s="109"/>
      <c r="BP256" s="109"/>
      <c r="BQ256" s="109"/>
      <c r="BR256" s="109"/>
      <c r="BS256" s="109"/>
      <c r="BT256" s="109"/>
      <c r="BU256" s="109"/>
      <c r="BV256" s="109"/>
    </row>
    <row r="257" spans="1:74" s="110" customFormat="1" ht="14.25" x14ac:dyDescent="0.2">
      <c r="A257" s="76" t="s">
        <v>715</v>
      </c>
      <c r="B257" s="77" t="s">
        <v>87</v>
      </c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140">
        <f t="shared" si="161"/>
        <v>0</v>
      </c>
      <c r="P257" s="86">
        <v>0</v>
      </c>
      <c r="Q257" s="108">
        <f t="shared" si="159"/>
        <v>0</v>
      </c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  <c r="BO257" s="109"/>
      <c r="BP257" s="109"/>
      <c r="BQ257" s="109"/>
      <c r="BR257" s="109"/>
      <c r="BS257" s="109"/>
      <c r="BT257" s="109"/>
      <c r="BU257" s="109"/>
      <c r="BV257" s="109"/>
    </row>
    <row r="258" spans="1:74" s="110" customFormat="1" ht="19.5" x14ac:dyDescent="0.2">
      <c r="A258" s="81" t="s">
        <v>716</v>
      </c>
      <c r="B258" s="101" t="s">
        <v>717</v>
      </c>
      <c r="C258" s="217">
        <f t="shared" ref="C258:N258" si="192">+C259+C264+C269+C273+C277+C283+C285</f>
        <v>0</v>
      </c>
      <c r="D258" s="217">
        <f t="shared" si="192"/>
        <v>0</v>
      </c>
      <c r="E258" s="217">
        <f t="shared" si="192"/>
        <v>0</v>
      </c>
      <c r="F258" s="217">
        <f t="shared" si="192"/>
        <v>3756634</v>
      </c>
      <c r="G258" s="217">
        <f t="shared" si="192"/>
        <v>0</v>
      </c>
      <c r="H258" s="217">
        <f t="shared" si="192"/>
        <v>0</v>
      </c>
      <c r="I258" s="217">
        <f t="shared" si="192"/>
        <v>0</v>
      </c>
      <c r="J258" s="217">
        <f t="shared" si="192"/>
        <v>0</v>
      </c>
      <c r="K258" s="217">
        <f t="shared" si="192"/>
        <v>0</v>
      </c>
      <c r="L258" s="217">
        <f t="shared" si="192"/>
        <v>0</v>
      </c>
      <c r="M258" s="217">
        <f t="shared" si="192"/>
        <v>0</v>
      </c>
      <c r="N258" s="217">
        <f t="shared" si="192"/>
        <v>0</v>
      </c>
      <c r="O258" s="140">
        <f t="shared" si="161"/>
        <v>3756634</v>
      </c>
      <c r="P258" s="86">
        <v>3756634</v>
      </c>
      <c r="Q258" s="108">
        <f t="shared" si="159"/>
        <v>0</v>
      </c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  <c r="BO258" s="109"/>
      <c r="BP258" s="109"/>
      <c r="BQ258" s="109"/>
      <c r="BR258" s="109"/>
      <c r="BS258" s="109"/>
      <c r="BT258" s="109"/>
      <c r="BU258" s="109"/>
      <c r="BV258" s="109"/>
    </row>
    <row r="259" spans="1:74" s="110" customFormat="1" ht="15.75" x14ac:dyDescent="0.2">
      <c r="A259" s="81" t="s">
        <v>718</v>
      </c>
      <c r="B259" s="79" t="s">
        <v>719</v>
      </c>
      <c r="C259" s="146"/>
      <c r="D259" s="146"/>
      <c r="E259" s="146"/>
      <c r="F259" s="146"/>
      <c r="G259" s="146"/>
      <c r="H259" s="146"/>
      <c r="I259" s="146"/>
      <c r="J259" s="146"/>
      <c r="K259" s="146"/>
      <c r="L259" s="146"/>
      <c r="M259" s="146"/>
      <c r="N259" s="146"/>
      <c r="O259" s="140">
        <f t="shared" si="161"/>
        <v>0</v>
      </c>
      <c r="P259" s="86">
        <v>0</v>
      </c>
      <c r="Q259" s="108">
        <f t="shared" si="159"/>
        <v>0</v>
      </c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  <c r="BO259" s="109"/>
      <c r="BP259" s="109"/>
      <c r="BQ259" s="109"/>
      <c r="BR259" s="109"/>
      <c r="BS259" s="109"/>
      <c r="BT259" s="109"/>
      <c r="BU259" s="109"/>
      <c r="BV259" s="109"/>
    </row>
    <row r="260" spans="1:74" s="110" customFormat="1" ht="14.25" x14ac:dyDescent="0.2">
      <c r="A260" s="76" t="s">
        <v>720</v>
      </c>
      <c r="B260" s="77" t="s">
        <v>88</v>
      </c>
      <c r="C260" s="218">
        <f t="shared" ref="C260:N260" si="193">+C259*60%</f>
        <v>0</v>
      </c>
      <c r="D260" s="218">
        <f t="shared" si="193"/>
        <v>0</v>
      </c>
      <c r="E260" s="218">
        <f t="shared" si="193"/>
        <v>0</v>
      </c>
      <c r="F260" s="218">
        <f t="shared" si="193"/>
        <v>0</v>
      </c>
      <c r="G260" s="218">
        <f t="shared" si="193"/>
        <v>0</v>
      </c>
      <c r="H260" s="218">
        <f t="shared" si="193"/>
        <v>0</v>
      </c>
      <c r="I260" s="218">
        <f t="shared" si="193"/>
        <v>0</v>
      </c>
      <c r="J260" s="218">
        <f t="shared" si="193"/>
        <v>0</v>
      </c>
      <c r="K260" s="218">
        <f t="shared" si="193"/>
        <v>0</v>
      </c>
      <c r="L260" s="218">
        <f t="shared" si="193"/>
        <v>0</v>
      </c>
      <c r="M260" s="218">
        <f t="shared" si="193"/>
        <v>0</v>
      </c>
      <c r="N260" s="218">
        <f t="shared" si="193"/>
        <v>0</v>
      </c>
      <c r="O260" s="140">
        <f t="shared" si="161"/>
        <v>0</v>
      </c>
      <c r="P260" s="86">
        <v>0</v>
      </c>
      <c r="Q260" s="108">
        <f t="shared" si="159"/>
        <v>0</v>
      </c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  <c r="BO260" s="109"/>
      <c r="BP260" s="109"/>
      <c r="BQ260" s="109"/>
      <c r="BR260" s="109"/>
      <c r="BS260" s="109"/>
      <c r="BT260" s="109"/>
      <c r="BU260" s="109"/>
      <c r="BV260" s="109"/>
    </row>
    <row r="261" spans="1:74" s="110" customFormat="1" ht="28.5" x14ac:dyDescent="0.2">
      <c r="A261" s="76" t="s">
        <v>721</v>
      </c>
      <c r="B261" s="77" t="s">
        <v>89</v>
      </c>
      <c r="C261" s="218">
        <f t="shared" ref="C261:N261" si="194">+C259*20%</f>
        <v>0</v>
      </c>
      <c r="D261" s="218">
        <f t="shared" si="194"/>
        <v>0</v>
      </c>
      <c r="E261" s="218">
        <f t="shared" si="194"/>
        <v>0</v>
      </c>
      <c r="F261" s="218">
        <f t="shared" si="194"/>
        <v>0</v>
      </c>
      <c r="G261" s="218">
        <f t="shared" si="194"/>
        <v>0</v>
      </c>
      <c r="H261" s="218">
        <f t="shared" si="194"/>
        <v>0</v>
      </c>
      <c r="I261" s="218">
        <f t="shared" si="194"/>
        <v>0</v>
      </c>
      <c r="J261" s="218">
        <f t="shared" si="194"/>
        <v>0</v>
      </c>
      <c r="K261" s="218">
        <f t="shared" si="194"/>
        <v>0</v>
      </c>
      <c r="L261" s="218">
        <f t="shared" si="194"/>
        <v>0</v>
      </c>
      <c r="M261" s="218">
        <f t="shared" si="194"/>
        <v>0</v>
      </c>
      <c r="N261" s="218">
        <f t="shared" si="194"/>
        <v>0</v>
      </c>
      <c r="O261" s="140">
        <f t="shared" si="161"/>
        <v>0</v>
      </c>
      <c r="P261" s="86">
        <v>0</v>
      </c>
      <c r="Q261" s="108">
        <f t="shared" si="159"/>
        <v>0</v>
      </c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  <c r="BO261" s="109"/>
      <c r="BP261" s="109"/>
      <c r="BQ261" s="109"/>
      <c r="BR261" s="109"/>
      <c r="BS261" s="109"/>
      <c r="BT261" s="109"/>
      <c r="BU261" s="109"/>
      <c r="BV261" s="109"/>
    </row>
    <row r="262" spans="1:74" s="87" customFormat="1" ht="42.75" x14ac:dyDescent="0.2">
      <c r="A262" s="76" t="s">
        <v>722</v>
      </c>
      <c r="B262" s="77" t="s">
        <v>90</v>
      </c>
      <c r="C262" s="218">
        <f t="shared" ref="C262:N262" si="195">+C259*10%</f>
        <v>0</v>
      </c>
      <c r="D262" s="218">
        <f t="shared" si="195"/>
        <v>0</v>
      </c>
      <c r="E262" s="218">
        <f t="shared" si="195"/>
        <v>0</v>
      </c>
      <c r="F262" s="218">
        <f t="shared" si="195"/>
        <v>0</v>
      </c>
      <c r="G262" s="218">
        <f t="shared" si="195"/>
        <v>0</v>
      </c>
      <c r="H262" s="218">
        <f t="shared" si="195"/>
        <v>0</v>
      </c>
      <c r="I262" s="218">
        <f t="shared" si="195"/>
        <v>0</v>
      </c>
      <c r="J262" s="218">
        <f t="shared" si="195"/>
        <v>0</v>
      </c>
      <c r="K262" s="218">
        <f t="shared" si="195"/>
        <v>0</v>
      </c>
      <c r="L262" s="218">
        <f t="shared" si="195"/>
        <v>0</v>
      </c>
      <c r="M262" s="218">
        <f t="shared" si="195"/>
        <v>0</v>
      </c>
      <c r="N262" s="218">
        <f t="shared" si="195"/>
        <v>0</v>
      </c>
      <c r="O262" s="140">
        <f t="shared" si="161"/>
        <v>0</v>
      </c>
      <c r="P262" s="86">
        <v>0</v>
      </c>
      <c r="Q262" s="108">
        <f t="shared" si="159"/>
        <v>0</v>
      </c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86"/>
      <c r="AT262" s="86"/>
      <c r="AU262" s="86"/>
      <c r="AV262" s="86"/>
      <c r="AW262" s="86"/>
      <c r="AX262" s="86"/>
      <c r="AY262" s="86"/>
      <c r="AZ262" s="86"/>
      <c r="BA262" s="86"/>
      <c r="BB262" s="86"/>
      <c r="BC262" s="86"/>
      <c r="BD262" s="86"/>
      <c r="BE262" s="86"/>
      <c r="BF262" s="86"/>
      <c r="BG262" s="86"/>
      <c r="BH262" s="86"/>
      <c r="BI262" s="86"/>
      <c r="BJ262" s="86"/>
      <c r="BK262" s="86"/>
      <c r="BL262" s="86"/>
      <c r="BM262" s="86"/>
      <c r="BN262" s="86"/>
      <c r="BO262" s="86"/>
      <c r="BP262" s="86"/>
      <c r="BQ262" s="86"/>
      <c r="BR262" s="86"/>
      <c r="BS262" s="86"/>
      <c r="BT262" s="86"/>
      <c r="BU262" s="86"/>
      <c r="BV262" s="86"/>
    </row>
    <row r="263" spans="1:74" s="110" customFormat="1" ht="28.5" x14ac:dyDescent="0.2">
      <c r="A263" s="157" t="s">
        <v>723</v>
      </c>
      <c r="B263" s="154" t="s">
        <v>237</v>
      </c>
      <c r="C263" s="218">
        <f t="shared" ref="C263:N263" si="196">+C259*10%</f>
        <v>0</v>
      </c>
      <c r="D263" s="218">
        <f t="shared" si="196"/>
        <v>0</v>
      </c>
      <c r="E263" s="218">
        <f t="shared" si="196"/>
        <v>0</v>
      </c>
      <c r="F263" s="218">
        <f t="shared" si="196"/>
        <v>0</v>
      </c>
      <c r="G263" s="218">
        <f t="shared" si="196"/>
        <v>0</v>
      </c>
      <c r="H263" s="218">
        <f t="shared" si="196"/>
        <v>0</v>
      </c>
      <c r="I263" s="218">
        <f t="shared" si="196"/>
        <v>0</v>
      </c>
      <c r="J263" s="218">
        <f t="shared" si="196"/>
        <v>0</v>
      </c>
      <c r="K263" s="218">
        <f t="shared" si="196"/>
        <v>0</v>
      </c>
      <c r="L263" s="218">
        <f t="shared" si="196"/>
        <v>0</v>
      </c>
      <c r="M263" s="218">
        <f t="shared" si="196"/>
        <v>0</v>
      </c>
      <c r="N263" s="218">
        <f t="shared" si="196"/>
        <v>0</v>
      </c>
      <c r="O263" s="140">
        <f t="shared" si="161"/>
        <v>0</v>
      </c>
      <c r="P263" s="86">
        <v>0</v>
      </c>
      <c r="Q263" s="108">
        <f t="shared" si="159"/>
        <v>0</v>
      </c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  <c r="BO263" s="109"/>
      <c r="BP263" s="109"/>
      <c r="BQ263" s="109"/>
      <c r="BR263" s="109"/>
      <c r="BS263" s="109"/>
      <c r="BT263" s="109"/>
      <c r="BU263" s="109"/>
      <c r="BV263" s="109"/>
    </row>
    <row r="264" spans="1:74" s="87" customFormat="1" ht="15.75" x14ac:dyDescent="0.2">
      <c r="A264" s="156" t="s">
        <v>724</v>
      </c>
      <c r="B264" s="101" t="s">
        <v>725</v>
      </c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140">
        <f t="shared" si="161"/>
        <v>0</v>
      </c>
      <c r="P264" s="86">
        <v>0</v>
      </c>
      <c r="Q264" s="108">
        <f t="shared" si="159"/>
        <v>0</v>
      </c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86"/>
      <c r="AT264" s="86"/>
      <c r="AU264" s="86"/>
      <c r="AV264" s="86"/>
      <c r="AW264" s="86"/>
      <c r="AX264" s="86"/>
      <c r="AY264" s="86"/>
      <c r="AZ264" s="86"/>
      <c r="BA264" s="86"/>
      <c r="BB264" s="86"/>
      <c r="BC264" s="86"/>
      <c r="BD264" s="86"/>
      <c r="BE264" s="86"/>
      <c r="BF264" s="86"/>
      <c r="BG264" s="86"/>
      <c r="BH264" s="86"/>
      <c r="BI264" s="86"/>
      <c r="BJ264" s="86"/>
      <c r="BK264" s="86"/>
      <c r="BL264" s="86"/>
      <c r="BM264" s="86"/>
      <c r="BN264" s="86"/>
      <c r="BO264" s="86"/>
      <c r="BP264" s="86"/>
      <c r="BQ264" s="86"/>
      <c r="BR264" s="86"/>
      <c r="BS264" s="86"/>
      <c r="BT264" s="86"/>
      <c r="BU264" s="86"/>
      <c r="BV264" s="86"/>
    </row>
    <row r="265" spans="1:74" s="87" customFormat="1" ht="28.5" x14ac:dyDescent="0.2">
      <c r="A265" s="157" t="s">
        <v>726</v>
      </c>
      <c r="B265" s="154" t="s">
        <v>91</v>
      </c>
      <c r="C265" s="218">
        <f t="shared" ref="C265:N265" si="197">+C264*40%</f>
        <v>0</v>
      </c>
      <c r="D265" s="218">
        <f t="shared" si="197"/>
        <v>0</v>
      </c>
      <c r="E265" s="218">
        <f t="shared" si="197"/>
        <v>0</v>
      </c>
      <c r="F265" s="218">
        <f t="shared" si="197"/>
        <v>0</v>
      </c>
      <c r="G265" s="218">
        <f t="shared" si="197"/>
        <v>0</v>
      </c>
      <c r="H265" s="218">
        <f t="shared" si="197"/>
        <v>0</v>
      </c>
      <c r="I265" s="218">
        <f t="shared" si="197"/>
        <v>0</v>
      </c>
      <c r="J265" s="218">
        <f t="shared" si="197"/>
        <v>0</v>
      </c>
      <c r="K265" s="218">
        <f t="shared" si="197"/>
        <v>0</v>
      </c>
      <c r="L265" s="218">
        <f t="shared" si="197"/>
        <v>0</v>
      </c>
      <c r="M265" s="218">
        <f t="shared" si="197"/>
        <v>0</v>
      </c>
      <c r="N265" s="218">
        <f t="shared" si="197"/>
        <v>0</v>
      </c>
      <c r="O265" s="140">
        <f t="shared" si="161"/>
        <v>0</v>
      </c>
      <c r="P265" s="86">
        <v>0</v>
      </c>
      <c r="Q265" s="108">
        <f t="shared" si="159"/>
        <v>0</v>
      </c>
      <c r="R265" s="86"/>
      <c r="S265" s="86"/>
      <c r="T265" s="86"/>
      <c r="U265" s="86"/>
      <c r="V265" s="86"/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  <c r="AG265" s="86"/>
      <c r="AH265" s="86"/>
      <c r="AI265" s="86"/>
      <c r="AJ265" s="86"/>
      <c r="AK265" s="86"/>
      <c r="AL265" s="86"/>
      <c r="AM265" s="86"/>
      <c r="AN265" s="86"/>
      <c r="AO265" s="86"/>
      <c r="AP265" s="86"/>
      <c r="AQ265" s="86"/>
      <c r="AR265" s="86"/>
      <c r="AS265" s="86"/>
      <c r="AT265" s="86"/>
      <c r="AU265" s="86"/>
      <c r="AV265" s="86"/>
      <c r="AW265" s="86"/>
      <c r="AX265" s="86"/>
      <c r="AY265" s="86"/>
      <c r="AZ265" s="86"/>
      <c r="BA265" s="86"/>
      <c r="BB265" s="86"/>
      <c r="BC265" s="86"/>
      <c r="BD265" s="86"/>
      <c r="BE265" s="86"/>
      <c r="BF265" s="86"/>
      <c r="BG265" s="86"/>
      <c r="BH265" s="86"/>
      <c r="BI265" s="86"/>
      <c r="BJ265" s="86"/>
      <c r="BK265" s="86"/>
      <c r="BL265" s="86"/>
      <c r="BM265" s="86"/>
      <c r="BN265" s="86"/>
      <c r="BO265" s="86"/>
      <c r="BP265" s="86"/>
      <c r="BQ265" s="86"/>
      <c r="BR265" s="86"/>
      <c r="BS265" s="86"/>
      <c r="BT265" s="86"/>
      <c r="BU265" s="86"/>
      <c r="BV265" s="86"/>
    </row>
    <row r="266" spans="1:74" s="110" customFormat="1" ht="28.5" x14ac:dyDescent="0.2">
      <c r="A266" s="157" t="s">
        <v>727</v>
      </c>
      <c r="B266" s="154" t="s">
        <v>92</v>
      </c>
      <c r="C266" s="218">
        <f t="shared" ref="C266:N266" si="198">+C264*20%</f>
        <v>0</v>
      </c>
      <c r="D266" s="218">
        <f t="shared" si="198"/>
        <v>0</v>
      </c>
      <c r="E266" s="218">
        <f t="shared" si="198"/>
        <v>0</v>
      </c>
      <c r="F266" s="218">
        <f t="shared" si="198"/>
        <v>0</v>
      </c>
      <c r="G266" s="218">
        <f t="shared" si="198"/>
        <v>0</v>
      </c>
      <c r="H266" s="218">
        <f t="shared" si="198"/>
        <v>0</v>
      </c>
      <c r="I266" s="218">
        <f t="shared" si="198"/>
        <v>0</v>
      </c>
      <c r="J266" s="218">
        <f t="shared" si="198"/>
        <v>0</v>
      </c>
      <c r="K266" s="218">
        <f t="shared" si="198"/>
        <v>0</v>
      </c>
      <c r="L266" s="218">
        <f t="shared" si="198"/>
        <v>0</v>
      </c>
      <c r="M266" s="218">
        <f t="shared" si="198"/>
        <v>0</v>
      </c>
      <c r="N266" s="218">
        <f t="shared" si="198"/>
        <v>0</v>
      </c>
      <c r="O266" s="140">
        <f t="shared" si="161"/>
        <v>0</v>
      </c>
      <c r="P266" s="86">
        <v>0</v>
      </c>
      <c r="Q266" s="108">
        <f t="shared" si="159"/>
        <v>0</v>
      </c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  <c r="BO266" s="109"/>
      <c r="BP266" s="109"/>
      <c r="BQ266" s="109"/>
      <c r="BR266" s="109"/>
      <c r="BS266" s="109"/>
      <c r="BT266" s="109"/>
      <c r="BU266" s="109"/>
      <c r="BV266" s="109"/>
    </row>
    <row r="267" spans="1:74" s="110" customFormat="1" ht="28.5" x14ac:dyDescent="0.2">
      <c r="A267" s="157" t="s">
        <v>728</v>
      </c>
      <c r="B267" s="154" t="s">
        <v>93</v>
      </c>
      <c r="C267" s="218">
        <f t="shared" ref="C267:N267" si="199">+C264*20%</f>
        <v>0</v>
      </c>
      <c r="D267" s="218">
        <f t="shared" si="199"/>
        <v>0</v>
      </c>
      <c r="E267" s="218">
        <f t="shared" si="199"/>
        <v>0</v>
      </c>
      <c r="F267" s="218">
        <f t="shared" si="199"/>
        <v>0</v>
      </c>
      <c r="G267" s="218">
        <f t="shared" si="199"/>
        <v>0</v>
      </c>
      <c r="H267" s="218">
        <f t="shared" si="199"/>
        <v>0</v>
      </c>
      <c r="I267" s="218">
        <f t="shared" si="199"/>
        <v>0</v>
      </c>
      <c r="J267" s="218">
        <f t="shared" si="199"/>
        <v>0</v>
      </c>
      <c r="K267" s="218">
        <f t="shared" si="199"/>
        <v>0</v>
      </c>
      <c r="L267" s="218">
        <f t="shared" si="199"/>
        <v>0</v>
      </c>
      <c r="M267" s="218">
        <f t="shared" si="199"/>
        <v>0</v>
      </c>
      <c r="N267" s="218">
        <f t="shared" si="199"/>
        <v>0</v>
      </c>
      <c r="O267" s="140">
        <f t="shared" si="161"/>
        <v>0</v>
      </c>
      <c r="P267" s="86">
        <v>0</v>
      </c>
      <c r="Q267" s="108">
        <f t="shared" si="159"/>
        <v>0</v>
      </c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  <c r="BO267" s="109"/>
      <c r="BP267" s="109"/>
      <c r="BQ267" s="109"/>
      <c r="BR267" s="109"/>
      <c r="BS267" s="109"/>
      <c r="BT267" s="109"/>
      <c r="BU267" s="109"/>
      <c r="BV267" s="109"/>
    </row>
    <row r="268" spans="1:74" s="87" customFormat="1" ht="28.5" x14ac:dyDescent="0.2">
      <c r="A268" s="157" t="s">
        <v>729</v>
      </c>
      <c r="B268" s="154" t="s">
        <v>94</v>
      </c>
      <c r="C268" s="218">
        <f t="shared" ref="C268:N268" si="200">+C264*20%</f>
        <v>0</v>
      </c>
      <c r="D268" s="218">
        <f t="shared" si="200"/>
        <v>0</v>
      </c>
      <c r="E268" s="218">
        <f t="shared" si="200"/>
        <v>0</v>
      </c>
      <c r="F268" s="218">
        <f t="shared" si="200"/>
        <v>0</v>
      </c>
      <c r="G268" s="218">
        <f t="shared" si="200"/>
        <v>0</v>
      </c>
      <c r="H268" s="218">
        <f t="shared" si="200"/>
        <v>0</v>
      </c>
      <c r="I268" s="218">
        <f t="shared" si="200"/>
        <v>0</v>
      </c>
      <c r="J268" s="218">
        <f t="shared" si="200"/>
        <v>0</v>
      </c>
      <c r="K268" s="218">
        <f t="shared" si="200"/>
        <v>0</v>
      </c>
      <c r="L268" s="218">
        <f t="shared" si="200"/>
        <v>0</v>
      </c>
      <c r="M268" s="218">
        <f t="shared" si="200"/>
        <v>0</v>
      </c>
      <c r="N268" s="218">
        <f t="shared" si="200"/>
        <v>0</v>
      </c>
      <c r="O268" s="140">
        <f t="shared" si="161"/>
        <v>0</v>
      </c>
      <c r="P268" s="86">
        <v>0</v>
      </c>
      <c r="Q268" s="108">
        <f t="shared" si="159"/>
        <v>0</v>
      </c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86"/>
      <c r="AT268" s="86"/>
      <c r="AU268" s="86"/>
      <c r="AV268" s="86"/>
      <c r="AW268" s="86"/>
      <c r="AX268" s="86"/>
      <c r="AY268" s="86"/>
      <c r="AZ268" s="86"/>
      <c r="BA268" s="86"/>
      <c r="BB268" s="86"/>
      <c r="BC268" s="86"/>
      <c r="BD268" s="86"/>
      <c r="BE268" s="86"/>
      <c r="BF268" s="86"/>
      <c r="BG268" s="86"/>
      <c r="BH268" s="86"/>
      <c r="BI268" s="86"/>
      <c r="BJ268" s="86"/>
      <c r="BK268" s="86"/>
      <c r="BL268" s="86"/>
      <c r="BM268" s="86"/>
      <c r="BN268" s="86"/>
      <c r="BO268" s="86"/>
      <c r="BP268" s="86"/>
      <c r="BQ268" s="86"/>
      <c r="BR268" s="86"/>
      <c r="BS268" s="86"/>
      <c r="BT268" s="86"/>
      <c r="BU268" s="86"/>
      <c r="BV268" s="86"/>
    </row>
    <row r="269" spans="1:74" s="110" customFormat="1" ht="31.5" x14ac:dyDescent="0.2">
      <c r="A269" s="156" t="s">
        <v>730</v>
      </c>
      <c r="B269" s="101" t="s">
        <v>731</v>
      </c>
      <c r="C269" s="146"/>
      <c r="D269" s="146"/>
      <c r="E269" s="146"/>
      <c r="F269" s="146">
        <f>SUM(F270:F272)</f>
        <v>3756634</v>
      </c>
      <c r="G269" s="146"/>
      <c r="H269" s="146"/>
      <c r="I269" s="146"/>
      <c r="J269" s="146"/>
      <c r="K269" s="146"/>
      <c r="L269" s="146"/>
      <c r="M269" s="146"/>
      <c r="N269" s="146"/>
      <c r="O269" s="140">
        <f t="shared" si="161"/>
        <v>3756634</v>
      </c>
      <c r="P269" s="86">
        <v>3756634</v>
      </c>
      <c r="Q269" s="108">
        <f t="shared" si="159"/>
        <v>0</v>
      </c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  <c r="BO269" s="109"/>
      <c r="BP269" s="109"/>
      <c r="BQ269" s="109"/>
      <c r="BR269" s="109"/>
      <c r="BS269" s="109"/>
      <c r="BT269" s="109"/>
      <c r="BU269" s="109"/>
      <c r="BV269" s="109"/>
    </row>
    <row r="270" spans="1:74" s="110" customFormat="1" ht="28.5" x14ac:dyDescent="0.2">
      <c r="A270" s="157" t="s">
        <v>732</v>
      </c>
      <c r="B270" s="154" t="s">
        <v>95</v>
      </c>
      <c r="C270" s="218">
        <f t="shared" ref="C270:N270" si="201">+C269*80%</f>
        <v>0</v>
      </c>
      <c r="D270" s="218">
        <f t="shared" si="201"/>
        <v>0</v>
      </c>
      <c r="E270" s="218">
        <f t="shared" si="201"/>
        <v>0</v>
      </c>
      <c r="F270" s="218">
        <v>0</v>
      </c>
      <c r="G270" s="218">
        <f t="shared" si="201"/>
        <v>0</v>
      </c>
      <c r="H270" s="218">
        <f t="shared" si="201"/>
        <v>0</v>
      </c>
      <c r="I270" s="218">
        <f t="shared" si="201"/>
        <v>0</v>
      </c>
      <c r="J270" s="218">
        <f t="shared" si="201"/>
        <v>0</v>
      </c>
      <c r="K270" s="218">
        <f t="shared" si="201"/>
        <v>0</v>
      </c>
      <c r="L270" s="218">
        <f t="shared" si="201"/>
        <v>0</v>
      </c>
      <c r="M270" s="218">
        <f t="shared" si="201"/>
        <v>0</v>
      </c>
      <c r="N270" s="218">
        <f t="shared" si="201"/>
        <v>0</v>
      </c>
      <c r="O270" s="140">
        <f t="shared" si="161"/>
        <v>0</v>
      </c>
      <c r="P270" s="86">
        <v>0</v>
      </c>
      <c r="Q270" s="108">
        <f t="shared" ref="Q270:Q336" si="202">+P270-O270</f>
        <v>0</v>
      </c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  <c r="BO270" s="109"/>
      <c r="BP270" s="109"/>
      <c r="BQ270" s="109"/>
      <c r="BR270" s="109"/>
      <c r="BS270" s="109"/>
      <c r="BT270" s="109"/>
      <c r="BU270" s="109"/>
      <c r="BV270" s="109"/>
    </row>
    <row r="271" spans="1:74" s="110" customFormat="1" ht="28.5" x14ac:dyDescent="0.2">
      <c r="A271" s="157" t="s">
        <v>732</v>
      </c>
      <c r="B271" s="154" t="s">
        <v>95</v>
      </c>
      <c r="C271" s="218"/>
      <c r="D271" s="218"/>
      <c r="E271" s="218"/>
      <c r="F271" s="218">
        <v>3756634</v>
      </c>
      <c r="G271" s="218"/>
      <c r="H271" s="218"/>
      <c r="I271" s="218"/>
      <c r="J271" s="218"/>
      <c r="K271" s="218"/>
      <c r="L271" s="218"/>
      <c r="M271" s="218"/>
      <c r="N271" s="218"/>
      <c r="O271" s="140">
        <f t="shared" si="161"/>
        <v>3756634</v>
      </c>
      <c r="P271" s="86">
        <v>3756634</v>
      </c>
      <c r="Q271" s="108">
        <f t="shared" si="202"/>
        <v>0</v>
      </c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</row>
    <row r="272" spans="1:74" s="87" customFormat="1" ht="28.5" x14ac:dyDescent="0.2">
      <c r="A272" s="157" t="s">
        <v>733</v>
      </c>
      <c r="B272" s="155" t="s">
        <v>96</v>
      </c>
      <c r="C272" s="218">
        <f t="shared" ref="C272:N272" si="203">+C269*20%</f>
        <v>0</v>
      </c>
      <c r="D272" s="218">
        <f t="shared" si="203"/>
        <v>0</v>
      </c>
      <c r="E272" s="218">
        <f t="shared" si="203"/>
        <v>0</v>
      </c>
      <c r="F272" s="218">
        <v>0</v>
      </c>
      <c r="G272" s="218">
        <f t="shared" si="203"/>
        <v>0</v>
      </c>
      <c r="H272" s="218">
        <f t="shared" si="203"/>
        <v>0</v>
      </c>
      <c r="I272" s="218">
        <f t="shared" si="203"/>
        <v>0</v>
      </c>
      <c r="J272" s="218">
        <f t="shared" si="203"/>
        <v>0</v>
      </c>
      <c r="K272" s="218">
        <f t="shared" si="203"/>
        <v>0</v>
      </c>
      <c r="L272" s="218">
        <f t="shared" si="203"/>
        <v>0</v>
      </c>
      <c r="M272" s="218">
        <f t="shared" si="203"/>
        <v>0</v>
      </c>
      <c r="N272" s="218">
        <f t="shared" si="203"/>
        <v>0</v>
      </c>
      <c r="O272" s="140">
        <f t="shared" si="161"/>
        <v>0</v>
      </c>
      <c r="P272" s="86">
        <v>0</v>
      </c>
      <c r="Q272" s="108">
        <f t="shared" si="202"/>
        <v>0</v>
      </c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86"/>
      <c r="AT272" s="86"/>
      <c r="AU272" s="86"/>
      <c r="AV272" s="86"/>
      <c r="AW272" s="86"/>
      <c r="AX272" s="86"/>
      <c r="AY272" s="86"/>
      <c r="AZ272" s="86"/>
      <c r="BA272" s="86"/>
      <c r="BB272" s="86"/>
      <c r="BC272" s="86"/>
      <c r="BD272" s="86"/>
      <c r="BE272" s="86"/>
      <c r="BF272" s="86"/>
      <c r="BG272" s="86"/>
      <c r="BH272" s="86"/>
      <c r="BI272" s="86"/>
      <c r="BJ272" s="86"/>
      <c r="BK272" s="86"/>
      <c r="BL272" s="86"/>
      <c r="BM272" s="86"/>
      <c r="BN272" s="86"/>
      <c r="BO272" s="86"/>
      <c r="BP272" s="86"/>
      <c r="BQ272" s="86"/>
      <c r="BR272" s="86"/>
      <c r="BS272" s="86"/>
      <c r="BT272" s="86"/>
      <c r="BU272" s="86"/>
      <c r="BV272" s="86"/>
    </row>
    <row r="273" spans="1:74" s="110" customFormat="1" ht="15.75" x14ac:dyDescent="0.2">
      <c r="A273" s="156" t="s">
        <v>734</v>
      </c>
      <c r="B273" s="80" t="s">
        <v>327</v>
      </c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140">
        <f t="shared" si="161"/>
        <v>0</v>
      </c>
      <c r="P273" s="86">
        <v>0</v>
      </c>
      <c r="Q273" s="108">
        <f t="shared" si="202"/>
        <v>0</v>
      </c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  <c r="BO273" s="109"/>
      <c r="BP273" s="109"/>
      <c r="BQ273" s="109"/>
      <c r="BR273" s="109"/>
      <c r="BS273" s="109"/>
      <c r="BT273" s="109"/>
      <c r="BU273" s="109"/>
      <c r="BV273" s="109"/>
    </row>
    <row r="274" spans="1:74" s="110" customFormat="1" ht="14.25" x14ac:dyDescent="0.2">
      <c r="A274" s="157" t="s">
        <v>735</v>
      </c>
      <c r="B274" s="155" t="s">
        <v>327</v>
      </c>
      <c r="C274" s="218">
        <f t="shared" ref="C274:N274" si="204">+(C273-C275)*75%</f>
        <v>0</v>
      </c>
      <c r="D274" s="218">
        <f t="shared" si="204"/>
        <v>0</v>
      </c>
      <c r="E274" s="218">
        <f t="shared" si="204"/>
        <v>0</v>
      </c>
      <c r="F274" s="218">
        <f t="shared" si="204"/>
        <v>0</v>
      </c>
      <c r="G274" s="218">
        <f t="shared" si="204"/>
        <v>0</v>
      </c>
      <c r="H274" s="218">
        <f t="shared" si="204"/>
        <v>0</v>
      </c>
      <c r="I274" s="218">
        <f t="shared" si="204"/>
        <v>0</v>
      </c>
      <c r="J274" s="218">
        <f t="shared" si="204"/>
        <v>0</v>
      </c>
      <c r="K274" s="218">
        <f t="shared" si="204"/>
        <v>0</v>
      </c>
      <c r="L274" s="218">
        <f t="shared" si="204"/>
        <v>0</v>
      </c>
      <c r="M274" s="218">
        <f t="shared" si="204"/>
        <v>0</v>
      </c>
      <c r="N274" s="218">
        <f t="shared" si="204"/>
        <v>0</v>
      </c>
      <c r="O274" s="140">
        <f t="shared" si="161"/>
        <v>0</v>
      </c>
      <c r="P274" s="86">
        <v>0</v>
      </c>
      <c r="Q274" s="108">
        <f t="shared" si="202"/>
        <v>0</v>
      </c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  <c r="BO274" s="109"/>
      <c r="BP274" s="109"/>
      <c r="BQ274" s="109"/>
      <c r="BR274" s="109"/>
      <c r="BS274" s="109"/>
      <c r="BT274" s="109"/>
      <c r="BU274" s="109"/>
      <c r="BV274" s="109"/>
    </row>
    <row r="275" spans="1:74" s="110" customFormat="1" ht="42.75" x14ac:dyDescent="0.2">
      <c r="A275" s="157" t="s">
        <v>736</v>
      </c>
      <c r="B275" s="154" t="s">
        <v>328</v>
      </c>
      <c r="C275" s="218">
        <f t="shared" ref="C275:N275" si="205">+C273*20%</f>
        <v>0</v>
      </c>
      <c r="D275" s="218">
        <f t="shared" si="205"/>
        <v>0</v>
      </c>
      <c r="E275" s="218">
        <f t="shared" si="205"/>
        <v>0</v>
      </c>
      <c r="F275" s="218">
        <f t="shared" si="205"/>
        <v>0</v>
      </c>
      <c r="G275" s="218">
        <f t="shared" si="205"/>
        <v>0</v>
      </c>
      <c r="H275" s="218">
        <f t="shared" si="205"/>
        <v>0</v>
      </c>
      <c r="I275" s="218">
        <f t="shared" si="205"/>
        <v>0</v>
      </c>
      <c r="J275" s="218">
        <f t="shared" si="205"/>
        <v>0</v>
      </c>
      <c r="K275" s="218">
        <f t="shared" si="205"/>
        <v>0</v>
      </c>
      <c r="L275" s="218">
        <f t="shared" si="205"/>
        <v>0</v>
      </c>
      <c r="M275" s="218">
        <f t="shared" si="205"/>
        <v>0</v>
      </c>
      <c r="N275" s="218">
        <f t="shared" si="205"/>
        <v>0</v>
      </c>
      <c r="O275" s="140">
        <f t="shared" si="161"/>
        <v>0</v>
      </c>
      <c r="P275" s="86">
        <v>0</v>
      </c>
      <c r="Q275" s="108">
        <f t="shared" si="202"/>
        <v>0</v>
      </c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  <c r="BS275" s="109"/>
      <c r="BT275" s="109"/>
      <c r="BU275" s="109"/>
      <c r="BV275" s="109"/>
    </row>
    <row r="276" spans="1:74" s="110" customFormat="1" ht="42.75" x14ac:dyDescent="0.2">
      <c r="A276" s="157" t="s">
        <v>737</v>
      </c>
      <c r="B276" s="155" t="s">
        <v>329</v>
      </c>
      <c r="C276" s="218">
        <f t="shared" ref="C276:N276" si="206">+C273-C274-C275</f>
        <v>0</v>
      </c>
      <c r="D276" s="218">
        <f t="shared" si="206"/>
        <v>0</v>
      </c>
      <c r="E276" s="218">
        <f t="shared" si="206"/>
        <v>0</v>
      </c>
      <c r="F276" s="218">
        <f t="shared" si="206"/>
        <v>0</v>
      </c>
      <c r="G276" s="218">
        <f t="shared" si="206"/>
        <v>0</v>
      </c>
      <c r="H276" s="218">
        <f t="shared" si="206"/>
        <v>0</v>
      </c>
      <c r="I276" s="218">
        <f t="shared" si="206"/>
        <v>0</v>
      </c>
      <c r="J276" s="218">
        <f t="shared" si="206"/>
        <v>0</v>
      </c>
      <c r="K276" s="218">
        <f t="shared" si="206"/>
        <v>0</v>
      </c>
      <c r="L276" s="218">
        <f t="shared" si="206"/>
        <v>0</v>
      </c>
      <c r="M276" s="218">
        <f t="shared" si="206"/>
        <v>0</v>
      </c>
      <c r="N276" s="218">
        <f t="shared" si="206"/>
        <v>0</v>
      </c>
      <c r="O276" s="140">
        <f t="shared" si="161"/>
        <v>0</v>
      </c>
      <c r="P276" s="86">
        <v>0</v>
      </c>
      <c r="Q276" s="108">
        <f t="shared" si="202"/>
        <v>0</v>
      </c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  <c r="BO276" s="109"/>
      <c r="BP276" s="109"/>
      <c r="BQ276" s="109"/>
      <c r="BR276" s="109"/>
      <c r="BS276" s="109"/>
      <c r="BT276" s="109"/>
      <c r="BU276" s="109"/>
      <c r="BV276" s="109"/>
    </row>
    <row r="277" spans="1:74" s="110" customFormat="1" ht="15.75" x14ac:dyDescent="0.2">
      <c r="A277" s="156" t="s">
        <v>738</v>
      </c>
      <c r="B277" s="215" t="s">
        <v>739</v>
      </c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140">
        <f t="shared" si="161"/>
        <v>0</v>
      </c>
      <c r="P277" s="86">
        <v>0</v>
      </c>
      <c r="Q277" s="108">
        <f t="shared" si="202"/>
        <v>0</v>
      </c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  <c r="BO277" s="109"/>
      <c r="BP277" s="109"/>
      <c r="BQ277" s="109"/>
      <c r="BR277" s="109"/>
      <c r="BS277" s="109"/>
      <c r="BT277" s="109"/>
      <c r="BU277" s="109"/>
      <c r="BV277" s="109"/>
    </row>
    <row r="278" spans="1:74" s="87" customFormat="1" ht="28.5" x14ac:dyDescent="0.2">
      <c r="A278" s="157" t="s">
        <v>740</v>
      </c>
      <c r="B278" s="155" t="s">
        <v>97</v>
      </c>
      <c r="C278" s="218">
        <f t="shared" ref="C278:N278" si="207">+C277*75%</f>
        <v>0</v>
      </c>
      <c r="D278" s="218">
        <f t="shared" si="207"/>
        <v>0</v>
      </c>
      <c r="E278" s="218">
        <f t="shared" si="207"/>
        <v>0</v>
      </c>
      <c r="F278" s="218">
        <f t="shared" si="207"/>
        <v>0</v>
      </c>
      <c r="G278" s="218">
        <f t="shared" si="207"/>
        <v>0</v>
      </c>
      <c r="H278" s="218">
        <f t="shared" si="207"/>
        <v>0</v>
      </c>
      <c r="I278" s="218">
        <f t="shared" si="207"/>
        <v>0</v>
      </c>
      <c r="J278" s="218">
        <f t="shared" si="207"/>
        <v>0</v>
      </c>
      <c r="K278" s="218">
        <f t="shared" si="207"/>
        <v>0</v>
      </c>
      <c r="L278" s="218">
        <f t="shared" si="207"/>
        <v>0</v>
      </c>
      <c r="M278" s="218">
        <f t="shared" si="207"/>
        <v>0</v>
      </c>
      <c r="N278" s="218">
        <f t="shared" si="207"/>
        <v>0</v>
      </c>
      <c r="O278" s="140">
        <f t="shared" si="161"/>
        <v>0</v>
      </c>
      <c r="P278" s="86">
        <v>0</v>
      </c>
      <c r="Q278" s="108">
        <f t="shared" si="202"/>
        <v>0</v>
      </c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86"/>
      <c r="AT278" s="86"/>
      <c r="AU278" s="86"/>
      <c r="AV278" s="86"/>
      <c r="AW278" s="86"/>
      <c r="AX278" s="86"/>
      <c r="AY278" s="86"/>
      <c r="AZ278" s="86"/>
      <c r="BA278" s="86"/>
      <c r="BB278" s="86"/>
      <c r="BC278" s="86"/>
      <c r="BD278" s="86"/>
      <c r="BE278" s="86"/>
      <c r="BF278" s="86"/>
      <c r="BG278" s="86"/>
      <c r="BH278" s="86"/>
      <c r="BI278" s="86"/>
      <c r="BJ278" s="86"/>
      <c r="BK278" s="86"/>
      <c r="BL278" s="86"/>
      <c r="BM278" s="86"/>
      <c r="BN278" s="86"/>
      <c r="BO278" s="86"/>
      <c r="BP278" s="86"/>
      <c r="BQ278" s="86"/>
      <c r="BR278" s="86"/>
      <c r="BS278" s="86"/>
      <c r="BT278" s="86"/>
      <c r="BU278" s="86"/>
      <c r="BV278" s="86"/>
    </row>
    <row r="279" spans="1:74" s="87" customFormat="1" ht="28.5" x14ac:dyDescent="0.2">
      <c r="A279" s="76" t="s">
        <v>741</v>
      </c>
      <c r="B279" s="77" t="s">
        <v>98</v>
      </c>
      <c r="C279" s="218">
        <f t="shared" ref="C279:N279" si="208">+C277*12%</f>
        <v>0</v>
      </c>
      <c r="D279" s="218">
        <f t="shared" si="208"/>
        <v>0</v>
      </c>
      <c r="E279" s="218">
        <f t="shared" si="208"/>
        <v>0</v>
      </c>
      <c r="F279" s="218">
        <f t="shared" si="208"/>
        <v>0</v>
      </c>
      <c r="G279" s="218">
        <f t="shared" si="208"/>
        <v>0</v>
      </c>
      <c r="H279" s="218">
        <f t="shared" si="208"/>
        <v>0</v>
      </c>
      <c r="I279" s="218">
        <f t="shared" si="208"/>
        <v>0</v>
      </c>
      <c r="J279" s="218">
        <f t="shared" si="208"/>
        <v>0</v>
      </c>
      <c r="K279" s="218">
        <f t="shared" si="208"/>
        <v>0</v>
      </c>
      <c r="L279" s="218">
        <f t="shared" si="208"/>
        <v>0</v>
      </c>
      <c r="M279" s="218">
        <f t="shared" si="208"/>
        <v>0</v>
      </c>
      <c r="N279" s="218">
        <f t="shared" si="208"/>
        <v>0</v>
      </c>
      <c r="O279" s="140">
        <f t="shared" si="161"/>
        <v>0</v>
      </c>
      <c r="P279" s="86">
        <v>0</v>
      </c>
      <c r="Q279" s="108">
        <f t="shared" si="202"/>
        <v>0</v>
      </c>
      <c r="R279" s="86"/>
      <c r="S279" s="86"/>
      <c r="T279" s="86"/>
      <c r="U279" s="86"/>
      <c r="V279" s="86"/>
      <c r="W279" s="86"/>
      <c r="X279" s="86"/>
      <c r="Y279" s="86"/>
      <c r="Z279" s="86"/>
      <c r="AA279" s="86"/>
      <c r="AB279" s="86"/>
      <c r="AC279" s="86"/>
      <c r="AD279" s="86"/>
      <c r="AE279" s="86"/>
      <c r="AF279" s="86"/>
      <c r="AG279" s="86"/>
      <c r="AH279" s="86"/>
      <c r="AI279" s="86"/>
      <c r="AJ279" s="86"/>
      <c r="AK279" s="86"/>
      <c r="AL279" s="86"/>
      <c r="AM279" s="86"/>
      <c r="AN279" s="86"/>
      <c r="AO279" s="86"/>
      <c r="AP279" s="86"/>
      <c r="AQ279" s="86"/>
      <c r="AR279" s="86"/>
      <c r="AS279" s="86"/>
      <c r="AT279" s="86"/>
      <c r="AU279" s="86"/>
      <c r="AV279" s="86"/>
      <c r="AW279" s="86"/>
      <c r="AX279" s="86"/>
      <c r="AY279" s="86"/>
      <c r="AZ279" s="86"/>
      <c r="BA279" s="86"/>
      <c r="BB279" s="86"/>
      <c r="BC279" s="86"/>
      <c r="BD279" s="86"/>
      <c r="BE279" s="86"/>
      <c r="BF279" s="86"/>
      <c r="BG279" s="86"/>
      <c r="BH279" s="86"/>
      <c r="BI279" s="86"/>
      <c r="BJ279" s="86"/>
      <c r="BK279" s="86"/>
      <c r="BL279" s="86"/>
      <c r="BM279" s="86"/>
      <c r="BN279" s="86"/>
      <c r="BO279" s="86"/>
      <c r="BP279" s="86"/>
      <c r="BQ279" s="86"/>
      <c r="BR279" s="86"/>
      <c r="BS279" s="86"/>
      <c r="BT279" s="86"/>
      <c r="BU279" s="86"/>
      <c r="BV279" s="86"/>
    </row>
    <row r="280" spans="1:74" s="87" customFormat="1" ht="28.5" x14ac:dyDescent="0.2">
      <c r="A280" s="76" t="s">
        <v>742</v>
      </c>
      <c r="B280" s="77" t="s">
        <v>99</v>
      </c>
      <c r="C280" s="218">
        <f t="shared" ref="C280:N280" si="209">+C277*8%</f>
        <v>0</v>
      </c>
      <c r="D280" s="218">
        <f t="shared" si="209"/>
        <v>0</v>
      </c>
      <c r="E280" s="218">
        <f t="shared" si="209"/>
        <v>0</v>
      </c>
      <c r="F280" s="218">
        <f t="shared" si="209"/>
        <v>0</v>
      </c>
      <c r="G280" s="218">
        <f t="shared" si="209"/>
        <v>0</v>
      </c>
      <c r="H280" s="218">
        <f t="shared" si="209"/>
        <v>0</v>
      </c>
      <c r="I280" s="218">
        <f t="shared" si="209"/>
        <v>0</v>
      </c>
      <c r="J280" s="218">
        <f t="shared" si="209"/>
        <v>0</v>
      </c>
      <c r="K280" s="218">
        <f t="shared" si="209"/>
        <v>0</v>
      </c>
      <c r="L280" s="218">
        <f t="shared" si="209"/>
        <v>0</v>
      </c>
      <c r="M280" s="218">
        <f t="shared" si="209"/>
        <v>0</v>
      </c>
      <c r="N280" s="218">
        <f t="shared" si="209"/>
        <v>0</v>
      </c>
      <c r="O280" s="140">
        <f t="shared" si="161"/>
        <v>0</v>
      </c>
      <c r="P280" s="86">
        <v>0</v>
      </c>
      <c r="Q280" s="108">
        <f t="shared" si="202"/>
        <v>0</v>
      </c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86"/>
      <c r="AT280" s="86"/>
      <c r="AU280" s="86"/>
      <c r="AV280" s="86"/>
      <c r="AW280" s="86"/>
      <c r="AX280" s="86"/>
      <c r="AY280" s="86"/>
      <c r="AZ280" s="86"/>
      <c r="BA280" s="86"/>
      <c r="BB280" s="86"/>
      <c r="BC280" s="86"/>
      <c r="BD280" s="86"/>
      <c r="BE280" s="86"/>
      <c r="BF280" s="86"/>
      <c r="BG280" s="86"/>
      <c r="BH280" s="86"/>
      <c r="BI280" s="86"/>
      <c r="BJ280" s="86"/>
      <c r="BK280" s="86"/>
      <c r="BL280" s="86"/>
      <c r="BM280" s="86"/>
      <c r="BN280" s="86"/>
      <c r="BO280" s="86"/>
      <c r="BP280" s="86"/>
      <c r="BQ280" s="86"/>
      <c r="BR280" s="86"/>
      <c r="BS280" s="86"/>
      <c r="BT280" s="86"/>
      <c r="BU280" s="86"/>
      <c r="BV280" s="86"/>
    </row>
    <row r="281" spans="1:74" s="87" customFormat="1" ht="28.5" x14ac:dyDescent="0.2">
      <c r="A281" s="76" t="s">
        <v>743</v>
      </c>
      <c r="B281" s="77" t="s">
        <v>100</v>
      </c>
      <c r="C281" s="218">
        <f t="shared" ref="C281:N281" si="210">+C277*3%</f>
        <v>0</v>
      </c>
      <c r="D281" s="218">
        <f t="shared" si="210"/>
        <v>0</v>
      </c>
      <c r="E281" s="218">
        <f t="shared" si="210"/>
        <v>0</v>
      </c>
      <c r="F281" s="218">
        <f t="shared" si="210"/>
        <v>0</v>
      </c>
      <c r="G281" s="218">
        <f t="shared" si="210"/>
        <v>0</v>
      </c>
      <c r="H281" s="218">
        <f t="shared" si="210"/>
        <v>0</v>
      </c>
      <c r="I281" s="218">
        <f t="shared" si="210"/>
        <v>0</v>
      </c>
      <c r="J281" s="218">
        <f t="shared" si="210"/>
        <v>0</v>
      </c>
      <c r="K281" s="218">
        <f t="shared" si="210"/>
        <v>0</v>
      </c>
      <c r="L281" s="218">
        <f t="shared" si="210"/>
        <v>0</v>
      </c>
      <c r="M281" s="218">
        <f t="shared" si="210"/>
        <v>0</v>
      </c>
      <c r="N281" s="218">
        <f t="shared" si="210"/>
        <v>0</v>
      </c>
      <c r="O281" s="140">
        <f t="shared" si="161"/>
        <v>0</v>
      </c>
      <c r="P281" s="86">
        <v>0</v>
      </c>
      <c r="Q281" s="108">
        <f t="shared" si="202"/>
        <v>0</v>
      </c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86"/>
      <c r="BI281" s="86"/>
      <c r="BJ281" s="86"/>
      <c r="BK281" s="86"/>
      <c r="BL281" s="86"/>
      <c r="BM281" s="86"/>
      <c r="BN281" s="86"/>
      <c r="BO281" s="86"/>
      <c r="BP281" s="86"/>
      <c r="BQ281" s="86"/>
      <c r="BR281" s="86"/>
      <c r="BS281" s="86"/>
      <c r="BT281" s="86"/>
      <c r="BU281" s="86"/>
      <c r="BV281" s="86"/>
    </row>
    <row r="282" spans="1:74" s="87" customFormat="1" ht="28.5" x14ac:dyDescent="0.2">
      <c r="A282" s="76" t="s">
        <v>744</v>
      </c>
      <c r="B282" s="77" t="s">
        <v>101</v>
      </c>
      <c r="C282" s="218">
        <f t="shared" ref="C282:N282" si="211">+C277*2%</f>
        <v>0</v>
      </c>
      <c r="D282" s="218">
        <f t="shared" si="211"/>
        <v>0</v>
      </c>
      <c r="E282" s="218">
        <f t="shared" si="211"/>
        <v>0</v>
      </c>
      <c r="F282" s="218">
        <f t="shared" si="211"/>
        <v>0</v>
      </c>
      <c r="G282" s="218">
        <f t="shared" si="211"/>
        <v>0</v>
      </c>
      <c r="H282" s="218">
        <f t="shared" si="211"/>
        <v>0</v>
      </c>
      <c r="I282" s="218">
        <f t="shared" si="211"/>
        <v>0</v>
      </c>
      <c r="J282" s="218">
        <f t="shared" si="211"/>
        <v>0</v>
      </c>
      <c r="K282" s="218">
        <f t="shared" si="211"/>
        <v>0</v>
      </c>
      <c r="L282" s="218">
        <f t="shared" si="211"/>
        <v>0</v>
      </c>
      <c r="M282" s="218">
        <f t="shared" si="211"/>
        <v>0</v>
      </c>
      <c r="N282" s="218">
        <f t="shared" si="211"/>
        <v>0</v>
      </c>
      <c r="O282" s="140">
        <f t="shared" si="161"/>
        <v>0</v>
      </c>
      <c r="P282" s="86">
        <v>0</v>
      </c>
      <c r="Q282" s="108">
        <f t="shared" si="202"/>
        <v>0</v>
      </c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86"/>
      <c r="AT282" s="86"/>
      <c r="AU282" s="86"/>
      <c r="AV282" s="86"/>
      <c r="AW282" s="86"/>
      <c r="AX282" s="86"/>
      <c r="AY282" s="86"/>
      <c r="AZ282" s="86"/>
      <c r="BA282" s="86"/>
      <c r="BB282" s="86"/>
      <c r="BC282" s="86"/>
      <c r="BD282" s="86"/>
      <c r="BE282" s="86"/>
      <c r="BF282" s="86"/>
      <c r="BG282" s="86"/>
      <c r="BH282" s="86"/>
      <c r="BI282" s="86"/>
      <c r="BJ282" s="86"/>
      <c r="BK282" s="86"/>
      <c r="BL282" s="86"/>
      <c r="BM282" s="86"/>
      <c r="BN282" s="86"/>
      <c r="BO282" s="86"/>
      <c r="BP282" s="86"/>
      <c r="BQ282" s="86"/>
      <c r="BR282" s="86"/>
      <c r="BS282" s="86"/>
      <c r="BT282" s="86"/>
      <c r="BU282" s="86"/>
      <c r="BV282" s="86"/>
    </row>
    <row r="283" spans="1:74" s="87" customFormat="1" ht="31.5" x14ac:dyDescent="0.2">
      <c r="A283" s="81" t="s">
        <v>745</v>
      </c>
      <c r="B283" s="79" t="s">
        <v>746</v>
      </c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140">
        <f t="shared" si="161"/>
        <v>0</v>
      </c>
      <c r="P283" s="86">
        <v>0</v>
      </c>
      <c r="Q283" s="108">
        <f t="shared" si="202"/>
        <v>0</v>
      </c>
      <c r="R283" s="86"/>
      <c r="S283" s="86"/>
      <c r="T283" s="86"/>
      <c r="U283" s="86"/>
      <c r="V283" s="86"/>
      <c r="W283" s="86"/>
      <c r="X283" s="86"/>
      <c r="Y283" s="86"/>
      <c r="Z283" s="86"/>
      <c r="AA283" s="86"/>
      <c r="AB283" s="86"/>
      <c r="AC283" s="86"/>
      <c r="AD283" s="86"/>
      <c r="AE283" s="86"/>
      <c r="AF283" s="86"/>
      <c r="AG283" s="86"/>
      <c r="AH283" s="86"/>
      <c r="AI283" s="86"/>
      <c r="AJ283" s="86"/>
      <c r="AK283" s="86"/>
      <c r="AL283" s="86"/>
      <c r="AM283" s="86"/>
      <c r="AN283" s="86"/>
      <c r="AO283" s="86"/>
      <c r="AP283" s="86"/>
      <c r="AQ283" s="86"/>
      <c r="AR283" s="86"/>
      <c r="AS283" s="86"/>
      <c r="AT283" s="86"/>
      <c r="AU283" s="86"/>
      <c r="AV283" s="86"/>
      <c r="AW283" s="86"/>
      <c r="AX283" s="86"/>
      <c r="AY283" s="86"/>
      <c r="AZ283" s="86"/>
      <c r="BA283" s="86"/>
      <c r="BB283" s="86"/>
      <c r="BC283" s="86"/>
      <c r="BD283" s="86"/>
      <c r="BE283" s="86"/>
      <c r="BF283" s="86"/>
      <c r="BG283" s="86"/>
      <c r="BH283" s="86"/>
      <c r="BI283" s="86"/>
      <c r="BJ283" s="86"/>
      <c r="BK283" s="86"/>
      <c r="BL283" s="86"/>
      <c r="BM283" s="86"/>
      <c r="BN283" s="86"/>
      <c r="BO283" s="86"/>
      <c r="BP283" s="86"/>
      <c r="BQ283" s="86"/>
      <c r="BR283" s="86"/>
      <c r="BS283" s="86"/>
      <c r="BT283" s="86"/>
      <c r="BU283" s="86"/>
      <c r="BV283" s="86"/>
    </row>
    <row r="284" spans="1:74" s="87" customFormat="1" ht="28.5" x14ac:dyDescent="0.2">
      <c r="A284" s="76" t="s">
        <v>747</v>
      </c>
      <c r="B284" s="77" t="s">
        <v>102</v>
      </c>
      <c r="C284" s="128">
        <f t="shared" ref="C284:N284" si="212">+C283</f>
        <v>0</v>
      </c>
      <c r="D284" s="128">
        <f t="shared" si="212"/>
        <v>0</v>
      </c>
      <c r="E284" s="128">
        <f t="shared" si="212"/>
        <v>0</v>
      </c>
      <c r="F284" s="128">
        <f t="shared" si="212"/>
        <v>0</v>
      </c>
      <c r="G284" s="128">
        <f t="shared" si="212"/>
        <v>0</v>
      </c>
      <c r="H284" s="128">
        <f t="shared" si="212"/>
        <v>0</v>
      </c>
      <c r="I284" s="128">
        <f t="shared" si="212"/>
        <v>0</v>
      </c>
      <c r="J284" s="128">
        <f t="shared" si="212"/>
        <v>0</v>
      </c>
      <c r="K284" s="128">
        <f t="shared" si="212"/>
        <v>0</v>
      </c>
      <c r="L284" s="128">
        <f t="shared" si="212"/>
        <v>0</v>
      </c>
      <c r="M284" s="128">
        <f t="shared" si="212"/>
        <v>0</v>
      </c>
      <c r="N284" s="128">
        <f t="shared" si="212"/>
        <v>0</v>
      </c>
      <c r="O284" s="140">
        <f t="shared" si="161"/>
        <v>0</v>
      </c>
      <c r="P284" s="86">
        <v>0</v>
      </c>
      <c r="Q284" s="108">
        <f t="shared" si="202"/>
        <v>0</v>
      </c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86"/>
      <c r="AT284" s="86"/>
      <c r="AU284" s="86"/>
      <c r="AV284" s="86"/>
      <c r="AW284" s="86"/>
      <c r="AX284" s="86"/>
      <c r="AY284" s="86"/>
      <c r="AZ284" s="86"/>
      <c r="BA284" s="86"/>
      <c r="BB284" s="86"/>
      <c r="BC284" s="86"/>
      <c r="BD284" s="86"/>
      <c r="BE284" s="86"/>
      <c r="BF284" s="86"/>
      <c r="BG284" s="86"/>
      <c r="BH284" s="86"/>
      <c r="BI284" s="86"/>
      <c r="BJ284" s="86"/>
      <c r="BK284" s="86"/>
      <c r="BL284" s="86"/>
      <c r="BM284" s="86"/>
      <c r="BN284" s="86"/>
      <c r="BO284" s="86"/>
      <c r="BP284" s="86"/>
      <c r="BQ284" s="86"/>
      <c r="BR284" s="86"/>
      <c r="BS284" s="86"/>
      <c r="BT284" s="86"/>
      <c r="BU284" s="86"/>
      <c r="BV284" s="86"/>
    </row>
    <row r="285" spans="1:74" s="87" customFormat="1" ht="15.75" x14ac:dyDescent="0.2">
      <c r="A285" s="81" t="s">
        <v>748</v>
      </c>
      <c r="B285" s="79" t="s">
        <v>749</v>
      </c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140">
        <f t="shared" si="161"/>
        <v>0</v>
      </c>
      <c r="P285" s="86">
        <v>0</v>
      </c>
      <c r="Q285" s="108">
        <f t="shared" si="202"/>
        <v>0</v>
      </c>
      <c r="R285" s="86"/>
      <c r="S285" s="86"/>
      <c r="T285" s="86"/>
      <c r="U285" s="86"/>
      <c r="V285" s="86"/>
      <c r="W285" s="86"/>
      <c r="X285" s="86"/>
      <c r="Y285" s="86"/>
      <c r="Z285" s="86"/>
      <c r="AA285" s="86"/>
      <c r="AB285" s="86"/>
      <c r="AC285" s="86"/>
      <c r="AD285" s="86"/>
      <c r="AE285" s="86"/>
      <c r="AF285" s="86"/>
      <c r="AG285" s="86"/>
      <c r="AH285" s="86"/>
      <c r="AI285" s="86"/>
      <c r="AJ285" s="86"/>
      <c r="AK285" s="86"/>
      <c r="AL285" s="86"/>
      <c r="AM285" s="86"/>
      <c r="AN285" s="86"/>
      <c r="AO285" s="86"/>
      <c r="AP285" s="86"/>
      <c r="AQ285" s="86"/>
      <c r="AR285" s="86"/>
      <c r="AS285" s="86"/>
      <c r="AT285" s="86"/>
      <c r="AU285" s="86"/>
      <c r="AV285" s="86"/>
      <c r="AW285" s="86"/>
      <c r="AX285" s="86"/>
      <c r="AY285" s="86"/>
      <c r="AZ285" s="86"/>
      <c r="BA285" s="86"/>
      <c r="BB285" s="86"/>
      <c r="BC285" s="86"/>
      <c r="BD285" s="86"/>
      <c r="BE285" s="86"/>
      <c r="BF285" s="86"/>
      <c r="BG285" s="86"/>
      <c r="BH285" s="86"/>
      <c r="BI285" s="86"/>
      <c r="BJ285" s="86"/>
      <c r="BK285" s="86"/>
      <c r="BL285" s="86"/>
      <c r="BM285" s="86"/>
      <c r="BN285" s="86"/>
      <c r="BO285" s="86"/>
      <c r="BP285" s="86"/>
      <c r="BQ285" s="86"/>
      <c r="BR285" s="86"/>
      <c r="BS285" s="86"/>
      <c r="BT285" s="86"/>
      <c r="BU285" s="86"/>
      <c r="BV285" s="86"/>
    </row>
    <row r="286" spans="1:74" s="87" customFormat="1" ht="28.5" x14ac:dyDescent="0.2">
      <c r="A286" s="76" t="s">
        <v>750</v>
      </c>
      <c r="B286" s="77" t="s">
        <v>238</v>
      </c>
      <c r="C286" s="218">
        <f t="shared" ref="C286:N286" si="213">+C285*80%</f>
        <v>0</v>
      </c>
      <c r="D286" s="218">
        <f t="shared" si="213"/>
        <v>0</v>
      </c>
      <c r="E286" s="218">
        <f t="shared" si="213"/>
        <v>0</v>
      </c>
      <c r="F286" s="218">
        <f t="shared" si="213"/>
        <v>0</v>
      </c>
      <c r="G286" s="218">
        <f t="shared" si="213"/>
        <v>0</v>
      </c>
      <c r="H286" s="218">
        <f t="shared" si="213"/>
        <v>0</v>
      </c>
      <c r="I286" s="218">
        <f t="shared" si="213"/>
        <v>0</v>
      </c>
      <c r="J286" s="218">
        <f t="shared" si="213"/>
        <v>0</v>
      </c>
      <c r="K286" s="218">
        <f t="shared" si="213"/>
        <v>0</v>
      </c>
      <c r="L286" s="218">
        <f t="shared" si="213"/>
        <v>0</v>
      </c>
      <c r="M286" s="218">
        <f t="shared" si="213"/>
        <v>0</v>
      </c>
      <c r="N286" s="218">
        <f t="shared" si="213"/>
        <v>0</v>
      </c>
      <c r="O286" s="140">
        <f t="shared" ref="O286:O288" si="214">SUM(C286:N286)</f>
        <v>0</v>
      </c>
      <c r="P286" s="86">
        <v>0</v>
      </c>
      <c r="Q286" s="108">
        <f t="shared" si="202"/>
        <v>0</v>
      </c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86"/>
      <c r="AT286" s="86"/>
      <c r="AU286" s="86"/>
      <c r="AV286" s="86"/>
      <c r="AW286" s="86"/>
      <c r="AX286" s="86"/>
      <c r="AY286" s="86"/>
      <c r="AZ286" s="86"/>
      <c r="BA286" s="86"/>
      <c r="BB286" s="86"/>
      <c r="BC286" s="86"/>
      <c r="BD286" s="86"/>
      <c r="BE286" s="86"/>
      <c r="BF286" s="86"/>
      <c r="BG286" s="86"/>
      <c r="BH286" s="86"/>
      <c r="BI286" s="86"/>
      <c r="BJ286" s="86"/>
      <c r="BK286" s="86"/>
      <c r="BL286" s="86"/>
      <c r="BM286" s="86"/>
      <c r="BN286" s="86"/>
      <c r="BO286" s="86"/>
      <c r="BP286" s="86"/>
      <c r="BQ286" s="86"/>
      <c r="BR286" s="86"/>
      <c r="BS286" s="86"/>
      <c r="BT286" s="86"/>
      <c r="BU286" s="86"/>
      <c r="BV286" s="86"/>
    </row>
    <row r="287" spans="1:74" s="87" customFormat="1" ht="28.5" x14ac:dyDescent="0.2">
      <c r="A287" s="76" t="s">
        <v>751</v>
      </c>
      <c r="B287" s="77" t="s">
        <v>752</v>
      </c>
      <c r="C287" s="218">
        <f t="shared" ref="C287:N287" si="215">+C285*20%</f>
        <v>0</v>
      </c>
      <c r="D287" s="218">
        <f t="shared" si="215"/>
        <v>0</v>
      </c>
      <c r="E287" s="218">
        <f t="shared" si="215"/>
        <v>0</v>
      </c>
      <c r="F287" s="218">
        <f t="shared" si="215"/>
        <v>0</v>
      </c>
      <c r="G287" s="218">
        <f t="shared" si="215"/>
        <v>0</v>
      </c>
      <c r="H287" s="218">
        <f t="shared" si="215"/>
        <v>0</v>
      </c>
      <c r="I287" s="218">
        <f t="shared" si="215"/>
        <v>0</v>
      </c>
      <c r="J287" s="218">
        <f t="shared" si="215"/>
        <v>0</v>
      </c>
      <c r="K287" s="218">
        <f t="shared" si="215"/>
        <v>0</v>
      </c>
      <c r="L287" s="218">
        <f t="shared" si="215"/>
        <v>0</v>
      </c>
      <c r="M287" s="218">
        <f t="shared" si="215"/>
        <v>0</v>
      </c>
      <c r="N287" s="218">
        <f t="shared" si="215"/>
        <v>0</v>
      </c>
      <c r="O287" s="140">
        <f t="shared" si="214"/>
        <v>0</v>
      </c>
      <c r="P287" s="86">
        <v>0</v>
      </c>
      <c r="Q287" s="108">
        <f t="shared" si="202"/>
        <v>0</v>
      </c>
      <c r="R287" s="86"/>
      <c r="S287" s="86"/>
      <c r="T287" s="86"/>
      <c r="U287" s="86"/>
      <c r="V287" s="86"/>
      <c r="W287" s="86"/>
      <c r="X287" s="86"/>
      <c r="Y287" s="86"/>
      <c r="Z287" s="86"/>
      <c r="AA287" s="86"/>
      <c r="AB287" s="86"/>
      <c r="AC287" s="86"/>
      <c r="AD287" s="86"/>
      <c r="AE287" s="86"/>
      <c r="AF287" s="86"/>
      <c r="AG287" s="86"/>
      <c r="AH287" s="86"/>
      <c r="AI287" s="86"/>
      <c r="AJ287" s="86"/>
      <c r="AK287" s="86"/>
      <c r="AL287" s="86"/>
      <c r="AM287" s="86"/>
      <c r="AN287" s="86"/>
      <c r="AO287" s="86"/>
      <c r="AP287" s="86"/>
      <c r="AQ287" s="86"/>
      <c r="AR287" s="86"/>
      <c r="AS287" s="86"/>
      <c r="AT287" s="86"/>
      <c r="AU287" s="86"/>
      <c r="AV287" s="86"/>
      <c r="AW287" s="86"/>
      <c r="AX287" s="86"/>
      <c r="AY287" s="86"/>
      <c r="AZ287" s="86"/>
      <c r="BA287" s="86"/>
      <c r="BB287" s="86"/>
      <c r="BC287" s="86"/>
      <c r="BD287" s="86"/>
      <c r="BE287" s="86"/>
      <c r="BF287" s="86"/>
      <c r="BG287" s="86"/>
      <c r="BH287" s="86"/>
      <c r="BI287" s="86"/>
      <c r="BJ287" s="86"/>
      <c r="BK287" s="86"/>
      <c r="BL287" s="86"/>
      <c r="BM287" s="86"/>
      <c r="BN287" s="86"/>
      <c r="BO287" s="86"/>
      <c r="BP287" s="86"/>
      <c r="BQ287" s="86"/>
      <c r="BR287" s="86"/>
      <c r="BS287" s="86"/>
      <c r="BT287" s="86"/>
      <c r="BU287" s="86"/>
      <c r="BV287" s="86"/>
    </row>
    <row r="288" spans="1:74" s="87" customFormat="1" ht="28.5" x14ac:dyDescent="0.2">
      <c r="A288" s="76" t="s">
        <v>753</v>
      </c>
      <c r="B288" s="77" t="s">
        <v>754</v>
      </c>
      <c r="C288" s="128"/>
      <c r="D288" s="128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40">
        <f t="shared" si="214"/>
        <v>0</v>
      </c>
      <c r="P288" s="86">
        <v>0</v>
      </c>
      <c r="Q288" s="108">
        <f t="shared" si="202"/>
        <v>0</v>
      </c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86"/>
      <c r="AT288" s="86"/>
      <c r="AU288" s="86"/>
      <c r="AV288" s="86"/>
      <c r="AW288" s="86"/>
      <c r="AX288" s="86"/>
      <c r="AY288" s="86"/>
      <c r="AZ288" s="86"/>
      <c r="BA288" s="86"/>
      <c r="BB288" s="86"/>
      <c r="BC288" s="86"/>
      <c r="BD288" s="86"/>
      <c r="BE288" s="86"/>
      <c r="BF288" s="86"/>
      <c r="BG288" s="86"/>
      <c r="BH288" s="86"/>
      <c r="BI288" s="86"/>
      <c r="BJ288" s="86"/>
      <c r="BK288" s="86"/>
      <c r="BL288" s="86"/>
      <c r="BM288" s="86"/>
      <c r="BN288" s="86"/>
      <c r="BO288" s="86"/>
      <c r="BP288" s="86"/>
      <c r="BQ288" s="86"/>
      <c r="BR288" s="86"/>
      <c r="BS288" s="86"/>
      <c r="BT288" s="86"/>
      <c r="BU288" s="86"/>
      <c r="BV288" s="86"/>
    </row>
    <row r="289" spans="1:74" s="87" customFormat="1" ht="14.25" x14ac:dyDescent="0.2">
      <c r="A289" s="76" t="s">
        <v>755</v>
      </c>
      <c r="B289" s="77" t="s">
        <v>239</v>
      </c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40">
        <f t="shared" ref="O289" si="216">SUM(C289:N289)</f>
        <v>0</v>
      </c>
      <c r="P289" s="109">
        <v>0</v>
      </c>
      <c r="Q289" s="108">
        <f t="shared" si="202"/>
        <v>0</v>
      </c>
      <c r="R289" s="86"/>
      <c r="S289" s="86"/>
      <c r="T289" s="86"/>
      <c r="U289" s="86"/>
      <c r="V289" s="86"/>
      <c r="W289" s="86"/>
      <c r="X289" s="86"/>
      <c r="Y289" s="86"/>
      <c r="Z289" s="86"/>
      <c r="AA289" s="86"/>
      <c r="AB289" s="86"/>
      <c r="AC289" s="86"/>
      <c r="AD289" s="86"/>
      <c r="AE289" s="86"/>
      <c r="AF289" s="86"/>
      <c r="AG289" s="86"/>
      <c r="AH289" s="86"/>
      <c r="AI289" s="86"/>
      <c r="AJ289" s="86"/>
      <c r="AK289" s="86"/>
      <c r="AL289" s="86"/>
      <c r="AM289" s="86"/>
      <c r="AN289" s="86"/>
      <c r="AO289" s="86"/>
      <c r="AP289" s="86"/>
      <c r="AQ289" s="86"/>
      <c r="AR289" s="86"/>
      <c r="AS289" s="86"/>
      <c r="AT289" s="86"/>
      <c r="AU289" s="86"/>
      <c r="AV289" s="86"/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86"/>
      <c r="BI289" s="86"/>
      <c r="BJ289" s="86"/>
      <c r="BK289" s="86"/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</row>
    <row r="290" spans="1:74" s="87" customFormat="1" ht="28.5" x14ac:dyDescent="0.2">
      <c r="A290" s="76" t="s">
        <v>756</v>
      </c>
      <c r="B290" s="77" t="s">
        <v>757</v>
      </c>
      <c r="C290" s="128"/>
      <c r="D290" s="128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40">
        <f t="shared" ref="O290:O587" si="217">SUM(C290:N290)</f>
        <v>0</v>
      </c>
      <c r="P290" s="111">
        <v>0</v>
      </c>
      <c r="Q290" s="108">
        <f t="shared" si="202"/>
        <v>0</v>
      </c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86"/>
      <c r="AT290" s="86"/>
      <c r="AU290" s="86"/>
      <c r="AV290" s="86"/>
      <c r="AW290" s="86"/>
      <c r="AX290" s="86"/>
      <c r="AY290" s="86"/>
      <c r="AZ290" s="86"/>
      <c r="BA290" s="86"/>
      <c r="BB290" s="86"/>
      <c r="BC290" s="86"/>
      <c r="BD290" s="86"/>
      <c r="BE290" s="86"/>
      <c r="BF290" s="86"/>
      <c r="BG290" s="86"/>
      <c r="BH290" s="86"/>
      <c r="BI290" s="86"/>
      <c r="BJ290" s="86"/>
      <c r="BK290" s="86"/>
      <c r="BL290" s="86"/>
      <c r="BM290" s="86"/>
      <c r="BN290" s="86"/>
      <c r="BO290" s="86"/>
      <c r="BP290" s="86"/>
      <c r="BQ290" s="86"/>
      <c r="BR290" s="86"/>
      <c r="BS290" s="86"/>
      <c r="BT290" s="86"/>
      <c r="BU290" s="86"/>
      <c r="BV290" s="86"/>
    </row>
    <row r="291" spans="1:74" s="87" customFormat="1" ht="15.75" x14ac:dyDescent="0.2">
      <c r="A291" s="76" t="s">
        <v>758</v>
      </c>
      <c r="B291" s="77" t="s">
        <v>759</v>
      </c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40">
        <f t="shared" si="217"/>
        <v>0</v>
      </c>
      <c r="P291" s="111">
        <v>0</v>
      </c>
      <c r="Q291" s="108">
        <f t="shared" si="202"/>
        <v>0</v>
      </c>
      <c r="R291" s="86"/>
      <c r="S291" s="86"/>
      <c r="T291" s="86"/>
      <c r="U291" s="86"/>
      <c r="V291" s="86"/>
      <c r="W291" s="86"/>
      <c r="X291" s="86"/>
      <c r="Y291" s="86"/>
      <c r="Z291" s="86"/>
      <c r="AA291" s="86"/>
      <c r="AB291" s="86"/>
      <c r="AC291" s="86"/>
      <c r="AD291" s="86"/>
      <c r="AE291" s="86"/>
      <c r="AF291" s="86"/>
      <c r="AG291" s="86"/>
      <c r="AH291" s="86"/>
      <c r="AI291" s="86"/>
      <c r="AJ291" s="86"/>
      <c r="AK291" s="86"/>
      <c r="AL291" s="86"/>
      <c r="AM291" s="86"/>
      <c r="AN291" s="86"/>
      <c r="AO291" s="86"/>
      <c r="AP291" s="86"/>
      <c r="AQ291" s="86"/>
      <c r="AR291" s="86"/>
      <c r="AS291" s="86"/>
      <c r="AT291" s="86"/>
      <c r="AU291" s="86"/>
      <c r="AV291" s="86"/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86"/>
      <c r="BI291" s="86"/>
      <c r="BJ291" s="86"/>
      <c r="BK291" s="86"/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</row>
    <row r="292" spans="1:74" s="87" customFormat="1" ht="28.5" x14ac:dyDescent="0.2">
      <c r="A292" s="76" t="s">
        <v>760</v>
      </c>
      <c r="B292" s="77" t="s">
        <v>761</v>
      </c>
      <c r="C292" s="128"/>
      <c r="D292" s="128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40">
        <f t="shared" si="217"/>
        <v>0</v>
      </c>
      <c r="P292" s="111">
        <v>0</v>
      </c>
      <c r="Q292" s="108">
        <f t="shared" si="202"/>
        <v>0</v>
      </c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86"/>
      <c r="AT292" s="86"/>
      <c r="AU292" s="86"/>
      <c r="AV292" s="86"/>
      <c r="AW292" s="86"/>
      <c r="AX292" s="86"/>
      <c r="AY292" s="86"/>
      <c r="AZ292" s="86"/>
      <c r="BA292" s="86"/>
      <c r="BB292" s="86"/>
      <c r="BC292" s="86"/>
      <c r="BD292" s="86"/>
      <c r="BE292" s="86"/>
      <c r="BF292" s="86"/>
      <c r="BG292" s="86"/>
      <c r="BH292" s="86"/>
      <c r="BI292" s="86"/>
      <c r="BJ292" s="86"/>
      <c r="BK292" s="86"/>
      <c r="BL292" s="86"/>
      <c r="BM292" s="86"/>
      <c r="BN292" s="86"/>
      <c r="BO292" s="86"/>
      <c r="BP292" s="86"/>
      <c r="BQ292" s="86"/>
      <c r="BR292" s="86"/>
      <c r="BS292" s="86"/>
      <c r="BT292" s="86"/>
      <c r="BU292" s="86"/>
      <c r="BV292" s="86"/>
    </row>
    <row r="293" spans="1:74" s="87" customFormat="1" ht="14.25" x14ac:dyDescent="0.2">
      <c r="A293" s="76" t="s">
        <v>762</v>
      </c>
      <c r="B293" s="77" t="s">
        <v>763</v>
      </c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40">
        <f t="shared" si="217"/>
        <v>0</v>
      </c>
      <c r="P293" s="86">
        <v>0</v>
      </c>
      <c r="Q293" s="108">
        <f t="shared" si="202"/>
        <v>0</v>
      </c>
      <c r="R293" s="86"/>
      <c r="S293" s="86"/>
      <c r="T293" s="86"/>
      <c r="U293" s="86"/>
      <c r="V293" s="86"/>
      <c r="W293" s="86"/>
      <c r="X293" s="86"/>
      <c r="Y293" s="86"/>
      <c r="Z293" s="86"/>
      <c r="AA293" s="86"/>
      <c r="AB293" s="86"/>
      <c r="AC293" s="86"/>
      <c r="AD293" s="86"/>
      <c r="AE293" s="86"/>
      <c r="AF293" s="86"/>
      <c r="AG293" s="86"/>
      <c r="AH293" s="86"/>
      <c r="AI293" s="86"/>
      <c r="AJ293" s="86"/>
      <c r="AK293" s="86"/>
      <c r="AL293" s="86"/>
      <c r="AM293" s="86"/>
      <c r="AN293" s="86"/>
      <c r="AO293" s="86"/>
      <c r="AP293" s="86"/>
      <c r="AQ293" s="86"/>
      <c r="AR293" s="86"/>
      <c r="AS293" s="86"/>
      <c r="AT293" s="86"/>
      <c r="AU293" s="86"/>
      <c r="AV293" s="86"/>
      <c r="AW293" s="86"/>
      <c r="AX293" s="86"/>
      <c r="AY293" s="86"/>
      <c r="AZ293" s="86"/>
      <c r="BA293" s="86"/>
      <c r="BB293" s="86"/>
      <c r="BC293" s="86"/>
      <c r="BD293" s="86"/>
      <c r="BE293" s="86"/>
      <c r="BF293" s="86"/>
      <c r="BG293" s="86"/>
      <c r="BH293" s="86"/>
      <c r="BI293" s="86"/>
      <c r="BJ293" s="86"/>
      <c r="BK293" s="86"/>
      <c r="BL293" s="86"/>
      <c r="BM293" s="86"/>
      <c r="BN293" s="86"/>
      <c r="BO293" s="86"/>
      <c r="BP293" s="86"/>
      <c r="BQ293" s="86"/>
      <c r="BR293" s="86"/>
      <c r="BS293" s="86"/>
      <c r="BT293" s="86"/>
      <c r="BU293" s="86"/>
      <c r="BV293" s="86"/>
    </row>
    <row r="294" spans="1:74" s="87" customFormat="1" ht="14.25" x14ac:dyDescent="0.2">
      <c r="A294" s="76" t="s">
        <v>764</v>
      </c>
      <c r="B294" s="77" t="s">
        <v>765</v>
      </c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40">
        <f t="shared" si="217"/>
        <v>0</v>
      </c>
      <c r="P294" s="86">
        <v>0</v>
      </c>
      <c r="Q294" s="108">
        <f t="shared" si="202"/>
        <v>0</v>
      </c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86"/>
      <c r="AT294" s="86"/>
      <c r="AU294" s="86"/>
      <c r="AV294" s="86"/>
      <c r="AW294" s="86"/>
      <c r="AX294" s="86"/>
      <c r="AY294" s="86"/>
      <c r="AZ294" s="86"/>
      <c r="BA294" s="86"/>
      <c r="BB294" s="86"/>
      <c r="BC294" s="86"/>
      <c r="BD294" s="86"/>
      <c r="BE294" s="86"/>
      <c r="BF294" s="86"/>
      <c r="BG294" s="86"/>
      <c r="BH294" s="86"/>
      <c r="BI294" s="86"/>
      <c r="BJ294" s="86"/>
      <c r="BK294" s="86"/>
      <c r="BL294" s="86"/>
      <c r="BM294" s="86"/>
      <c r="BN294" s="86"/>
      <c r="BO294" s="86"/>
      <c r="BP294" s="86"/>
      <c r="BQ294" s="86"/>
      <c r="BR294" s="86"/>
      <c r="BS294" s="86"/>
      <c r="BT294" s="86"/>
      <c r="BU294" s="86"/>
      <c r="BV294" s="86"/>
    </row>
    <row r="295" spans="1:74" s="87" customFormat="1" ht="14.25" x14ac:dyDescent="0.2">
      <c r="A295" s="76" t="s">
        <v>766</v>
      </c>
      <c r="B295" s="77" t="s">
        <v>767</v>
      </c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40">
        <f t="shared" si="217"/>
        <v>0</v>
      </c>
      <c r="P295" s="86">
        <v>0</v>
      </c>
      <c r="Q295" s="108">
        <f t="shared" si="202"/>
        <v>0</v>
      </c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  <c r="AL295" s="86"/>
      <c r="AM295" s="86"/>
      <c r="AN295" s="86"/>
      <c r="AO295" s="86"/>
      <c r="AP295" s="86"/>
      <c r="AQ295" s="86"/>
      <c r="AR295" s="86"/>
      <c r="AS295" s="86"/>
      <c r="AT295" s="86"/>
      <c r="AU295" s="86"/>
      <c r="AV295" s="86"/>
      <c r="AW295" s="86"/>
      <c r="AX295" s="86"/>
      <c r="AY295" s="86"/>
      <c r="AZ295" s="86"/>
      <c r="BA295" s="86"/>
      <c r="BB295" s="86"/>
      <c r="BC295" s="86"/>
      <c r="BD295" s="86"/>
      <c r="BE295" s="86"/>
      <c r="BF295" s="86"/>
      <c r="BG295" s="86"/>
      <c r="BH295" s="86"/>
      <c r="BI295" s="86"/>
      <c r="BJ295" s="86"/>
      <c r="BK295" s="86"/>
      <c r="BL295" s="86"/>
      <c r="BM295" s="86"/>
      <c r="BN295" s="86"/>
      <c r="BO295" s="86"/>
      <c r="BP295" s="86"/>
      <c r="BQ295" s="86"/>
      <c r="BR295" s="86"/>
      <c r="BS295" s="86"/>
      <c r="BT295" s="86"/>
      <c r="BU295" s="86"/>
      <c r="BV295" s="86"/>
    </row>
    <row r="296" spans="1:74" s="87" customFormat="1" ht="28.5" x14ac:dyDescent="0.2">
      <c r="A296" s="76" t="s">
        <v>768</v>
      </c>
      <c r="B296" s="77" t="s">
        <v>769</v>
      </c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140">
        <f t="shared" si="217"/>
        <v>0</v>
      </c>
      <c r="P296" s="86">
        <v>0</v>
      </c>
      <c r="Q296" s="108">
        <f t="shared" si="202"/>
        <v>0</v>
      </c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86"/>
      <c r="AT296" s="86"/>
      <c r="AU296" s="86"/>
      <c r="AV296" s="86"/>
      <c r="AW296" s="86"/>
      <c r="AX296" s="86"/>
      <c r="AY296" s="86"/>
      <c r="AZ296" s="86"/>
      <c r="BA296" s="86"/>
      <c r="BB296" s="86"/>
      <c r="BC296" s="86"/>
      <c r="BD296" s="86"/>
      <c r="BE296" s="86"/>
      <c r="BF296" s="86"/>
      <c r="BG296" s="86"/>
      <c r="BH296" s="86"/>
      <c r="BI296" s="86"/>
      <c r="BJ296" s="86"/>
      <c r="BK296" s="86"/>
      <c r="BL296" s="86"/>
      <c r="BM296" s="86"/>
      <c r="BN296" s="86"/>
      <c r="BO296" s="86"/>
      <c r="BP296" s="86"/>
      <c r="BQ296" s="86"/>
      <c r="BR296" s="86"/>
      <c r="BS296" s="86"/>
      <c r="BT296" s="86"/>
      <c r="BU296" s="86"/>
      <c r="BV296" s="86"/>
    </row>
    <row r="297" spans="1:74" s="87" customFormat="1" ht="28.5" x14ac:dyDescent="0.2">
      <c r="A297" s="76" t="s">
        <v>770</v>
      </c>
      <c r="B297" s="77" t="s">
        <v>771</v>
      </c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140">
        <f t="shared" si="217"/>
        <v>0</v>
      </c>
      <c r="P297" s="86">
        <v>0</v>
      </c>
      <c r="Q297" s="108">
        <f t="shared" si="202"/>
        <v>0</v>
      </c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  <c r="AK297" s="86"/>
      <c r="AL297" s="86"/>
      <c r="AM297" s="86"/>
      <c r="AN297" s="86"/>
      <c r="AO297" s="86"/>
      <c r="AP297" s="86"/>
      <c r="AQ297" s="86"/>
      <c r="AR297" s="86"/>
      <c r="AS297" s="86"/>
      <c r="AT297" s="86"/>
      <c r="AU297" s="86"/>
      <c r="AV297" s="86"/>
      <c r="AW297" s="86"/>
      <c r="AX297" s="86"/>
      <c r="AY297" s="86"/>
      <c r="AZ297" s="86"/>
      <c r="BA297" s="86"/>
      <c r="BB297" s="86"/>
      <c r="BC297" s="86"/>
      <c r="BD297" s="86"/>
      <c r="BE297" s="86"/>
      <c r="BF297" s="86"/>
      <c r="BG297" s="86"/>
      <c r="BH297" s="86"/>
      <c r="BI297" s="86"/>
      <c r="BJ297" s="86"/>
      <c r="BK297" s="86"/>
      <c r="BL297" s="86"/>
      <c r="BM297" s="86"/>
      <c r="BN297" s="86"/>
      <c r="BO297" s="86"/>
      <c r="BP297" s="86"/>
      <c r="BQ297" s="86"/>
      <c r="BR297" s="86"/>
      <c r="BS297" s="86"/>
      <c r="BT297" s="86"/>
      <c r="BU297" s="86"/>
      <c r="BV297" s="86"/>
    </row>
    <row r="298" spans="1:74" s="87" customFormat="1" ht="14.25" x14ac:dyDescent="0.2">
      <c r="A298" s="76" t="s">
        <v>772</v>
      </c>
      <c r="B298" s="77" t="s">
        <v>773</v>
      </c>
      <c r="C298" s="128"/>
      <c r="D298" s="128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40">
        <f t="shared" si="217"/>
        <v>0</v>
      </c>
      <c r="P298" s="86">
        <v>0</v>
      </c>
      <c r="Q298" s="108">
        <f t="shared" si="202"/>
        <v>0</v>
      </c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86"/>
      <c r="AT298" s="86"/>
      <c r="AU298" s="86"/>
      <c r="AV298" s="86"/>
      <c r="AW298" s="86"/>
      <c r="AX298" s="86"/>
      <c r="AY298" s="86"/>
      <c r="AZ298" s="86"/>
      <c r="BA298" s="86"/>
      <c r="BB298" s="86"/>
      <c r="BC298" s="86"/>
      <c r="BD298" s="86"/>
      <c r="BE298" s="86"/>
      <c r="BF298" s="86"/>
      <c r="BG298" s="86"/>
      <c r="BH298" s="86"/>
      <c r="BI298" s="86"/>
      <c r="BJ298" s="86"/>
      <c r="BK298" s="86"/>
      <c r="BL298" s="86"/>
      <c r="BM298" s="86"/>
      <c r="BN298" s="86"/>
      <c r="BO298" s="86"/>
      <c r="BP298" s="86"/>
      <c r="BQ298" s="86"/>
      <c r="BR298" s="86"/>
      <c r="BS298" s="86"/>
      <c r="BT298" s="86"/>
      <c r="BU298" s="86"/>
      <c r="BV298" s="86"/>
    </row>
    <row r="299" spans="1:74" s="87" customFormat="1" ht="28.5" x14ac:dyDescent="0.2">
      <c r="A299" s="76" t="s">
        <v>774</v>
      </c>
      <c r="B299" s="77" t="s">
        <v>775</v>
      </c>
      <c r="C299" s="128"/>
      <c r="D299" s="128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40">
        <f t="shared" si="217"/>
        <v>0</v>
      </c>
      <c r="P299" s="86">
        <v>0</v>
      </c>
      <c r="Q299" s="108">
        <f t="shared" si="202"/>
        <v>0</v>
      </c>
      <c r="R299" s="86"/>
      <c r="S299" s="86"/>
      <c r="T299" s="86"/>
      <c r="U299" s="86"/>
      <c r="V299" s="86"/>
      <c r="W299" s="86"/>
      <c r="X299" s="86"/>
      <c r="Y299" s="86"/>
      <c r="Z299" s="86"/>
      <c r="AA299" s="86"/>
      <c r="AB299" s="86"/>
      <c r="AC299" s="86"/>
      <c r="AD299" s="86"/>
      <c r="AE299" s="86"/>
      <c r="AF299" s="86"/>
      <c r="AG299" s="86"/>
      <c r="AH299" s="86"/>
      <c r="AI299" s="86"/>
      <c r="AJ299" s="86"/>
      <c r="AK299" s="86"/>
      <c r="AL299" s="86"/>
      <c r="AM299" s="86"/>
      <c r="AN299" s="86"/>
      <c r="AO299" s="86"/>
      <c r="AP299" s="86"/>
      <c r="AQ299" s="86"/>
      <c r="AR299" s="86"/>
      <c r="AS299" s="86"/>
      <c r="AT299" s="86"/>
      <c r="AU299" s="86"/>
      <c r="AV299" s="86"/>
      <c r="AW299" s="86"/>
      <c r="AX299" s="86"/>
      <c r="AY299" s="86"/>
      <c r="AZ299" s="86"/>
      <c r="BA299" s="86"/>
      <c r="BB299" s="86"/>
      <c r="BC299" s="86"/>
      <c r="BD299" s="86"/>
      <c r="BE299" s="86"/>
      <c r="BF299" s="86"/>
      <c r="BG299" s="86"/>
      <c r="BH299" s="86"/>
      <c r="BI299" s="86"/>
      <c r="BJ299" s="86"/>
      <c r="BK299" s="86"/>
      <c r="BL299" s="86"/>
      <c r="BM299" s="86"/>
      <c r="BN299" s="86"/>
      <c r="BO299" s="86"/>
      <c r="BP299" s="86"/>
      <c r="BQ299" s="86"/>
      <c r="BR299" s="86"/>
      <c r="BS299" s="86"/>
      <c r="BT299" s="86"/>
      <c r="BU299" s="86"/>
      <c r="BV299" s="86"/>
    </row>
    <row r="300" spans="1:74" s="87" customFormat="1" ht="28.5" x14ac:dyDescent="0.2">
      <c r="A300" s="76" t="s">
        <v>776</v>
      </c>
      <c r="B300" s="77" t="s">
        <v>777</v>
      </c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40">
        <f t="shared" si="217"/>
        <v>0</v>
      </c>
      <c r="P300" s="86">
        <v>0</v>
      </c>
      <c r="Q300" s="108">
        <f t="shared" si="202"/>
        <v>0</v>
      </c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86"/>
      <c r="AT300" s="86"/>
      <c r="AU300" s="86"/>
      <c r="AV300" s="86"/>
      <c r="AW300" s="86"/>
      <c r="AX300" s="86"/>
      <c r="AY300" s="86"/>
      <c r="AZ300" s="86"/>
      <c r="BA300" s="86"/>
      <c r="BB300" s="86"/>
      <c r="BC300" s="86"/>
      <c r="BD300" s="86"/>
      <c r="BE300" s="86"/>
      <c r="BF300" s="86"/>
      <c r="BG300" s="86"/>
      <c r="BH300" s="86"/>
      <c r="BI300" s="86"/>
      <c r="BJ300" s="86"/>
      <c r="BK300" s="86"/>
      <c r="BL300" s="86"/>
      <c r="BM300" s="86"/>
      <c r="BN300" s="86"/>
      <c r="BO300" s="86"/>
      <c r="BP300" s="86"/>
      <c r="BQ300" s="86"/>
      <c r="BR300" s="86"/>
      <c r="BS300" s="86"/>
      <c r="BT300" s="86"/>
      <c r="BU300" s="86"/>
      <c r="BV300" s="86"/>
    </row>
    <row r="301" spans="1:74" s="87" customFormat="1" ht="28.5" x14ac:dyDescent="0.2">
      <c r="A301" s="76" t="s">
        <v>778</v>
      </c>
      <c r="B301" s="77" t="s">
        <v>779</v>
      </c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140">
        <f t="shared" si="217"/>
        <v>0</v>
      </c>
      <c r="P301" s="86">
        <v>0</v>
      </c>
      <c r="Q301" s="108">
        <f t="shared" si="202"/>
        <v>0</v>
      </c>
      <c r="R301" s="86"/>
      <c r="S301" s="86"/>
      <c r="T301" s="86"/>
      <c r="U301" s="86"/>
      <c r="V301" s="86"/>
      <c r="W301" s="86"/>
      <c r="X301" s="86"/>
      <c r="Y301" s="86"/>
      <c r="Z301" s="86"/>
      <c r="AA301" s="86"/>
      <c r="AB301" s="86"/>
      <c r="AC301" s="86"/>
      <c r="AD301" s="86"/>
      <c r="AE301" s="86"/>
      <c r="AF301" s="86"/>
      <c r="AG301" s="86"/>
      <c r="AH301" s="86"/>
      <c r="AI301" s="86"/>
      <c r="AJ301" s="86"/>
      <c r="AK301" s="86"/>
      <c r="AL301" s="86"/>
      <c r="AM301" s="86"/>
      <c r="AN301" s="86"/>
      <c r="AO301" s="86"/>
      <c r="AP301" s="86"/>
      <c r="AQ301" s="86"/>
      <c r="AR301" s="86"/>
      <c r="AS301" s="86"/>
      <c r="AT301" s="86"/>
      <c r="AU301" s="86"/>
      <c r="AV301" s="86"/>
      <c r="AW301" s="86"/>
      <c r="AX301" s="86"/>
      <c r="AY301" s="86"/>
      <c r="AZ301" s="86"/>
      <c r="BA301" s="86"/>
      <c r="BB301" s="86"/>
      <c r="BC301" s="86"/>
      <c r="BD301" s="86"/>
      <c r="BE301" s="86"/>
      <c r="BF301" s="86"/>
      <c r="BG301" s="86"/>
      <c r="BH301" s="86"/>
      <c r="BI301" s="86"/>
      <c r="BJ301" s="86"/>
      <c r="BK301" s="86"/>
      <c r="BL301" s="86"/>
      <c r="BM301" s="86"/>
      <c r="BN301" s="86"/>
      <c r="BO301" s="86"/>
      <c r="BP301" s="86"/>
      <c r="BQ301" s="86"/>
      <c r="BR301" s="86"/>
      <c r="BS301" s="86"/>
      <c r="BT301" s="86"/>
      <c r="BU301" s="86"/>
      <c r="BV301" s="86"/>
    </row>
    <row r="302" spans="1:74" s="87" customFormat="1" ht="28.5" x14ac:dyDescent="0.2">
      <c r="A302" s="76" t="s">
        <v>780</v>
      </c>
      <c r="B302" s="77" t="s">
        <v>781</v>
      </c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140">
        <f t="shared" si="217"/>
        <v>0</v>
      </c>
      <c r="P302" s="86">
        <v>0</v>
      </c>
      <c r="Q302" s="108">
        <f t="shared" si="202"/>
        <v>0</v>
      </c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86"/>
      <c r="AT302" s="86"/>
      <c r="AU302" s="86"/>
      <c r="AV302" s="86"/>
      <c r="AW302" s="86"/>
      <c r="AX302" s="86"/>
      <c r="AY302" s="86"/>
      <c r="AZ302" s="86"/>
      <c r="BA302" s="86"/>
      <c r="BB302" s="86"/>
      <c r="BC302" s="86"/>
      <c r="BD302" s="86"/>
      <c r="BE302" s="86"/>
      <c r="BF302" s="86"/>
      <c r="BG302" s="86"/>
      <c r="BH302" s="86"/>
      <c r="BI302" s="86"/>
      <c r="BJ302" s="86"/>
      <c r="BK302" s="86"/>
      <c r="BL302" s="86"/>
      <c r="BM302" s="86"/>
      <c r="BN302" s="86"/>
      <c r="BO302" s="86"/>
      <c r="BP302" s="86"/>
      <c r="BQ302" s="86"/>
      <c r="BR302" s="86"/>
      <c r="BS302" s="86"/>
      <c r="BT302" s="86"/>
      <c r="BU302" s="86"/>
      <c r="BV302" s="86"/>
    </row>
    <row r="303" spans="1:74" s="87" customFormat="1" ht="28.5" x14ac:dyDescent="0.2">
      <c r="A303" s="76" t="s">
        <v>782</v>
      </c>
      <c r="B303" s="77" t="s">
        <v>783</v>
      </c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140">
        <f t="shared" si="217"/>
        <v>0</v>
      </c>
      <c r="P303" s="86">
        <v>0</v>
      </c>
      <c r="Q303" s="108">
        <f t="shared" si="202"/>
        <v>0</v>
      </c>
      <c r="R303" s="86"/>
      <c r="S303" s="86"/>
      <c r="T303" s="86"/>
      <c r="U303" s="86"/>
      <c r="V303" s="86"/>
      <c r="W303" s="86"/>
      <c r="X303" s="86"/>
      <c r="Y303" s="86"/>
      <c r="Z303" s="86"/>
      <c r="AA303" s="86"/>
      <c r="AB303" s="86"/>
      <c r="AC303" s="86"/>
      <c r="AD303" s="86"/>
      <c r="AE303" s="86"/>
      <c r="AF303" s="86"/>
      <c r="AG303" s="86"/>
      <c r="AH303" s="86"/>
      <c r="AI303" s="86"/>
      <c r="AJ303" s="86"/>
      <c r="AK303" s="86"/>
      <c r="AL303" s="86"/>
      <c r="AM303" s="86"/>
      <c r="AN303" s="86"/>
      <c r="AO303" s="86"/>
      <c r="AP303" s="86"/>
      <c r="AQ303" s="86"/>
      <c r="AR303" s="86"/>
      <c r="AS303" s="86"/>
      <c r="AT303" s="86"/>
      <c r="AU303" s="86"/>
      <c r="AV303" s="86"/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86"/>
      <c r="BI303" s="86"/>
      <c r="BJ303" s="86"/>
      <c r="BK303" s="86"/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</row>
    <row r="304" spans="1:74" s="87" customFormat="1" ht="28.5" x14ac:dyDescent="0.2">
      <c r="A304" s="76" t="s">
        <v>784</v>
      </c>
      <c r="B304" s="77" t="s">
        <v>785</v>
      </c>
      <c r="C304" s="128"/>
      <c r="D304" s="128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40">
        <f t="shared" si="217"/>
        <v>0</v>
      </c>
      <c r="P304" s="86">
        <v>0</v>
      </c>
      <c r="Q304" s="108">
        <f t="shared" si="202"/>
        <v>0</v>
      </c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86"/>
      <c r="AT304" s="86"/>
      <c r="AU304" s="86"/>
      <c r="AV304" s="86"/>
      <c r="AW304" s="86"/>
      <c r="AX304" s="86"/>
      <c r="AY304" s="86"/>
      <c r="AZ304" s="86"/>
      <c r="BA304" s="86"/>
      <c r="BB304" s="86"/>
      <c r="BC304" s="86"/>
      <c r="BD304" s="86"/>
      <c r="BE304" s="86"/>
      <c r="BF304" s="86"/>
      <c r="BG304" s="86"/>
      <c r="BH304" s="86"/>
      <c r="BI304" s="86"/>
      <c r="BJ304" s="86"/>
      <c r="BK304" s="86"/>
      <c r="BL304" s="86"/>
      <c r="BM304" s="86"/>
      <c r="BN304" s="86"/>
      <c r="BO304" s="86"/>
      <c r="BP304" s="86"/>
      <c r="BQ304" s="86"/>
      <c r="BR304" s="86"/>
      <c r="BS304" s="86"/>
      <c r="BT304" s="86"/>
      <c r="BU304" s="86"/>
      <c r="BV304" s="86"/>
    </row>
    <row r="305" spans="1:74" s="87" customFormat="1" ht="14.25" x14ac:dyDescent="0.2">
      <c r="A305" s="76" t="s">
        <v>786</v>
      </c>
      <c r="B305" s="77" t="s">
        <v>787</v>
      </c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40">
        <f t="shared" si="217"/>
        <v>0</v>
      </c>
      <c r="P305" s="86">
        <v>0</v>
      </c>
      <c r="Q305" s="108">
        <f t="shared" si="202"/>
        <v>0</v>
      </c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86"/>
      <c r="BC305" s="86"/>
      <c r="BD305" s="86"/>
      <c r="BE305" s="86"/>
      <c r="BF305" s="86"/>
      <c r="BG305" s="86"/>
      <c r="BH305" s="86"/>
      <c r="BI305" s="86"/>
      <c r="BJ305" s="86"/>
      <c r="BK305" s="86"/>
      <c r="BL305" s="86"/>
      <c r="BM305" s="86"/>
      <c r="BN305" s="86"/>
      <c r="BO305" s="86"/>
      <c r="BP305" s="86"/>
      <c r="BQ305" s="86"/>
      <c r="BR305" s="86"/>
      <c r="BS305" s="86"/>
      <c r="BT305" s="86"/>
      <c r="BU305" s="86"/>
      <c r="BV305" s="86"/>
    </row>
    <row r="306" spans="1:74" s="87" customFormat="1" ht="14.25" x14ac:dyDescent="0.2">
      <c r="A306" s="76" t="s">
        <v>788</v>
      </c>
      <c r="B306" s="77" t="s">
        <v>330</v>
      </c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140">
        <f t="shared" si="217"/>
        <v>0</v>
      </c>
      <c r="P306" s="86">
        <v>0</v>
      </c>
      <c r="Q306" s="108">
        <f t="shared" si="202"/>
        <v>0</v>
      </c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86"/>
      <c r="AT306" s="86"/>
      <c r="AU306" s="86"/>
      <c r="AV306" s="86"/>
      <c r="AW306" s="86"/>
      <c r="AX306" s="86"/>
      <c r="AY306" s="86"/>
      <c r="AZ306" s="86"/>
      <c r="BA306" s="86"/>
      <c r="BB306" s="86"/>
      <c r="BC306" s="86"/>
      <c r="BD306" s="86"/>
      <c r="BE306" s="86"/>
      <c r="BF306" s="86"/>
      <c r="BG306" s="86"/>
      <c r="BH306" s="86"/>
      <c r="BI306" s="86"/>
      <c r="BJ306" s="86"/>
      <c r="BK306" s="86"/>
      <c r="BL306" s="86"/>
      <c r="BM306" s="86"/>
      <c r="BN306" s="86"/>
      <c r="BO306" s="86"/>
      <c r="BP306" s="86"/>
      <c r="BQ306" s="86"/>
      <c r="BR306" s="86"/>
      <c r="BS306" s="86"/>
      <c r="BT306" s="86"/>
      <c r="BU306" s="86"/>
      <c r="BV306" s="86"/>
    </row>
    <row r="307" spans="1:74" s="87" customFormat="1" ht="28.5" x14ac:dyDescent="0.2">
      <c r="A307" s="76" t="s">
        <v>789</v>
      </c>
      <c r="B307" s="77" t="s">
        <v>331</v>
      </c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140">
        <f t="shared" si="217"/>
        <v>0</v>
      </c>
      <c r="P307" s="86">
        <v>0</v>
      </c>
      <c r="Q307" s="108">
        <f t="shared" si="202"/>
        <v>0</v>
      </c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86"/>
      <c r="BC307" s="86"/>
      <c r="BD307" s="86"/>
      <c r="BE307" s="86"/>
      <c r="BF307" s="86"/>
      <c r="BG307" s="86"/>
      <c r="BH307" s="86"/>
      <c r="BI307" s="86"/>
      <c r="BJ307" s="86"/>
      <c r="BK307" s="86"/>
      <c r="BL307" s="86"/>
      <c r="BM307" s="86"/>
      <c r="BN307" s="86"/>
      <c r="BO307" s="86"/>
      <c r="BP307" s="86"/>
      <c r="BQ307" s="86"/>
      <c r="BR307" s="86"/>
      <c r="BS307" s="86"/>
      <c r="BT307" s="86"/>
      <c r="BU307" s="86"/>
      <c r="BV307" s="86"/>
    </row>
    <row r="308" spans="1:74" s="87" customFormat="1" ht="28.5" x14ac:dyDescent="0.2">
      <c r="A308" s="76" t="s">
        <v>790</v>
      </c>
      <c r="B308" s="77" t="s">
        <v>332</v>
      </c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140">
        <f t="shared" si="217"/>
        <v>0</v>
      </c>
      <c r="P308" s="86">
        <v>0</v>
      </c>
      <c r="Q308" s="108">
        <f t="shared" si="202"/>
        <v>0</v>
      </c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86"/>
      <c r="AT308" s="86"/>
      <c r="AU308" s="86"/>
      <c r="AV308" s="86"/>
      <c r="AW308" s="86"/>
      <c r="AX308" s="86"/>
      <c r="AY308" s="86"/>
      <c r="AZ308" s="86"/>
      <c r="BA308" s="86"/>
      <c r="BB308" s="86"/>
      <c r="BC308" s="86"/>
      <c r="BD308" s="86"/>
      <c r="BE308" s="86"/>
      <c r="BF308" s="86"/>
      <c r="BG308" s="86"/>
      <c r="BH308" s="86"/>
      <c r="BI308" s="86"/>
      <c r="BJ308" s="86"/>
      <c r="BK308" s="86"/>
      <c r="BL308" s="86"/>
      <c r="BM308" s="86"/>
      <c r="BN308" s="86"/>
      <c r="BO308" s="86"/>
      <c r="BP308" s="86"/>
      <c r="BQ308" s="86"/>
      <c r="BR308" s="86"/>
      <c r="BS308" s="86"/>
      <c r="BT308" s="86"/>
      <c r="BU308" s="86"/>
      <c r="BV308" s="86"/>
    </row>
    <row r="309" spans="1:74" s="87" customFormat="1" ht="28.5" x14ac:dyDescent="0.2">
      <c r="A309" s="76" t="s">
        <v>790</v>
      </c>
      <c r="B309" s="77" t="s">
        <v>332</v>
      </c>
      <c r="C309" s="41"/>
      <c r="D309" s="41"/>
      <c r="E309" s="41"/>
      <c r="F309" s="41">
        <v>1863176</v>
      </c>
      <c r="G309" s="41"/>
      <c r="H309" s="41"/>
      <c r="I309" s="41"/>
      <c r="J309" s="41"/>
      <c r="K309" s="41"/>
      <c r="L309" s="41"/>
      <c r="M309" s="41"/>
      <c r="N309" s="41"/>
      <c r="O309" s="140">
        <f t="shared" si="217"/>
        <v>1863176</v>
      </c>
      <c r="P309" s="86">
        <v>1863176</v>
      </c>
      <c r="Q309" s="108">
        <f t="shared" si="202"/>
        <v>0</v>
      </c>
      <c r="R309" s="86"/>
      <c r="S309" s="86"/>
      <c r="T309" s="86"/>
      <c r="U309" s="86"/>
      <c r="V309" s="86"/>
      <c r="W309" s="86"/>
      <c r="X309" s="86"/>
      <c r="Y309" s="86"/>
      <c r="Z309" s="86"/>
      <c r="AA309" s="86"/>
      <c r="AB309" s="86"/>
      <c r="AC309" s="86"/>
      <c r="AD309" s="86"/>
      <c r="AE309" s="86"/>
      <c r="AF309" s="86"/>
      <c r="AG309" s="86"/>
      <c r="AH309" s="86"/>
      <c r="AI309" s="86"/>
      <c r="AJ309" s="86"/>
      <c r="AK309" s="86"/>
      <c r="AL309" s="86"/>
      <c r="AM309" s="86"/>
      <c r="AN309" s="86"/>
      <c r="AO309" s="86"/>
      <c r="AP309" s="86"/>
      <c r="AQ309" s="86"/>
      <c r="AR309" s="86"/>
      <c r="AS309" s="86"/>
      <c r="AT309" s="86"/>
      <c r="AU309" s="86"/>
      <c r="AV309" s="86"/>
      <c r="AW309" s="86"/>
      <c r="AX309" s="86"/>
      <c r="AY309" s="86"/>
      <c r="AZ309" s="86"/>
      <c r="BA309" s="86"/>
      <c r="BB309" s="86"/>
      <c r="BC309" s="86"/>
      <c r="BD309" s="86"/>
      <c r="BE309" s="86"/>
      <c r="BF309" s="86"/>
      <c r="BG309" s="86"/>
      <c r="BH309" s="86"/>
      <c r="BI309" s="86"/>
      <c r="BJ309" s="86"/>
      <c r="BK309" s="86"/>
      <c r="BL309" s="86"/>
      <c r="BM309" s="86"/>
      <c r="BN309" s="86"/>
      <c r="BO309" s="86"/>
      <c r="BP309" s="86"/>
      <c r="BQ309" s="86"/>
      <c r="BR309" s="86"/>
      <c r="BS309" s="86"/>
      <c r="BT309" s="86"/>
      <c r="BU309" s="86"/>
      <c r="BV309" s="86"/>
    </row>
    <row r="310" spans="1:74" s="87" customFormat="1" ht="14.25" x14ac:dyDescent="0.2">
      <c r="A310" s="76" t="s">
        <v>791</v>
      </c>
      <c r="B310" s="77" t="s">
        <v>333</v>
      </c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140">
        <f t="shared" si="217"/>
        <v>0</v>
      </c>
      <c r="P310" s="116">
        <v>0</v>
      </c>
      <c r="Q310" s="108">
        <f t="shared" si="202"/>
        <v>0</v>
      </c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86"/>
      <c r="AT310" s="86"/>
      <c r="AU310" s="86"/>
      <c r="AV310" s="86"/>
      <c r="AW310" s="86"/>
      <c r="AX310" s="86"/>
      <c r="AY310" s="86"/>
      <c r="AZ310" s="86"/>
      <c r="BA310" s="86"/>
      <c r="BB310" s="86"/>
      <c r="BC310" s="86"/>
      <c r="BD310" s="86"/>
      <c r="BE310" s="86"/>
      <c r="BF310" s="86"/>
      <c r="BG310" s="86"/>
      <c r="BH310" s="86"/>
      <c r="BI310" s="86"/>
      <c r="BJ310" s="86"/>
      <c r="BK310" s="86"/>
      <c r="BL310" s="86"/>
      <c r="BM310" s="86"/>
      <c r="BN310" s="86"/>
      <c r="BO310" s="86"/>
      <c r="BP310" s="86"/>
      <c r="BQ310" s="86"/>
      <c r="BR310" s="86"/>
      <c r="BS310" s="86"/>
      <c r="BT310" s="86"/>
      <c r="BU310" s="86"/>
      <c r="BV310" s="86"/>
    </row>
    <row r="311" spans="1:74" s="87" customFormat="1" ht="28.5" x14ac:dyDescent="0.2">
      <c r="A311" s="76" t="s">
        <v>792</v>
      </c>
      <c r="B311" s="77" t="s">
        <v>334</v>
      </c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140">
        <f t="shared" si="217"/>
        <v>0</v>
      </c>
      <c r="P311" s="86">
        <v>0</v>
      </c>
      <c r="Q311" s="108">
        <f t="shared" si="202"/>
        <v>0</v>
      </c>
      <c r="R311" s="86"/>
      <c r="S311" s="86"/>
      <c r="T311" s="86"/>
      <c r="U311" s="86"/>
      <c r="V311" s="86"/>
      <c r="W311" s="86"/>
      <c r="X311" s="86"/>
      <c r="Y311" s="86"/>
      <c r="Z311" s="86"/>
      <c r="AA311" s="86"/>
      <c r="AB311" s="86"/>
      <c r="AC311" s="86"/>
      <c r="AD311" s="86"/>
      <c r="AE311" s="86"/>
      <c r="AF311" s="86"/>
      <c r="AG311" s="86"/>
      <c r="AH311" s="86"/>
      <c r="AI311" s="86"/>
      <c r="AJ311" s="86"/>
      <c r="AK311" s="86"/>
      <c r="AL311" s="86"/>
      <c r="AM311" s="86"/>
      <c r="AN311" s="86"/>
      <c r="AO311" s="86"/>
      <c r="AP311" s="86"/>
      <c r="AQ311" s="86"/>
      <c r="AR311" s="86"/>
      <c r="AS311" s="86"/>
      <c r="AT311" s="86"/>
      <c r="AU311" s="86"/>
      <c r="AV311" s="86"/>
      <c r="AW311" s="86"/>
      <c r="AX311" s="86"/>
      <c r="AY311" s="86"/>
      <c r="AZ311" s="86"/>
      <c r="BA311" s="86"/>
      <c r="BB311" s="86"/>
      <c r="BC311" s="86"/>
      <c r="BD311" s="86"/>
      <c r="BE311" s="86"/>
      <c r="BF311" s="86"/>
      <c r="BG311" s="86"/>
      <c r="BH311" s="86"/>
      <c r="BI311" s="86"/>
      <c r="BJ311" s="86"/>
      <c r="BK311" s="86"/>
      <c r="BL311" s="86"/>
      <c r="BM311" s="86"/>
      <c r="BN311" s="86"/>
      <c r="BO311" s="86"/>
      <c r="BP311" s="86"/>
      <c r="BQ311" s="86"/>
      <c r="BR311" s="86"/>
      <c r="BS311" s="86"/>
      <c r="BT311" s="86"/>
      <c r="BU311" s="86"/>
      <c r="BV311" s="86"/>
    </row>
    <row r="312" spans="1:74" s="87" customFormat="1" ht="28.5" x14ac:dyDescent="0.2">
      <c r="A312" s="76" t="s">
        <v>793</v>
      </c>
      <c r="B312" s="77" t="s">
        <v>335</v>
      </c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140">
        <f t="shared" si="217"/>
        <v>0</v>
      </c>
      <c r="P312" s="86">
        <v>0</v>
      </c>
      <c r="Q312" s="108">
        <f t="shared" si="202"/>
        <v>0</v>
      </c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86"/>
      <c r="AT312" s="86"/>
      <c r="AU312" s="86"/>
      <c r="AV312" s="86"/>
      <c r="AW312" s="86"/>
      <c r="AX312" s="86"/>
      <c r="AY312" s="86"/>
      <c r="AZ312" s="86"/>
      <c r="BA312" s="86"/>
      <c r="BB312" s="86"/>
      <c r="BC312" s="86"/>
      <c r="BD312" s="86"/>
      <c r="BE312" s="86"/>
      <c r="BF312" s="86"/>
      <c r="BG312" s="86"/>
      <c r="BH312" s="86"/>
      <c r="BI312" s="86"/>
      <c r="BJ312" s="86"/>
      <c r="BK312" s="86"/>
      <c r="BL312" s="86"/>
      <c r="BM312" s="86"/>
      <c r="BN312" s="86"/>
      <c r="BO312" s="86"/>
      <c r="BP312" s="86"/>
      <c r="BQ312" s="86"/>
      <c r="BR312" s="86"/>
      <c r="BS312" s="86"/>
      <c r="BT312" s="86"/>
      <c r="BU312" s="86"/>
      <c r="BV312" s="86"/>
    </row>
    <row r="313" spans="1:74" s="87" customFormat="1" ht="28.5" x14ac:dyDescent="0.2">
      <c r="A313" s="76" t="s">
        <v>794</v>
      </c>
      <c r="B313" s="77" t="s">
        <v>336</v>
      </c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140">
        <f t="shared" si="217"/>
        <v>0</v>
      </c>
      <c r="P313" s="86">
        <v>0</v>
      </c>
      <c r="Q313" s="108">
        <f t="shared" si="202"/>
        <v>0</v>
      </c>
      <c r="R313" s="86"/>
      <c r="S313" s="86"/>
      <c r="T313" s="86"/>
      <c r="U313" s="86"/>
      <c r="V313" s="86"/>
      <c r="W313" s="86"/>
      <c r="X313" s="86"/>
      <c r="Y313" s="86"/>
      <c r="Z313" s="86"/>
      <c r="AA313" s="86"/>
      <c r="AB313" s="86"/>
      <c r="AC313" s="86"/>
      <c r="AD313" s="86"/>
      <c r="AE313" s="86"/>
      <c r="AF313" s="86"/>
      <c r="AG313" s="86"/>
      <c r="AH313" s="86"/>
      <c r="AI313" s="86"/>
      <c r="AJ313" s="86"/>
      <c r="AK313" s="86"/>
      <c r="AL313" s="86"/>
      <c r="AM313" s="86"/>
      <c r="AN313" s="86"/>
      <c r="AO313" s="86"/>
      <c r="AP313" s="86"/>
      <c r="AQ313" s="86"/>
      <c r="AR313" s="86"/>
      <c r="AS313" s="86"/>
      <c r="AT313" s="86"/>
      <c r="AU313" s="86"/>
      <c r="AV313" s="86"/>
      <c r="AW313" s="86"/>
      <c r="AX313" s="86"/>
      <c r="AY313" s="86"/>
      <c r="AZ313" s="86"/>
      <c r="BA313" s="86"/>
      <c r="BB313" s="86"/>
      <c r="BC313" s="86"/>
      <c r="BD313" s="86"/>
      <c r="BE313" s="86"/>
      <c r="BF313" s="86"/>
      <c r="BG313" s="86"/>
      <c r="BH313" s="86"/>
      <c r="BI313" s="86"/>
      <c r="BJ313" s="86"/>
      <c r="BK313" s="86"/>
      <c r="BL313" s="86"/>
      <c r="BM313" s="86"/>
      <c r="BN313" s="86"/>
      <c r="BO313" s="86"/>
      <c r="BP313" s="86"/>
      <c r="BQ313" s="86"/>
      <c r="BR313" s="86"/>
      <c r="BS313" s="86"/>
      <c r="BT313" s="86"/>
      <c r="BU313" s="86"/>
      <c r="BV313" s="86"/>
    </row>
    <row r="314" spans="1:74" s="87" customFormat="1" ht="28.5" x14ac:dyDescent="0.2">
      <c r="A314" s="76" t="s">
        <v>795</v>
      </c>
      <c r="B314" s="77" t="s">
        <v>337</v>
      </c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140">
        <f t="shared" si="217"/>
        <v>0</v>
      </c>
      <c r="P314" s="111">
        <v>0</v>
      </c>
      <c r="Q314" s="108">
        <f t="shared" si="202"/>
        <v>0</v>
      </c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86"/>
      <c r="AT314" s="86"/>
      <c r="AU314" s="86"/>
      <c r="AV314" s="86"/>
      <c r="AW314" s="86"/>
      <c r="AX314" s="86"/>
      <c r="AY314" s="86"/>
      <c r="AZ314" s="86"/>
      <c r="BA314" s="86"/>
      <c r="BB314" s="86"/>
      <c r="BC314" s="86"/>
      <c r="BD314" s="86"/>
      <c r="BE314" s="86"/>
      <c r="BF314" s="86"/>
      <c r="BG314" s="86"/>
      <c r="BH314" s="86"/>
      <c r="BI314" s="86"/>
      <c r="BJ314" s="86"/>
      <c r="BK314" s="86"/>
      <c r="BL314" s="86"/>
      <c r="BM314" s="86"/>
      <c r="BN314" s="86"/>
      <c r="BO314" s="86"/>
      <c r="BP314" s="86"/>
      <c r="BQ314" s="86"/>
      <c r="BR314" s="86"/>
      <c r="BS314" s="86"/>
      <c r="BT314" s="86"/>
      <c r="BU314" s="86"/>
      <c r="BV314" s="86"/>
    </row>
    <row r="315" spans="1:74" s="87" customFormat="1" ht="42.75" x14ac:dyDescent="0.2">
      <c r="A315" s="76" t="s">
        <v>796</v>
      </c>
      <c r="B315" s="77" t="s">
        <v>338</v>
      </c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140">
        <f t="shared" si="217"/>
        <v>0</v>
      </c>
      <c r="P315" s="86">
        <v>0</v>
      </c>
      <c r="Q315" s="108">
        <f t="shared" si="202"/>
        <v>0</v>
      </c>
      <c r="R315" s="86"/>
      <c r="S315" s="86"/>
      <c r="T315" s="86"/>
      <c r="U315" s="86"/>
      <c r="V315" s="86"/>
      <c r="W315" s="86"/>
      <c r="X315" s="86"/>
      <c r="Y315" s="86"/>
      <c r="Z315" s="86"/>
      <c r="AA315" s="86"/>
      <c r="AB315" s="86"/>
      <c r="AC315" s="86"/>
      <c r="AD315" s="86"/>
      <c r="AE315" s="86"/>
      <c r="AF315" s="86"/>
      <c r="AG315" s="86"/>
      <c r="AH315" s="86"/>
      <c r="AI315" s="86"/>
      <c r="AJ315" s="86"/>
      <c r="AK315" s="86"/>
      <c r="AL315" s="86"/>
      <c r="AM315" s="86"/>
      <c r="AN315" s="86"/>
      <c r="AO315" s="86"/>
      <c r="AP315" s="86"/>
      <c r="AQ315" s="86"/>
      <c r="AR315" s="86"/>
      <c r="AS315" s="86"/>
      <c r="AT315" s="86"/>
      <c r="AU315" s="86"/>
      <c r="AV315" s="86"/>
      <c r="AW315" s="86"/>
      <c r="AX315" s="86"/>
      <c r="AY315" s="86"/>
      <c r="AZ315" s="86"/>
      <c r="BA315" s="86"/>
      <c r="BB315" s="86"/>
      <c r="BC315" s="86"/>
      <c r="BD315" s="86"/>
      <c r="BE315" s="86"/>
      <c r="BF315" s="86"/>
      <c r="BG315" s="86"/>
      <c r="BH315" s="86"/>
      <c r="BI315" s="86"/>
      <c r="BJ315" s="86"/>
      <c r="BK315" s="86"/>
      <c r="BL315" s="86"/>
      <c r="BM315" s="86"/>
      <c r="BN315" s="86"/>
      <c r="BO315" s="86"/>
      <c r="BP315" s="86"/>
      <c r="BQ315" s="86"/>
      <c r="BR315" s="86"/>
      <c r="BS315" s="86"/>
      <c r="BT315" s="86"/>
      <c r="BU315" s="86"/>
      <c r="BV315" s="86"/>
    </row>
    <row r="316" spans="1:74" s="87" customFormat="1" ht="28.5" x14ac:dyDescent="0.2">
      <c r="A316" s="76" t="s">
        <v>797</v>
      </c>
      <c r="B316" s="77" t="s">
        <v>339</v>
      </c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140">
        <f t="shared" si="217"/>
        <v>0</v>
      </c>
      <c r="P316" s="86">
        <v>0</v>
      </c>
      <c r="Q316" s="108">
        <f t="shared" si="202"/>
        <v>0</v>
      </c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86"/>
      <c r="AT316" s="86"/>
      <c r="AU316" s="86"/>
      <c r="AV316" s="86"/>
      <c r="AW316" s="86"/>
      <c r="AX316" s="86"/>
      <c r="AY316" s="86"/>
      <c r="AZ316" s="86"/>
      <c r="BA316" s="86"/>
      <c r="BB316" s="86"/>
      <c r="BC316" s="86"/>
      <c r="BD316" s="86"/>
      <c r="BE316" s="86"/>
      <c r="BF316" s="86"/>
      <c r="BG316" s="86"/>
      <c r="BH316" s="86"/>
      <c r="BI316" s="86"/>
      <c r="BJ316" s="86"/>
      <c r="BK316" s="86"/>
      <c r="BL316" s="86"/>
      <c r="BM316" s="86"/>
      <c r="BN316" s="86"/>
      <c r="BO316" s="86"/>
      <c r="BP316" s="86"/>
      <c r="BQ316" s="86"/>
      <c r="BR316" s="86"/>
      <c r="BS316" s="86"/>
      <c r="BT316" s="86"/>
      <c r="BU316" s="86"/>
      <c r="BV316" s="86"/>
    </row>
    <row r="317" spans="1:74" s="87" customFormat="1" ht="28.5" x14ac:dyDescent="0.2">
      <c r="A317" s="76" t="s">
        <v>798</v>
      </c>
      <c r="B317" s="77" t="s">
        <v>340</v>
      </c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140">
        <f t="shared" si="217"/>
        <v>0</v>
      </c>
      <c r="P317" s="86">
        <v>0</v>
      </c>
      <c r="Q317" s="108">
        <f t="shared" si="202"/>
        <v>0</v>
      </c>
      <c r="R317" s="86"/>
      <c r="S317" s="86"/>
      <c r="T317" s="86"/>
      <c r="U317" s="86"/>
      <c r="V317" s="86"/>
      <c r="W317" s="86"/>
      <c r="X317" s="86"/>
      <c r="Y317" s="86"/>
      <c r="Z317" s="86"/>
      <c r="AA317" s="86"/>
      <c r="AB317" s="86"/>
      <c r="AC317" s="86"/>
      <c r="AD317" s="86"/>
      <c r="AE317" s="86"/>
      <c r="AF317" s="86"/>
      <c r="AG317" s="86"/>
      <c r="AH317" s="86"/>
      <c r="AI317" s="86"/>
      <c r="AJ317" s="86"/>
      <c r="AK317" s="86"/>
      <c r="AL317" s="86"/>
      <c r="AM317" s="86"/>
      <c r="AN317" s="86"/>
      <c r="AO317" s="86"/>
      <c r="AP317" s="86"/>
      <c r="AQ317" s="86"/>
      <c r="AR317" s="86"/>
      <c r="AS317" s="86"/>
      <c r="AT317" s="86"/>
      <c r="AU317" s="86"/>
      <c r="AV317" s="86"/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86"/>
      <c r="BI317" s="86"/>
      <c r="BJ317" s="86"/>
      <c r="BK317" s="86"/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</row>
    <row r="318" spans="1:74" s="87" customFormat="1" ht="28.5" x14ac:dyDescent="0.2">
      <c r="A318" s="76" t="s">
        <v>799</v>
      </c>
      <c r="B318" s="77" t="s">
        <v>341</v>
      </c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140">
        <f t="shared" si="217"/>
        <v>0</v>
      </c>
      <c r="P318" s="86">
        <v>0</v>
      </c>
      <c r="Q318" s="108">
        <f t="shared" si="202"/>
        <v>0</v>
      </c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86"/>
      <c r="AT318" s="86"/>
      <c r="AU318" s="86"/>
      <c r="AV318" s="86"/>
      <c r="AW318" s="86"/>
      <c r="AX318" s="86"/>
      <c r="AY318" s="86"/>
      <c r="AZ318" s="86"/>
      <c r="BA318" s="86"/>
      <c r="BB318" s="86"/>
      <c r="BC318" s="86"/>
      <c r="BD318" s="86"/>
      <c r="BE318" s="86"/>
      <c r="BF318" s="86"/>
      <c r="BG318" s="86"/>
      <c r="BH318" s="86"/>
      <c r="BI318" s="86"/>
      <c r="BJ318" s="86"/>
      <c r="BK318" s="86"/>
      <c r="BL318" s="86"/>
      <c r="BM318" s="86"/>
      <c r="BN318" s="86"/>
      <c r="BO318" s="86"/>
      <c r="BP318" s="86"/>
      <c r="BQ318" s="86"/>
      <c r="BR318" s="86"/>
      <c r="BS318" s="86"/>
      <c r="BT318" s="86"/>
      <c r="BU318" s="86"/>
      <c r="BV318" s="86"/>
    </row>
    <row r="319" spans="1:74" s="87" customFormat="1" ht="42.75" x14ac:dyDescent="0.2">
      <c r="A319" s="76" t="s">
        <v>800</v>
      </c>
      <c r="B319" s="77" t="s">
        <v>801</v>
      </c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140">
        <f t="shared" si="217"/>
        <v>0</v>
      </c>
      <c r="P319" s="86">
        <v>0</v>
      </c>
      <c r="Q319" s="108">
        <f t="shared" si="202"/>
        <v>0</v>
      </c>
      <c r="R319" s="86"/>
      <c r="S319" s="86"/>
      <c r="T319" s="86"/>
      <c r="U319" s="86"/>
      <c r="V319" s="86"/>
      <c r="W319" s="86"/>
      <c r="X319" s="86"/>
      <c r="Y319" s="86"/>
      <c r="Z319" s="86"/>
      <c r="AA319" s="86"/>
      <c r="AB319" s="86"/>
      <c r="AC319" s="86"/>
      <c r="AD319" s="86"/>
      <c r="AE319" s="86"/>
      <c r="AF319" s="86"/>
      <c r="AG319" s="86"/>
      <c r="AH319" s="86"/>
      <c r="AI319" s="86"/>
      <c r="AJ319" s="86"/>
      <c r="AK319" s="86"/>
      <c r="AL319" s="86"/>
      <c r="AM319" s="86"/>
      <c r="AN319" s="86"/>
      <c r="AO319" s="86"/>
      <c r="AP319" s="86"/>
      <c r="AQ319" s="86"/>
      <c r="AR319" s="86"/>
      <c r="AS319" s="86"/>
      <c r="AT319" s="86"/>
      <c r="AU319" s="86"/>
      <c r="AV319" s="86"/>
      <c r="AW319" s="86"/>
      <c r="AX319" s="86"/>
      <c r="AY319" s="86"/>
      <c r="AZ319" s="86"/>
      <c r="BA319" s="86"/>
      <c r="BB319" s="86"/>
      <c r="BC319" s="86"/>
      <c r="BD319" s="86"/>
      <c r="BE319" s="86"/>
      <c r="BF319" s="86"/>
      <c r="BG319" s="86"/>
      <c r="BH319" s="86"/>
      <c r="BI319" s="86"/>
      <c r="BJ319" s="86"/>
      <c r="BK319" s="86"/>
      <c r="BL319" s="86"/>
      <c r="BM319" s="86"/>
      <c r="BN319" s="86"/>
      <c r="BO319" s="86"/>
      <c r="BP319" s="86"/>
      <c r="BQ319" s="86"/>
      <c r="BR319" s="86"/>
      <c r="BS319" s="86"/>
      <c r="BT319" s="86"/>
      <c r="BU319" s="86"/>
      <c r="BV319" s="86"/>
    </row>
    <row r="320" spans="1:74" s="87" customFormat="1" ht="42.75" x14ac:dyDescent="0.2">
      <c r="A320" s="76" t="s">
        <v>802</v>
      </c>
      <c r="B320" s="77" t="s">
        <v>803</v>
      </c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140">
        <f t="shared" si="217"/>
        <v>0</v>
      </c>
      <c r="P320" s="86">
        <v>0</v>
      </c>
      <c r="Q320" s="108">
        <f t="shared" si="202"/>
        <v>0</v>
      </c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86"/>
      <c r="AT320" s="86"/>
      <c r="AU320" s="86"/>
      <c r="AV320" s="86"/>
      <c r="AW320" s="86"/>
      <c r="AX320" s="86"/>
      <c r="AY320" s="86"/>
      <c r="AZ320" s="86"/>
      <c r="BA320" s="86"/>
      <c r="BB320" s="86"/>
      <c r="BC320" s="86"/>
      <c r="BD320" s="86"/>
      <c r="BE320" s="86"/>
      <c r="BF320" s="86"/>
      <c r="BG320" s="86"/>
      <c r="BH320" s="86"/>
      <c r="BI320" s="86"/>
      <c r="BJ320" s="86"/>
      <c r="BK320" s="86"/>
      <c r="BL320" s="86"/>
      <c r="BM320" s="86"/>
      <c r="BN320" s="86"/>
      <c r="BO320" s="86"/>
      <c r="BP320" s="86"/>
      <c r="BQ320" s="86"/>
      <c r="BR320" s="86"/>
      <c r="BS320" s="86"/>
      <c r="BT320" s="86"/>
      <c r="BU320" s="86"/>
      <c r="BV320" s="86"/>
    </row>
    <row r="321" spans="1:74" s="87" customFormat="1" ht="71.25" x14ac:dyDescent="0.2">
      <c r="A321" s="76" t="s">
        <v>804</v>
      </c>
      <c r="B321" s="77" t="s">
        <v>805</v>
      </c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140">
        <f t="shared" si="217"/>
        <v>0</v>
      </c>
      <c r="P321" s="86">
        <v>0</v>
      </c>
      <c r="Q321" s="108">
        <f t="shared" si="202"/>
        <v>0</v>
      </c>
      <c r="R321" s="86"/>
      <c r="S321" s="86"/>
      <c r="T321" s="86"/>
      <c r="U321" s="86"/>
      <c r="V321" s="86"/>
      <c r="W321" s="86"/>
      <c r="X321" s="86"/>
      <c r="Y321" s="86"/>
      <c r="Z321" s="86"/>
      <c r="AA321" s="86"/>
      <c r="AB321" s="86"/>
      <c r="AC321" s="86"/>
      <c r="AD321" s="86"/>
      <c r="AE321" s="86"/>
      <c r="AF321" s="86"/>
      <c r="AG321" s="86"/>
      <c r="AH321" s="86"/>
      <c r="AI321" s="86"/>
      <c r="AJ321" s="86"/>
      <c r="AK321" s="86"/>
      <c r="AL321" s="86"/>
      <c r="AM321" s="86"/>
      <c r="AN321" s="86"/>
      <c r="AO321" s="86"/>
      <c r="AP321" s="86"/>
      <c r="AQ321" s="86"/>
      <c r="AR321" s="86"/>
      <c r="AS321" s="86"/>
      <c r="AT321" s="86"/>
      <c r="AU321" s="86"/>
      <c r="AV321" s="86"/>
      <c r="AW321" s="86"/>
      <c r="AX321" s="86"/>
      <c r="AY321" s="86"/>
      <c r="AZ321" s="86"/>
      <c r="BA321" s="86"/>
      <c r="BB321" s="86"/>
      <c r="BC321" s="86"/>
      <c r="BD321" s="86"/>
      <c r="BE321" s="86"/>
      <c r="BF321" s="86"/>
      <c r="BG321" s="86"/>
      <c r="BH321" s="86"/>
      <c r="BI321" s="86"/>
      <c r="BJ321" s="86"/>
      <c r="BK321" s="86"/>
      <c r="BL321" s="86"/>
      <c r="BM321" s="86"/>
      <c r="BN321" s="86"/>
      <c r="BO321" s="86"/>
      <c r="BP321" s="86"/>
      <c r="BQ321" s="86"/>
      <c r="BR321" s="86"/>
      <c r="BS321" s="86"/>
      <c r="BT321" s="86"/>
      <c r="BU321" s="86"/>
      <c r="BV321" s="86"/>
    </row>
    <row r="322" spans="1:74" s="87" customFormat="1" ht="57" x14ac:dyDescent="0.2">
      <c r="A322" s="76" t="s">
        <v>806</v>
      </c>
      <c r="B322" s="77" t="s">
        <v>807</v>
      </c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140">
        <f t="shared" si="217"/>
        <v>0</v>
      </c>
      <c r="P322" s="86">
        <v>0</v>
      </c>
      <c r="Q322" s="108">
        <f t="shared" si="202"/>
        <v>0</v>
      </c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86"/>
      <c r="AT322" s="86"/>
      <c r="AU322" s="86"/>
      <c r="AV322" s="86"/>
      <c r="AW322" s="86"/>
      <c r="AX322" s="86"/>
      <c r="AY322" s="86"/>
      <c r="AZ322" s="86"/>
      <c r="BA322" s="86"/>
      <c r="BB322" s="86"/>
      <c r="BC322" s="86"/>
      <c r="BD322" s="86"/>
      <c r="BE322" s="86"/>
      <c r="BF322" s="86"/>
      <c r="BG322" s="86"/>
      <c r="BH322" s="86"/>
      <c r="BI322" s="86"/>
      <c r="BJ322" s="86"/>
      <c r="BK322" s="86"/>
      <c r="BL322" s="86"/>
      <c r="BM322" s="86"/>
      <c r="BN322" s="86"/>
      <c r="BO322" s="86"/>
      <c r="BP322" s="86"/>
      <c r="BQ322" s="86"/>
      <c r="BR322" s="86"/>
      <c r="BS322" s="86"/>
      <c r="BT322" s="86"/>
      <c r="BU322" s="86"/>
      <c r="BV322" s="86"/>
    </row>
    <row r="323" spans="1:74" s="87" customFormat="1" ht="14.25" x14ac:dyDescent="0.2">
      <c r="A323" s="76" t="s">
        <v>808</v>
      </c>
      <c r="B323" s="77" t="s">
        <v>342</v>
      </c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140">
        <f t="shared" si="217"/>
        <v>0</v>
      </c>
      <c r="P323" s="86">
        <v>0</v>
      </c>
      <c r="Q323" s="108">
        <f t="shared" si="202"/>
        <v>0</v>
      </c>
      <c r="R323" s="86"/>
      <c r="S323" s="86"/>
      <c r="T323" s="86"/>
      <c r="U323" s="86"/>
      <c r="V323" s="86"/>
      <c r="W323" s="86"/>
      <c r="X323" s="86"/>
      <c r="Y323" s="86"/>
      <c r="Z323" s="86"/>
      <c r="AA323" s="86"/>
      <c r="AB323" s="86"/>
      <c r="AC323" s="86"/>
      <c r="AD323" s="86"/>
      <c r="AE323" s="86"/>
      <c r="AF323" s="86"/>
      <c r="AG323" s="86"/>
      <c r="AH323" s="86"/>
      <c r="AI323" s="86"/>
      <c r="AJ323" s="86"/>
      <c r="AK323" s="86"/>
      <c r="AL323" s="86"/>
      <c r="AM323" s="86"/>
      <c r="AN323" s="86"/>
      <c r="AO323" s="86"/>
      <c r="AP323" s="86"/>
      <c r="AQ323" s="86"/>
      <c r="AR323" s="86"/>
      <c r="AS323" s="86"/>
      <c r="AT323" s="86"/>
      <c r="AU323" s="86"/>
      <c r="AV323" s="86"/>
      <c r="AW323" s="86"/>
      <c r="AX323" s="86"/>
      <c r="AY323" s="86"/>
      <c r="AZ323" s="86"/>
      <c r="BA323" s="86"/>
      <c r="BB323" s="86"/>
      <c r="BC323" s="86"/>
      <c r="BD323" s="86"/>
      <c r="BE323" s="86"/>
      <c r="BF323" s="86"/>
      <c r="BG323" s="86"/>
      <c r="BH323" s="86"/>
      <c r="BI323" s="86"/>
      <c r="BJ323" s="86"/>
      <c r="BK323" s="86"/>
      <c r="BL323" s="86"/>
      <c r="BM323" s="86"/>
      <c r="BN323" s="86"/>
      <c r="BO323" s="86"/>
      <c r="BP323" s="86"/>
      <c r="BQ323" s="86"/>
      <c r="BR323" s="86"/>
      <c r="BS323" s="86"/>
      <c r="BT323" s="86"/>
      <c r="BU323" s="86"/>
      <c r="BV323" s="86"/>
    </row>
    <row r="324" spans="1:74" s="87" customFormat="1" ht="14.25" x14ac:dyDescent="0.2">
      <c r="A324" s="76" t="s">
        <v>809</v>
      </c>
      <c r="B324" s="77" t="s">
        <v>810</v>
      </c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140">
        <f t="shared" si="217"/>
        <v>0</v>
      </c>
      <c r="P324" s="86">
        <v>0</v>
      </c>
      <c r="Q324" s="108">
        <f t="shared" si="202"/>
        <v>0</v>
      </c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86"/>
      <c r="AT324" s="86"/>
      <c r="AU324" s="86"/>
      <c r="AV324" s="86"/>
      <c r="AW324" s="86"/>
      <c r="AX324" s="86"/>
      <c r="AY324" s="86"/>
      <c r="AZ324" s="86"/>
      <c r="BA324" s="86"/>
      <c r="BB324" s="86"/>
      <c r="BC324" s="86"/>
      <c r="BD324" s="86"/>
      <c r="BE324" s="86"/>
      <c r="BF324" s="86"/>
      <c r="BG324" s="86"/>
      <c r="BH324" s="86"/>
      <c r="BI324" s="86"/>
      <c r="BJ324" s="86"/>
      <c r="BK324" s="86"/>
      <c r="BL324" s="86"/>
      <c r="BM324" s="86"/>
      <c r="BN324" s="86"/>
      <c r="BO324" s="86"/>
      <c r="BP324" s="86"/>
      <c r="BQ324" s="86"/>
      <c r="BR324" s="86"/>
      <c r="BS324" s="86"/>
      <c r="BT324" s="86"/>
      <c r="BU324" s="86"/>
      <c r="BV324" s="86"/>
    </row>
    <row r="325" spans="1:74" s="87" customFormat="1" ht="28.5" x14ac:dyDescent="0.2">
      <c r="A325" s="76" t="s">
        <v>811</v>
      </c>
      <c r="B325" s="77" t="s">
        <v>343</v>
      </c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140">
        <f t="shared" si="217"/>
        <v>0</v>
      </c>
      <c r="P325" s="86">
        <v>0</v>
      </c>
      <c r="Q325" s="108">
        <f t="shared" si="202"/>
        <v>0</v>
      </c>
      <c r="R325" s="86"/>
      <c r="S325" s="86"/>
      <c r="T325" s="86"/>
      <c r="U325" s="86"/>
      <c r="V325" s="86"/>
      <c r="W325" s="86"/>
      <c r="X325" s="86"/>
      <c r="Y325" s="86"/>
      <c r="Z325" s="86"/>
      <c r="AA325" s="86"/>
      <c r="AB325" s="86"/>
      <c r="AC325" s="86"/>
      <c r="AD325" s="86"/>
      <c r="AE325" s="86"/>
      <c r="AF325" s="86"/>
      <c r="AG325" s="86"/>
      <c r="AH325" s="86"/>
      <c r="AI325" s="86"/>
      <c r="AJ325" s="86"/>
      <c r="AK325" s="86"/>
      <c r="AL325" s="86"/>
      <c r="AM325" s="86"/>
      <c r="AN325" s="86"/>
      <c r="AO325" s="86"/>
      <c r="AP325" s="86"/>
      <c r="AQ325" s="86"/>
      <c r="AR325" s="86"/>
      <c r="AS325" s="86"/>
      <c r="AT325" s="86"/>
      <c r="AU325" s="86"/>
      <c r="AV325" s="86"/>
      <c r="AW325" s="86"/>
      <c r="AX325" s="86"/>
      <c r="AY325" s="86"/>
      <c r="AZ325" s="86"/>
      <c r="BA325" s="86"/>
      <c r="BB325" s="86"/>
      <c r="BC325" s="86"/>
      <c r="BD325" s="86"/>
      <c r="BE325" s="86"/>
      <c r="BF325" s="86"/>
      <c r="BG325" s="86"/>
      <c r="BH325" s="86"/>
      <c r="BI325" s="86"/>
      <c r="BJ325" s="86"/>
      <c r="BK325" s="86"/>
      <c r="BL325" s="86"/>
      <c r="BM325" s="86"/>
      <c r="BN325" s="86"/>
      <c r="BO325" s="86"/>
      <c r="BP325" s="86"/>
      <c r="BQ325" s="86"/>
      <c r="BR325" s="86"/>
      <c r="BS325" s="86"/>
      <c r="BT325" s="86"/>
      <c r="BU325" s="86"/>
      <c r="BV325" s="86"/>
    </row>
    <row r="326" spans="1:74" s="110" customFormat="1" ht="28.5" x14ac:dyDescent="0.2">
      <c r="A326" s="76" t="s">
        <v>812</v>
      </c>
      <c r="B326" s="77" t="s">
        <v>344</v>
      </c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140">
        <f t="shared" si="217"/>
        <v>0</v>
      </c>
      <c r="P326" s="86">
        <v>0</v>
      </c>
      <c r="Q326" s="108">
        <f t="shared" si="202"/>
        <v>0</v>
      </c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  <c r="BO326" s="109"/>
      <c r="BP326" s="109"/>
      <c r="BQ326" s="109"/>
      <c r="BR326" s="109"/>
      <c r="BS326" s="109"/>
      <c r="BT326" s="109"/>
      <c r="BU326" s="109"/>
      <c r="BV326" s="109"/>
    </row>
    <row r="327" spans="1:74" s="110" customFormat="1" ht="28.5" x14ac:dyDescent="0.2">
      <c r="A327" s="76" t="s">
        <v>1866</v>
      </c>
      <c r="B327" s="77" t="s">
        <v>1867</v>
      </c>
      <c r="C327" s="41"/>
      <c r="D327" s="41"/>
      <c r="E327" s="41"/>
      <c r="F327" s="41"/>
      <c r="G327" s="41"/>
      <c r="H327" s="41">
        <v>6600708</v>
      </c>
      <c r="I327" s="41"/>
      <c r="J327" s="41"/>
      <c r="K327" s="41"/>
      <c r="L327" s="41"/>
      <c r="M327" s="41"/>
      <c r="N327" s="41"/>
      <c r="O327" s="140">
        <f t="shared" si="217"/>
        <v>6600708</v>
      </c>
      <c r="P327" s="86"/>
      <c r="Q327" s="108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  <c r="BO327" s="109"/>
      <c r="BP327" s="109"/>
      <c r="BQ327" s="109"/>
      <c r="BR327" s="109"/>
      <c r="BS327" s="109"/>
      <c r="BT327" s="109"/>
      <c r="BU327" s="109"/>
      <c r="BV327" s="109"/>
    </row>
    <row r="328" spans="1:74" s="110" customFormat="1" ht="28.5" x14ac:dyDescent="0.2">
      <c r="A328" s="76" t="s">
        <v>1868</v>
      </c>
      <c r="B328" s="77" t="s">
        <v>1869</v>
      </c>
      <c r="C328" s="41"/>
      <c r="D328" s="41"/>
      <c r="E328" s="41"/>
      <c r="F328" s="41"/>
      <c r="G328" s="41"/>
      <c r="H328" s="41">
        <v>3803246</v>
      </c>
      <c r="I328" s="41"/>
      <c r="J328" s="41"/>
      <c r="K328" s="41"/>
      <c r="L328" s="41"/>
      <c r="M328" s="41"/>
      <c r="N328" s="41"/>
      <c r="O328" s="140">
        <f t="shared" si="217"/>
        <v>3803246</v>
      </c>
      <c r="P328" s="86"/>
      <c r="Q328" s="108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  <c r="BO328" s="109"/>
      <c r="BP328" s="109"/>
      <c r="BQ328" s="109"/>
      <c r="BR328" s="109"/>
      <c r="BS328" s="109"/>
      <c r="BT328" s="109"/>
      <c r="BU328" s="109"/>
      <c r="BV328" s="109"/>
    </row>
    <row r="329" spans="1:74" s="112" customFormat="1" ht="15.75" x14ac:dyDescent="0.2">
      <c r="A329" s="81" t="s">
        <v>1261</v>
      </c>
      <c r="B329" s="79" t="s">
        <v>1262</v>
      </c>
      <c r="C329" s="146">
        <f>+C330</f>
        <v>0</v>
      </c>
      <c r="D329" s="146">
        <f t="shared" ref="D329:N330" si="218">+D330</f>
        <v>0</v>
      </c>
      <c r="E329" s="146">
        <f t="shared" si="218"/>
        <v>0</v>
      </c>
      <c r="F329" s="146">
        <f>+F330</f>
        <v>90630434222.26001</v>
      </c>
      <c r="G329" s="146">
        <f t="shared" si="218"/>
        <v>48974976703</v>
      </c>
      <c r="H329" s="146">
        <f t="shared" si="218"/>
        <v>0</v>
      </c>
      <c r="I329" s="146">
        <f t="shared" si="218"/>
        <v>0</v>
      </c>
      <c r="J329" s="146">
        <f t="shared" si="218"/>
        <v>0</v>
      </c>
      <c r="K329" s="146">
        <f t="shared" si="218"/>
        <v>0</v>
      </c>
      <c r="L329" s="146">
        <f t="shared" si="218"/>
        <v>0</v>
      </c>
      <c r="M329" s="146">
        <f t="shared" si="218"/>
        <v>0</v>
      </c>
      <c r="N329" s="146">
        <f t="shared" si="218"/>
        <v>0</v>
      </c>
      <c r="O329" s="140">
        <f t="shared" si="217"/>
        <v>139605410925.26001</v>
      </c>
      <c r="P329" s="86">
        <v>90630434222.259995</v>
      </c>
      <c r="Q329" s="108">
        <f t="shared" si="202"/>
        <v>-48974976703.000015</v>
      </c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  <c r="AX329" s="111"/>
      <c r="AY329" s="111"/>
      <c r="AZ329" s="111"/>
      <c r="BA329" s="111"/>
      <c r="BB329" s="111"/>
      <c r="BC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V329" s="111"/>
    </row>
    <row r="330" spans="1:74" s="112" customFormat="1" ht="31.5" x14ac:dyDescent="0.2">
      <c r="A330" s="81" t="s">
        <v>1263</v>
      </c>
      <c r="B330" s="79" t="s">
        <v>1264</v>
      </c>
      <c r="C330" s="146">
        <f>+C331</f>
        <v>0</v>
      </c>
      <c r="D330" s="146">
        <f t="shared" si="218"/>
        <v>0</v>
      </c>
      <c r="E330" s="146">
        <f t="shared" si="218"/>
        <v>0</v>
      </c>
      <c r="F330" s="146">
        <f>+F331</f>
        <v>90630434222.26001</v>
      </c>
      <c r="G330" s="146">
        <f t="shared" si="218"/>
        <v>48974976703</v>
      </c>
      <c r="H330" s="146">
        <f t="shared" si="218"/>
        <v>0</v>
      </c>
      <c r="I330" s="146">
        <f t="shared" si="218"/>
        <v>0</v>
      </c>
      <c r="J330" s="146">
        <f t="shared" si="218"/>
        <v>0</v>
      </c>
      <c r="K330" s="146">
        <f t="shared" si="218"/>
        <v>0</v>
      </c>
      <c r="L330" s="146">
        <f t="shared" si="218"/>
        <v>0</v>
      </c>
      <c r="M330" s="146">
        <f t="shared" si="218"/>
        <v>0</v>
      </c>
      <c r="N330" s="146">
        <f t="shared" si="218"/>
        <v>0</v>
      </c>
      <c r="O330" s="140">
        <f t="shared" si="217"/>
        <v>139605410925.26001</v>
      </c>
      <c r="P330" s="86">
        <v>90630434222.259995</v>
      </c>
      <c r="Q330" s="108">
        <f t="shared" si="202"/>
        <v>-48974976703.000015</v>
      </c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/>
      <c r="BU330" s="111"/>
      <c r="BV330" s="111"/>
    </row>
    <row r="331" spans="1:74" s="112" customFormat="1" ht="15.75" x14ac:dyDescent="0.2">
      <c r="A331" s="81" t="s">
        <v>1265</v>
      </c>
      <c r="B331" s="79" t="s">
        <v>1266</v>
      </c>
      <c r="C331" s="146">
        <f>SUM(C332:C334)</f>
        <v>0</v>
      </c>
      <c r="D331" s="146">
        <f t="shared" ref="D331:N331" si="219">SUM(D332:D334)</f>
        <v>0</v>
      </c>
      <c r="E331" s="146">
        <f t="shared" si="219"/>
        <v>0</v>
      </c>
      <c r="F331" s="146">
        <f t="shared" si="219"/>
        <v>90630434222.26001</v>
      </c>
      <c r="G331" s="146">
        <f t="shared" si="219"/>
        <v>48974976703</v>
      </c>
      <c r="H331" s="146">
        <f t="shared" si="219"/>
        <v>0</v>
      </c>
      <c r="I331" s="146">
        <f t="shared" si="219"/>
        <v>0</v>
      </c>
      <c r="J331" s="146">
        <f t="shared" si="219"/>
        <v>0</v>
      </c>
      <c r="K331" s="146">
        <f t="shared" si="219"/>
        <v>0</v>
      </c>
      <c r="L331" s="146">
        <f t="shared" si="219"/>
        <v>0</v>
      </c>
      <c r="M331" s="146">
        <f t="shared" si="219"/>
        <v>0</v>
      </c>
      <c r="N331" s="146">
        <f t="shared" si="219"/>
        <v>0</v>
      </c>
      <c r="O331" s="140">
        <f t="shared" si="217"/>
        <v>139605410925.26001</v>
      </c>
      <c r="P331" s="86">
        <v>90630434222.259995</v>
      </c>
      <c r="Q331" s="108">
        <f t="shared" si="202"/>
        <v>-48974976703.000015</v>
      </c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  <c r="AX331" s="111"/>
      <c r="AY331" s="111"/>
      <c r="AZ331" s="111"/>
      <c r="BA331" s="111"/>
      <c r="BB331" s="111"/>
      <c r="BC331" s="111"/>
      <c r="BD331" s="111"/>
      <c r="BE331" s="11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V331" s="111"/>
    </row>
    <row r="332" spans="1:74" s="87" customFormat="1" ht="28.5" x14ac:dyDescent="0.2">
      <c r="A332" s="76" t="s">
        <v>1257</v>
      </c>
      <c r="B332" s="77" t="s">
        <v>1258</v>
      </c>
      <c r="C332" s="41"/>
      <c r="D332" s="41"/>
      <c r="E332" s="41"/>
      <c r="F332" s="41">
        <v>79982811133.960007</v>
      </c>
      <c r="G332" s="41"/>
      <c r="H332" s="41"/>
      <c r="I332" s="41"/>
      <c r="J332" s="41"/>
      <c r="K332" s="41"/>
      <c r="L332" s="41"/>
      <c r="M332" s="41"/>
      <c r="N332" s="41"/>
      <c r="O332" s="140">
        <f t="shared" si="217"/>
        <v>79982811133.960007</v>
      </c>
      <c r="P332" s="322">
        <v>79982811133.960007</v>
      </c>
      <c r="Q332" s="108">
        <f t="shared" si="202"/>
        <v>0</v>
      </c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86"/>
      <c r="AT332" s="86"/>
      <c r="AU332" s="86"/>
      <c r="AV332" s="86"/>
      <c r="AW332" s="86"/>
      <c r="AX332" s="86"/>
      <c r="AY332" s="86"/>
      <c r="AZ332" s="86"/>
      <c r="BA332" s="86"/>
      <c r="BB332" s="86"/>
      <c r="BC332" s="86"/>
      <c r="BD332" s="86"/>
      <c r="BE332" s="86"/>
      <c r="BF332" s="86"/>
      <c r="BG332" s="86"/>
      <c r="BH332" s="86"/>
      <c r="BI332" s="86"/>
      <c r="BJ332" s="86"/>
      <c r="BK332" s="86"/>
      <c r="BL332" s="86"/>
      <c r="BM332" s="86"/>
      <c r="BN332" s="86"/>
      <c r="BO332" s="86"/>
      <c r="BP332" s="86"/>
      <c r="BQ332" s="86"/>
      <c r="BR332" s="86"/>
      <c r="BS332" s="86"/>
      <c r="BT332" s="86"/>
      <c r="BU332" s="86"/>
      <c r="BV332" s="86"/>
    </row>
    <row r="333" spans="1:74" s="87" customFormat="1" ht="28.5" x14ac:dyDescent="0.2">
      <c r="A333" s="76" t="s">
        <v>1259</v>
      </c>
      <c r="B333" s="77" t="s">
        <v>1260</v>
      </c>
      <c r="C333" s="41"/>
      <c r="D333" s="41"/>
      <c r="E333" s="41"/>
      <c r="F333" s="41">
        <v>10647623088.299999</v>
      </c>
      <c r="G333" s="41"/>
      <c r="H333" s="41"/>
      <c r="I333" s="41"/>
      <c r="J333" s="41"/>
      <c r="K333" s="41"/>
      <c r="L333" s="41"/>
      <c r="M333" s="41"/>
      <c r="N333" s="41"/>
      <c r="O333" s="140">
        <f t="shared" si="217"/>
        <v>10647623088.299999</v>
      </c>
      <c r="P333" s="322">
        <v>10647623088.299999</v>
      </c>
      <c r="Q333" s="108">
        <f t="shared" si="202"/>
        <v>0</v>
      </c>
      <c r="R333" s="86"/>
      <c r="S333" s="86"/>
      <c r="T333" s="86"/>
      <c r="U333" s="86"/>
      <c r="V333" s="86"/>
      <c r="W333" s="86"/>
      <c r="X333" s="86"/>
      <c r="Y333" s="86"/>
      <c r="Z333" s="86"/>
      <c r="AA333" s="86"/>
      <c r="AB333" s="86"/>
      <c r="AC333" s="86"/>
      <c r="AD333" s="86"/>
      <c r="AE333" s="86"/>
      <c r="AF333" s="86"/>
      <c r="AG333" s="86"/>
      <c r="AH333" s="86"/>
      <c r="AI333" s="86"/>
      <c r="AJ333" s="86"/>
      <c r="AK333" s="86"/>
      <c r="AL333" s="86"/>
      <c r="AM333" s="86"/>
      <c r="AN333" s="86"/>
      <c r="AO333" s="86"/>
      <c r="AP333" s="86"/>
      <c r="AQ333" s="86"/>
      <c r="AR333" s="86"/>
      <c r="AS333" s="86"/>
      <c r="AT333" s="86"/>
      <c r="AU333" s="86"/>
      <c r="AV333" s="86"/>
      <c r="AW333" s="86"/>
      <c r="AX333" s="86"/>
      <c r="AY333" s="86"/>
      <c r="AZ333" s="86"/>
      <c r="BA333" s="86"/>
      <c r="BB333" s="86"/>
      <c r="BC333" s="86"/>
      <c r="BD333" s="86"/>
      <c r="BE333" s="86"/>
      <c r="BF333" s="86"/>
      <c r="BG333" s="86"/>
      <c r="BH333" s="86"/>
      <c r="BI333" s="86"/>
      <c r="BJ333" s="86"/>
      <c r="BK333" s="86"/>
      <c r="BL333" s="86"/>
      <c r="BM333" s="86"/>
      <c r="BN333" s="86"/>
      <c r="BO333" s="86"/>
      <c r="BP333" s="86"/>
      <c r="BQ333" s="86"/>
      <c r="BR333" s="86"/>
      <c r="BS333" s="86"/>
      <c r="BT333" s="86"/>
      <c r="BU333" s="86"/>
      <c r="BV333" s="86"/>
    </row>
    <row r="334" spans="1:74" s="87" customFormat="1" ht="28.5" x14ac:dyDescent="0.2">
      <c r="A334" s="76" t="s">
        <v>1861</v>
      </c>
      <c r="B334" s="77" t="s">
        <v>1862</v>
      </c>
      <c r="C334" s="41"/>
      <c r="D334" s="41"/>
      <c r="E334" s="41"/>
      <c r="F334" s="41"/>
      <c r="G334" s="41">
        <v>48974976703</v>
      </c>
      <c r="H334" s="41"/>
      <c r="I334" s="41"/>
      <c r="J334" s="41"/>
      <c r="K334" s="41"/>
      <c r="L334" s="41"/>
      <c r="M334" s="41"/>
      <c r="N334" s="41"/>
      <c r="O334" s="140">
        <f t="shared" si="217"/>
        <v>48974976703</v>
      </c>
      <c r="P334" s="322"/>
      <c r="Q334" s="108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86"/>
      <c r="AT334" s="86"/>
      <c r="AU334" s="86"/>
      <c r="AV334" s="86"/>
      <c r="AW334" s="86"/>
      <c r="AX334" s="86"/>
      <c r="AY334" s="86"/>
      <c r="AZ334" s="86"/>
      <c r="BA334" s="86"/>
      <c r="BB334" s="86"/>
      <c r="BC334" s="86"/>
      <c r="BD334" s="86"/>
      <c r="BE334" s="86"/>
      <c r="BF334" s="86"/>
      <c r="BG334" s="86"/>
      <c r="BH334" s="86"/>
      <c r="BI334" s="86"/>
      <c r="BJ334" s="86"/>
      <c r="BK334" s="86"/>
      <c r="BL334" s="86"/>
      <c r="BM334" s="86"/>
      <c r="BN334" s="86"/>
      <c r="BO334" s="86"/>
      <c r="BP334" s="86"/>
      <c r="BQ334" s="86"/>
      <c r="BR334" s="86"/>
      <c r="BS334" s="86"/>
      <c r="BT334" s="86"/>
      <c r="BU334" s="86"/>
      <c r="BV334" s="86"/>
    </row>
    <row r="335" spans="1:74" s="87" customFormat="1" ht="19.5" x14ac:dyDescent="0.2">
      <c r="A335" s="81" t="s">
        <v>813</v>
      </c>
      <c r="B335" s="79" t="s">
        <v>814</v>
      </c>
      <c r="C335" s="217">
        <f t="shared" ref="C335:N337" si="220">+C336</f>
        <v>0</v>
      </c>
      <c r="D335" s="217">
        <f t="shared" si="220"/>
        <v>0</v>
      </c>
      <c r="E335" s="217">
        <f t="shared" si="220"/>
        <v>0</v>
      </c>
      <c r="F335" s="217">
        <f t="shared" si="220"/>
        <v>0</v>
      </c>
      <c r="G335" s="217">
        <f t="shared" si="220"/>
        <v>0</v>
      </c>
      <c r="H335" s="217">
        <f t="shared" si="220"/>
        <v>0</v>
      </c>
      <c r="I335" s="217">
        <f t="shared" si="220"/>
        <v>0</v>
      </c>
      <c r="J335" s="217">
        <f t="shared" si="220"/>
        <v>0</v>
      </c>
      <c r="K335" s="217">
        <f t="shared" si="220"/>
        <v>0</v>
      </c>
      <c r="L335" s="217">
        <f t="shared" si="220"/>
        <v>0</v>
      </c>
      <c r="M335" s="217">
        <f t="shared" si="220"/>
        <v>0</v>
      </c>
      <c r="N335" s="217">
        <f t="shared" si="220"/>
        <v>0</v>
      </c>
      <c r="O335" s="140">
        <f t="shared" si="217"/>
        <v>0</v>
      </c>
      <c r="P335" s="86">
        <v>0</v>
      </c>
      <c r="Q335" s="108">
        <f t="shared" si="202"/>
        <v>0</v>
      </c>
      <c r="R335" s="86"/>
      <c r="S335" s="86"/>
      <c r="T335" s="86"/>
      <c r="U335" s="86"/>
      <c r="V335" s="86"/>
      <c r="W335" s="86"/>
      <c r="X335" s="86"/>
      <c r="Y335" s="86"/>
      <c r="Z335" s="86"/>
      <c r="AA335" s="86"/>
      <c r="AB335" s="86"/>
      <c r="AC335" s="86"/>
      <c r="AD335" s="86"/>
      <c r="AE335" s="86"/>
      <c r="AF335" s="86"/>
      <c r="AG335" s="86"/>
      <c r="AH335" s="86"/>
      <c r="AI335" s="86"/>
      <c r="AJ335" s="86"/>
      <c r="AK335" s="86"/>
      <c r="AL335" s="86"/>
      <c r="AM335" s="86"/>
      <c r="AN335" s="86"/>
      <c r="AO335" s="86"/>
      <c r="AP335" s="86"/>
      <c r="AQ335" s="86"/>
      <c r="AR335" s="86"/>
      <c r="AS335" s="86"/>
      <c r="AT335" s="86"/>
      <c r="AU335" s="86"/>
      <c r="AV335" s="86"/>
      <c r="AW335" s="86"/>
      <c r="AX335" s="86"/>
      <c r="AY335" s="86"/>
      <c r="AZ335" s="86"/>
      <c r="BA335" s="86"/>
      <c r="BB335" s="86"/>
      <c r="BC335" s="86"/>
      <c r="BD335" s="86"/>
      <c r="BE335" s="86"/>
      <c r="BF335" s="86"/>
      <c r="BG335" s="86"/>
      <c r="BH335" s="86"/>
      <c r="BI335" s="86"/>
      <c r="BJ335" s="86"/>
      <c r="BK335" s="86"/>
      <c r="BL335" s="86"/>
      <c r="BM335" s="86"/>
      <c r="BN335" s="86"/>
      <c r="BO335" s="86"/>
      <c r="BP335" s="86"/>
      <c r="BQ335" s="86"/>
      <c r="BR335" s="86"/>
      <c r="BS335" s="86"/>
      <c r="BT335" s="86"/>
      <c r="BU335" s="86"/>
      <c r="BV335" s="86"/>
    </row>
    <row r="336" spans="1:74" s="87" customFormat="1" ht="31.5" x14ac:dyDescent="0.2">
      <c r="A336" s="81" t="s">
        <v>815</v>
      </c>
      <c r="B336" s="79" t="s">
        <v>816</v>
      </c>
      <c r="C336" s="217">
        <f t="shared" si="220"/>
        <v>0</v>
      </c>
      <c r="D336" s="217">
        <f t="shared" si="220"/>
        <v>0</v>
      </c>
      <c r="E336" s="217">
        <f t="shared" si="220"/>
        <v>0</v>
      </c>
      <c r="F336" s="217">
        <f t="shared" si="220"/>
        <v>0</v>
      </c>
      <c r="G336" s="217">
        <f t="shared" si="220"/>
        <v>0</v>
      </c>
      <c r="H336" s="217">
        <f t="shared" si="220"/>
        <v>0</v>
      </c>
      <c r="I336" s="217">
        <f t="shared" si="220"/>
        <v>0</v>
      </c>
      <c r="J336" s="217">
        <f t="shared" si="220"/>
        <v>0</v>
      </c>
      <c r="K336" s="217">
        <f t="shared" si="220"/>
        <v>0</v>
      </c>
      <c r="L336" s="217">
        <f t="shared" si="220"/>
        <v>0</v>
      </c>
      <c r="M336" s="217">
        <f t="shared" si="220"/>
        <v>0</v>
      </c>
      <c r="N336" s="217">
        <f t="shared" si="220"/>
        <v>0</v>
      </c>
      <c r="O336" s="140">
        <f t="shared" si="217"/>
        <v>0</v>
      </c>
      <c r="Q336" s="108">
        <f t="shared" si="202"/>
        <v>0</v>
      </c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86"/>
      <c r="AT336" s="86"/>
      <c r="AU336" s="86"/>
      <c r="AV336" s="86"/>
      <c r="AW336" s="86"/>
      <c r="AX336" s="86"/>
      <c r="AY336" s="86"/>
      <c r="AZ336" s="86"/>
      <c r="BA336" s="86"/>
      <c r="BB336" s="86"/>
      <c r="BC336" s="86"/>
      <c r="BD336" s="86"/>
      <c r="BE336" s="86"/>
      <c r="BF336" s="86"/>
      <c r="BG336" s="86"/>
      <c r="BH336" s="86"/>
      <c r="BI336" s="86"/>
      <c r="BJ336" s="86"/>
      <c r="BK336" s="86"/>
      <c r="BL336" s="86"/>
      <c r="BM336" s="86"/>
      <c r="BN336" s="86"/>
      <c r="BO336" s="86"/>
      <c r="BP336" s="86"/>
      <c r="BQ336" s="86"/>
      <c r="BR336" s="86"/>
      <c r="BS336" s="86"/>
      <c r="BT336" s="86"/>
      <c r="BU336" s="86"/>
      <c r="BV336" s="86"/>
    </row>
    <row r="337" spans="1:74" s="87" customFormat="1" ht="31.5" x14ac:dyDescent="0.2">
      <c r="A337" s="81" t="s">
        <v>817</v>
      </c>
      <c r="B337" s="79" t="s">
        <v>818</v>
      </c>
      <c r="C337" s="217">
        <f t="shared" si="220"/>
        <v>0</v>
      </c>
      <c r="D337" s="217">
        <f t="shared" si="220"/>
        <v>0</v>
      </c>
      <c r="E337" s="217">
        <f t="shared" si="220"/>
        <v>0</v>
      </c>
      <c r="F337" s="217">
        <f t="shared" si="220"/>
        <v>0</v>
      </c>
      <c r="G337" s="217">
        <f t="shared" si="220"/>
        <v>0</v>
      </c>
      <c r="H337" s="217">
        <f t="shared" si="220"/>
        <v>0</v>
      </c>
      <c r="I337" s="217">
        <f t="shared" si="220"/>
        <v>0</v>
      </c>
      <c r="J337" s="217">
        <f t="shared" si="220"/>
        <v>0</v>
      </c>
      <c r="K337" s="217">
        <f t="shared" si="220"/>
        <v>0</v>
      </c>
      <c r="L337" s="217">
        <f t="shared" si="220"/>
        <v>0</v>
      </c>
      <c r="M337" s="217">
        <f t="shared" si="220"/>
        <v>0</v>
      </c>
      <c r="N337" s="217">
        <f t="shared" si="220"/>
        <v>0</v>
      </c>
      <c r="O337" s="140">
        <f t="shared" si="217"/>
        <v>0</v>
      </c>
      <c r="Q337" s="108">
        <f t="shared" ref="Q337:Q401" si="221">+P337-O337</f>
        <v>0</v>
      </c>
      <c r="R337" s="86"/>
      <c r="S337" s="86"/>
      <c r="T337" s="86"/>
      <c r="U337" s="86"/>
      <c r="V337" s="86"/>
      <c r="W337" s="86"/>
      <c r="X337" s="86"/>
      <c r="Y337" s="86"/>
      <c r="Z337" s="86"/>
      <c r="AA337" s="86"/>
      <c r="AB337" s="86"/>
      <c r="AC337" s="86"/>
      <c r="AD337" s="86"/>
      <c r="AE337" s="86"/>
      <c r="AF337" s="86"/>
      <c r="AG337" s="86"/>
      <c r="AH337" s="86"/>
      <c r="AI337" s="86"/>
      <c r="AJ337" s="86"/>
      <c r="AK337" s="86"/>
      <c r="AL337" s="86"/>
      <c r="AM337" s="86"/>
      <c r="AN337" s="86"/>
      <c r="AO337" s="86"/>
      <c r="AP337" s="86"/>
      <c r="AQ337" s="86"/>
      <c r="AR337" s="86"/>
      <c r="AS337" s="86"/>
      <c r="AT337" s="86"/>
      <c r="AU337" s="86"/>
      <c r="AV337" s="86"/>
      <c r="AW337" s="86"/>
      <c r="AX337" s="86"/>
      <c r="AY337" s="86"/>
      <c r="AZ337" s="86"/>
      <c r="BA337" s="86"/>
      <c r="BB337" s="86"/>
      <c r="BC337" s="86"/>
      <c r="BD337" s="86"/>
      <c r="BE337" s="86"/>
      <c r="BF337" s="86"/>
      <c r="BG337" s="86"/>
      <c r="BH337" s="86"/>
      <c r="BI337" s="86"/>
      <c r="BJ337" s="86"/>
      <c r="BK337" s="86"/>
      <c r="BL337" s="86"/>
      <c r="BM337" s="86"/>
      <c r="BN337" s="86"/>
      <c r="BO337" s="86"/>
      <c r="BP337" s="86"/>
      <c r="BQ337" s="86"/>
      <c r="BR337" s="86"/>
      <c r="BS337" s="86"/>
      <c r="BT337" s="86"/>
      <c r="BU337" s="86"/>
      <c r="BV337" s="86"/>
    </row>
    <row r="338" spans="1:74" s="87" customFormat="1" ht="19.5" x14ac:dyDescent="0.2">
      <c r="A338" s="81" t="s">
        <v>819</v>
      </c>
      <c r="B338" s="79" t="s">
        <v>820</v>
      </c>
      <c r="C338" s="217">
        <f>SUM(C339:C339)</f>
        <v>0</v>
      </c>
      <c r="D338" s="217">
        <f t="shared" ref="D338:N338" si="222">SUM(D339:D339)</f>
        <v>0</v>
      </c>
      <c r="E338" s="217">
        <f t="shared" si="222"/>
        <v>0</v>
      </c>
      <c r="F338" s="217">
        <f t="shared" si="222"/>
        <v>0</v>
      </c>
      <c r="G338" s="217">
        <f t="shared" si="222"/>
        <v>0</v>
      </c>
      <c r="H338" s="217">
        <f t="shared" si="222"/>
        <v>0</v>
      </c>
      <c r="I338" s="217">
        <f t="shared" si="222"/>
        <v>0</v>
      </c>
      <c r="J338" s="217">
        <f t="shared" si="222"/>
        <v>0</v>
      </c>
      <c r="K338" s="217">
        <f t="shared" si="222"/>
        <v>0</v>
      </c>
      <c r="L338" s="217">
        <f t="shared" si="222"/>
        <v>0</v>
      </c>
      <c r="M338" s="217">
        <f t="shared" si="222"/>
        <v>0</v>
      </c>
      <c r="N338" s="217">
        <f t="shared" si="222"/>
        <v>0</v>
      </c>
      <c r="O338" s="140">
        <f t="shared" si="217"/>
        <v>0</v>
      </c>
      <c r="Q338" s="108">
        <f t="shared" si="221"/>
        <v>0</v>
      </c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86"/>
      <c r="AT338" s="86"/>
      <c r="AU338" s="86"/>
      <c r="AV338" s="86"/>
      <c r="AW338" s="86"/>
      <c r="AX338" s="86"/>
      <c r="AY338" s="86"/>
      <c r="AZ338" s="86"/>
      <c r="BA338" s="86"/>
      <c r="BB338" s="86"/>
      <c r="BC338" s="86"/>
      <c r="BD338" s="86"/>
      <c r="BE338" s="86"/>
      <c r="BF338" s="86"/>
      <c r="BG338" s="86"/>
      <c r="BH338" s="86"/>
      <c r="BI338" s="86"/>
      <c r="BJ338" s="86"/>
      <c r="BK338" s="86"/>
      <c r="BL338" s="86"/>
      <c r="BM338" s="86"/>
      <c r="BN338" s="86"/>
      <c r="BO338" s="86"/>
      <c r="BP338" s="86"/>
      <c r="BQ338" s="86"/>
      <c r="BR338" s="86"/>
      <c r="BS338" s="86"/>
      <c r="BT338" s="86"/>
      <c r="BU338" s="86"/>
      <c r="BV338" s="86"/>
    </row>
    <row r="339" spans="1:74" s="87" customFormat="1" ht="28.5" x14ac:dyDescent="0.2">
      <c r="A339" s="76" t="s">
        <v>821</v>
      </c>
      <c r="B339" s="77" t="s">
        <v>235</v>
      </c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140">
        <f t="shared" si="217"/>
        <v>0</v>
      </c>
      <c r="Q339" s="108">
        <f t="shared" si="221"/>
        <v>0</v>
      </c>
      <c r="R339" s="86"/>
      <c r="S339" s="86"/>
      <c r="T339" s="86"/>
      <c r="U339" s="86"/>
      <c r="V339" s="86"/>
      <c r="W339" s="86"/>
      <c r="X339" s="86"/>
      <c r="Y339" s="86"/>
      <c r="Z339" s="86"/>
      <c r="AA339" s="86"/>
      <c r="AB339" s="86"/>
      <c r="AC339" s="86"/>
      <c r="AD339" s="86"/>
      <c r="AE339" s="86"/>
      <c r="AF339" s="86"/>
      <c r="AG339" s="86"/>
      <c r="AH339" s="86"/>
      <c r="AI339" s="86"/>
      <c r="AJ339" s="86"/>
      <c r="AK339" s="86"/>
      <c r="AL339" s="86"/>
      <c r="AM339" s="86"/>
      <c r="AN339" s="86"/>
      <c r="AO339" s="86"/>
      <c r="AP339" s="86"/>
      <c r="AQ339" s="86"/>
      <c r="AR339" s="86"/>
      <c r="AS339" s="86"/>
      <c r="AT339" s="86"/>
      <c r="AU339" s="86"/>
      <c r="AV339" s="86"/>
      <c r="AW339" s="86"/>
      <c r="AX339" s="86"/>
      <c r="AY339" s="86"/>
      <c r="AZ339" s="86"/>
      <c r="BA339" s="86"/>
      <c r="BB339" s="86"/>
      <c r="BC339" s="86"/>
      <c r="BD339" s="86"/>
      <c r="BE339" s="86"/>
      <c r="BF339" s="86"/>
      <c r="BG339" s="86"/>
      <c r="BH339" s="86"/>
      <c r="BI339" s="86"/>
      <c r="BJ339" s="86"/>
      <c r="BK339" s="86"/>
      <c r="BL339" s="86"/>
      <c r="BM339" s="86"/>
      <c r="BN339" s="86"/>
      <c r="BO339" s="86"/>
      <c r="BP339" s="86"/>
      <c r="BQ339" s="86"/>
      <c r="BR339" s="86"/>
      <c r="BS339" s="86"/>
      <c r="BT339" s="86"/>
      <c r="BU339" s="86"/>
      <c r="BV339" s="86"/>
    </row>
    <row r="340" spans="1:74" s="87" customFormat="1" ht="19.5" x14ac:dyDescent="0.2">
      <c r="A340" s="81" t="s">
        <v>822</v>
      </c>
      <c r="B340" s="79" t="s">
        <v>108</v>
      </c>
      <c r="C340" s="162">
        <f>+C341</f>
        <v>5734052268</v>
      </c>
      <c r="D340" s="162">
        <f t="shared" ref="D340:N340" si="223">+D341</f>
        <v>0</v>
      </c>
      <c r="E340" s="162">
        <f t="shared" si="223"/>
        <v>19694419247.690002</v>
      </c>
      <c r="F340" s="162">
        <f t="shared" si="223"/>
        <v>0</v>
      </c>
      <c r="G340" s="162">
        <f>+G341</f>
        <v>145383496457.16998</v>
      </c>
      <c r="H340" s="162">
        <f t="shared" si="223"/>
        <v>0</v>
      </c>
      <c r="I340" s="162">
        <f t="shared" si="223"/>
        <v>0</v>
      </c>
      <c r="J340" s="162">
        <f t="shared" si="223"/>
        <v>0</v>
      </c>
      <c r="K340" s="162">
        <f t="shared" si="223"/>
        <v>0</v>
      </c>
      <c r="L340" s="162">
        <f t="shared" si="223"/>
        <v>0</v>
      </c>
      <c r="M340" s="162">
        <f t="shared" si="223"/>
        <v>0</v>
      </c>
      <c r="N340" s="162">
        <f t="shared" si="223"/>
        <v>0</v>
      </c>
      <c r="O340" s="140">
        <f t="shared" si="217"/>
        <v>170811967972.85999</v>
      </c>
      <c r="P340" s="86">
        <v>170811967972.85999</v>
      </c>
      <c r="Q340" s="108">
        <f t="shared" si="221"/>
        <v>0</v>
      </c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86"/>
      <c r="AT340" s="86"/>
      <c r="AU340" s="86"/>
      <c r="AV340" s="86"/>
      <c r="AW340" s="86"/>
      <c r="AX340" s="86"/>
      <c r="AY340" s="86"/>
      <c r="AZ340" s="86"/>
      <c r="BA340" s="86"/>
      <c r="BB340" s="86"/>
      <c r="BC340" s="86"/>
      <c r="BD340" s="86"/>
      <c r="BE340" s="86"/>
      <c r="BF340" s="86"/>
      <c r="BG340" s="86"/>
      <c r="BH340" s="86"/>
      <c r="BI340" s="86"/>
      <c r="BJ340" s="86"/>
      <c r="BK340" s="86"/>
      <c r="BL340" s="86"/>
      <c r="BM340" s="86"/>
      <c r="BN340" s="86"/>
      <c r="BO340" s="86"/>
      <c r="BP340" s="86"/>
      <c r="BQ340" s="86"/>
      <c r="BR340" s="86"/>
      <c r="BS340" s="86"/>
      <c r="BT340" s="86"/>
      <c r="BU340" s="86"/>
      <c r="BV340" s="86"/>
    </row>
    <row r="341" spans="1:74" s="87" customFormat="1" ht="19.5" x14ac:dyDescent="0.2">
      <c r="A341" s="81" t="s">
        <v>823</v>
      </c>
      <c r="B341" s="79" t="s">
        <v>824</v>
      </c>
      <c r="C341" s="162">
        <f t="shared" ref="C341:O341" si="224">+C342+C346+C400+C403+C406+C414+C455+C461+C493+C495+C497+C499+C501+C503+C505+C507+C509+C511+C513+C515+C517+C519+C521+C523+C525+C527+C529+C531+C533+C535+C537+C539+C541+C543+C545+C547+C549+C551+C553+C555+C560+C563</f>
        <v>5734052268</v>
      </c>
      <c r="D341" s="162">
        <f t="shared" si="224"/>
        <v>0</v>
      </c>
      <c r="E341" s="162">
        <f t="shared" si="224"/>
        <v>19694419247.690002</v>
      </c>
      <c r="F341" s="162">
        <f t="shared" si="224"/>
        <v>0</v>
      </c>
      <c r="G341" s="162">
        <f t="shared" si="224"/>
        <v>145383496457.16998</v>
      </c>
      <c r="H341" s="162">
        <f t="shared" si="224"/>
        <v>0</v>
      </c>
      <c r="I341" s="162">
        <f t="shared" si="224"/>
        <v>0</v>
      </c>
      <c r="J341" s="162">
        <f t="shared" si="224"/>
        <v>0</v>
      </c>
      <c r="K341" s="162">
        <f t="shared" si="224"/>
        <v>0</v>
      </c>
      <c r="L341" s="162">
        <f t="shared" si="224"/>
        <v>0</v>
      </c>
      <c r="M341" s="162">
        <f t="shared" si="224"/>
        <v>0</v>
      </c>
      <c r="N341" s="162">
        <f t="shared" si="224"/>
        <v>0</v>
      </c>
      <c r="O341" s="371">
        <f t="shared" si="224"/>
        <v>170811967972.86005</v>
      </c>
      <c r="P341" s="86">
        <v>170811967972.85999</v>
      </c>
      <c r="Q341" s="108">
        <f t="shared" si="221"/>
        <v>0</v>
      </c>
      <c r="R341" s="86"/>
      <c r="S341" s="86"/>
      <c r="T341" s="86"/>
      <c r="U341" s="86"/>
      <c r="V341" s="86"/>
      <c r="W341" s="86"/>
      <c r="X341" s="86"/>
      <c r="Y341" s="86"/>
      <c r="Z341" s="86"/>
      <c r="AA341" s="86"/>
      <c r="AB341" s="86"/>
      <c r="AC341" s="86"/>
      <c r="AD341" s="86"/>
      <c r="AE341" s="86"/>
      <c r="AF341" s="86"/>
      <c r="AG341" s="86"/>
      <c r="AH341" s="86"/>
      <c r="AI341" s="86"/>
      <c r="AJ341" s="86"/>
      <c r="AK341" s="86"/>
      <c r="AL341" s="86"/>
      <c r="AM341" s="86"/>
      <c r="AN341" s="86"/>
      <c r="AO341" s="86"/>
      <c r="AP341" s="86"/>
      <c r="AQ341" s="86"/>
      <c r="AR341" s="86"/>
      <c r="AS341" s="86"/>
      <c r="AT341" s="86"/>
      <c r="AU341" s="86"/>
      <c r="AV341" s="86"/>
      <c r="AW341" s="86"/>
      <c r="AX341" s="86"/>
      <c r="AY341" s="86"/>
      <c r="AZ341" s="86"/>
      <c r="BA341" s="86"/>
      <c r="BB341" s="86"/>
      <c r="BC341" s="86"/>
      <c r="BD341" s="86"/>
      <c r="BE341" s="86"/>
      <c r="BF341" s="86"/>
      <c r="BG341" s="86"/>
      <c r="BH341" s="86"/>
      <c r="BI341" s="86"/>
      <c r="BJ341" s="86"/>
      <c r="BK341" s="86"/>
      <c r="BL341" s="86"/>
      <c r="BM341" s="86"/>
      <c r="BN341" s="86"/>
      <c r="BO341" s="86"/>
      <c r="BP341" s="86"/>
      <c r="BQ341" s="86"/>
      <c r="BR341" s="86"/>
      <c r="BS341" s="86"/>
      <c r="BT341" s="86"/>
      <c r="BU341" s="86"/>
      <c r="BV341" s="86"/>
    </row>
    <row r="342" spans="1:74" s="87" customFormat="1" ht="58.5" customHeight="1" x14ac:dyDescent="0.2">
      <c r="A342" s="81" t="s">
        <v>825</v>
      </c>
      <c r="B342" s="79" t="s">
        <v>826</v>
      </c>
      <c r="C342" s="162">
        <f t="shared" ref="C342" si="225">SUM(C343:C345)</f>
        <v>5727988989</v>
      </c>
      <c r="D342" s="162">
        <f t="shared" ref="D342:N342" si="226">SUM(D343:D345)</f>
        <v>0</v>
      </c>
      <c r="E342" s="162">
        <f t="shared" si="226"/>
        <v>0</v>
      </c>
      <c r="F342" s="162">
        <f t="shared" si="226"/>
        <v>0</v>
      </c>
      <c r="G342" s="162">
        <f>SUM(G343:G345)</f>
        <v>0</v>
      </c>
      <c r="H342" s="162">
        <f t="shared" si="226"/>
        <v>0</v>
      </c>
      <c r="I342" s="162">
        <f t="shared" si="226"/>
        <v>0</v>
      </c>
      <c r="J342" s="162">
        <f t="shared" si="226"/>
        <v>0</v>
      </c>
      <c r="K342" s="162">
        <f t="shared" si="226"/>
        <v>0</v>
      </c>
      <c r="L342" s="162">
        <f t="shared" si="226"/>
        <v>0</v>
      </c>
      <c r="M342" s="162">
        <f t="shared" si="226"/>
        <v>0</v>
      </c>
      <c r="N342" s="162">
        <f t="shared" si="226"/>
        <v>0</v>
      </c>
      <c r="O342" s="140">
        <f t="shared" si="217"/>
        <v>5727988989</v>
      </c>
      <c r="P342" s="86">
        <v>5727988989</v>
      </c>
      <c r="Q342" s="108">
        <f t="shared" si="221"/>
        <v>0</v>
      </c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86"/>
      <c r="AT342" s="86"/>
      <c r="AU342" s="86"/>
      <c r="AV342" s="86"/>
      <c r="AW342" s="86"/>
      <c r="AX342" s="86"/>
      <c r="AY342" s="86"/>
      <c r="AZ342" s="86"/>
      <c r="BA342" s="86"/>
      <c r="BB342" s="86"/>
      <c r="BC342" s="86"/>
      <c r="BD342" s="86"/>
      <c r="BE342" s="86"/>
      <c r="BF342" s="86"/>
      <c r="BG342" s="86"/>
      <c r="BH342" s="86"/>
      <c r="BI342" s="86"/>
      <c r="BJ342" s="86"/>
      <c r="BK342" s="86"/>
      <c r="BL342" s="86"/>
      <c r="BM342" s="86"/>
      <c r="BN342" s="86"/>
      <c r="BO342" s="86"/>
      <c r="BP342" s="86"/>
      <c r="BQ342" s="86"/>
      <c r="BR342" s="86"/>
      <c r="BS342" s="86"/>
      <c r="BT342" s="86"/>
      <c r="BU342" s="86"/>
      <c r="BV342" s="86"/>
    </row>
    <row r="343" spans="1:74" s="87" customFormat="1" ht="28.5" x14ac:dyDescent="0.2">
      <c r="A343" s="76" t="s">
        <v>827</v>
      </c>
      <c r="B343" s="77" t="s">
        <v>828</v>
      </c>
      <c r="C343" s="41">
        <v>574700</v>
      </c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140">
        <f t="shared" si="217"/>
        <v>574700</v>
      </c>
      <c r="P343" s="86">
        <v>574700</v>
      </c>
      <c r="Q343" s="108">
        <f t="shared" si="221"/>
        <v>0</v>
      </c>
      <c r="R343" s="86"/>
      <c r="S343" s="86"/>
      <c r="T343" s="86"/>
      <c r="U343" s="86"/>
      <c r="V343" s="86"/>
      <c r="W343" s="86"/>
      <c r="X343" s="86"/>
      <c r="Y343" s="86"/>
      <c r="Z343" s="86"/>
      <c r="AA343" s="86"/>
      <c r="AB343" s="86"/>
      <c r="AC343" s="86"/>
      <c r="AD343" s="86"/>
      <c r="AE343" s="86"/>
      <c r="AF343" s="86"/>
      <c r="AG343" s="86"/>
      <c r="AH343" s="86"/>
      <c r="AI343" s="86"/>
      <c r="AJ343" s="86"/>
      <c r="AK343" s="86"/>
      <c r="AL343" s="86"/>
      <c r="AM343" s="86"/>
      <c r="AN343" s="86"/>
      <c r="AO343" s="86"/>
      <c r="AP343" s="86"/>
      <c r="AQ343" s="86"/>
      <c r="AR343" s="86"/>
      <c r="AS343" s="86"/>
      <c r="AT343" s="86"/>
      <c r="AU343" s="86"/>
      <c r="AV343" s="86"/>
      <c r="AW343" s="86"/>
      <c r="AX343" s="86"/>
      <c r="AY343" s="86"/>
      <c r="AZ343" s="86"/>
      <c r="BA343" s="86"/>
      <c r="BB343" s="86"/>
      <c r="BC343" s="86"/>
      <c r="BD343" s="86"/>
      <c r="BE343" s="86"/>
      <c r="BF343" s="86"/>
      <c r="BG343" s="86"/>
      <c r="BH343" s="86"/>
      <c r="BI343" s="86"/>
      <c r="BJ343" s="86"/>
      <c r="BK343" s="86"/>
      <c r="BL343" s="86"/>
      <c r="BM343" s="86"/>
      <c r="BN343" s="86"/>
      <c r="BO343" s="86"/>
      <c r="BP343" s="86"/>
      <c r="BQ343" s="86"/>
      <c r="BR343" s="86"/>
      <c r="BS343" s="86"/>
      <c r="BT343" s="86"/>
      <c r="BU343" s="86"/>
      <c r="BV343" s="86"/>
    </row>
    <row r="344" spans="1:74" s="87" customFormat="1" ht="57" x14ac:dyDescent="0.2">
      <c r="A344" s="76" t="s">
        <v>829</v>
      </c>
      <c r="B344" s="77" t="s">
        <v>830</v>
      </c>
      <c r="C344" s="41">
        <v>5709414289</v>
      </c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140">
        <f t="shared" si="217"/>
        <v>5709414289</v>
      </c>
      <c r="P344" s="86">
        <v>5709414289</v>
      </c>
      <c r="Q344" s="108">
        <f t="shared" si="221"/>
        <v>0</v>
      </c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86"/>
      <c r="AT344" s="86"/>
      <c r="AU344" s="86"/>
      <c r="AV344" s="86"/>
      <c r="AW344" s="86"/>
      <c r="AX344" s="86"/>
      <c r="AY344" s="86"/>
      <c r="AZ344" s="86"/>
      <c r="BA344" s="86"/>
      <c r="BB344" s="86"/>
      <c r="BC344" s="86"/>
      <c r="BD344" s="86"/>
      <c r="BE344" s="86"/>
      <c r="BF344" s="86"/>
      <c r="BG344" s="86"/>
      <c r="BH344" s="86"/>
      <c r="BI344" s="86"/>
      <c r="BJ344" s="86"/>
      <c r="BK344" s="86"/>
      <c r="BL344" s="86"/>
      <c r="BM344" s="86"/>
      <c r="BN344" s="86"/>
      <c r="BO344" s="86"/>
      <c r="BP344" s="86"/>
      <c r="BQ344" s="86"/>
      <c r="BR344" s="86"/>
      <c r="BS344" s="86"/>
      <c r="BT344" s="86"/>
      <c r="BU344" s="86"/>
      <c r="BV344" s="86"/>
    </row>
    <row r="345" spans="1:74" s="87" customFormat="1" ht="42.75" x14ac:dyDescent="0.2">
      <c r="A345" s="76" t="s">
        <v>831</v>
      </c>
      <c r="B345" s="77" t="s">
        <v>832</v>
      </c>
      <c r="C345" s="41">
        <v>18000000</v>
      </c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140">
        <f t="shared" si="217"/>
        <v>18000000</v>
      </c>
      <c r="P345" s="86">
        <v>18000000</v>
      </c>
      <c r="Q345" s="108">
        <f t="shared" si="221"/>
        <v>0</v>
      </c>
      <c r="R345" s="86"/>
      <c r="S345" s="86"/>
      <c r="T345" s="86"/>
      <c r="U345" s="86"/>
      <c r="V345" s="86"/>
      <c r="W345" s="86"/>
      <c r="X345" s="86"/>
      <c r="Y345" s="86"/>
      <c r="Z345" s="86"/>
      <c r="AA345" s="86"/>
      <c r="AB345" s="86"/>
      <c r="AC345" s="86"/>
      <c r="AD345" s="86"/>
      <c r="AE345" s="86"/>
      <c r="AF345" s="86"/>
      <c r="AG345" s="86"/>
      <c r="AH345" s="86"/>
      <c r="AI345" s="86"/>
      <c r="AJ345" s="86"/>
      <c r="AK345" s="86"/>
      <c r="AL345" s="86"/>
      <c r="AM345" s="86"/>
      <c r="AN345" s="86"/>
      <c r="AO345" s="86"/>
      <c r="AP345" s="86"/>
      <c r="AQ345" s="86"/>
      <c r="AR345" s="86"/>
      <c r="AS345" s="86"/>
      <c r="AT345" s="86"/>
      <c r="AU345" s="86"/>
      <c r="AV345" s="86"/>
      <c r="AW345" s="86"/>
      <c r="AX345" s="86"/>
      <c r="AY345" s="86"/>
      <c r="AZ345" s="86"/>
      <c r="BA345" s="86"/>
      <c r="BB345" s="86"/>
      <c r="BC345" s="86"/>
      <c r="BD345" s="86"/>
      <c r="BE345" s="86"/>
      <c r="BF345" s="86"/>
      <c r="BG345" s="86"/>
      <c r="BH345" s="86"/>
      <c r="BI345" s="86"/>
      <c r="BJ345" s="86"/>
      <c r="BK345" s="86"/>
      <c r="BL345" s="86"/>
      <c r="BM345" s="86"/>
      <c r="BN345" s="86"/>
      <c r="BO345" s="86"/>
      <c r="BP345" s="86"/>
      <c r="BQ345" s="86"/>
      <c r="BR345" s="86"/>
      <c r="BS345" s="86"/>
      <c r="BT345" s="86"/>
      <c r="BU345" s="86"/>
      <c r="BV345" s="86"/>
    </row>
    <row r="346" spans="1:74" s="87" customFormat="1" ht="31.5" x14ac:dyDescent="0.2">
      <c r="A346" s="81" t="s">
        <v>833</v>
      </c>
      <c r="B346" s="79" t="s">
        <v>834</v>
      </c>
      <c r="C346" s="162">
        <f t="shared" ref="C346:N346" si="227">+C347+C349+C352+C354+C374+C375+C376+C377+C378+C379+C380+C381+C382+C383+C384+C385+C386+C387+C388+C389+C390+C391+C392+C393+C394+C395+C396+C397+C398+C399</f>
        <v>6063279</v>
      </c>
      <c r="D346" s="162">
        <f t="shared" si="227"/>
        <v>0</v>
      </c>
      <c r="E346" s="162">
        <f t="shared" si="227"/>
        <v>779972439.33000004</v>
      </c>
      <c r="F346" s="162">
        <f t="shared" si="227"/>
        <v>0</v>
      </c>
      <c r="G346" s="162">
        <f t="shared" si="227"/>
        <v>7839414227.6299992</v>
      </c>
      <c r="H346" s="162">
        <f t="shared" si="227"/>
        <v>0</v>
      </c>
      <c r="I346" s="162">
        <f t="shared" si="227"/>
        <v>0</v>
      </c>
      <c r="J346" s="162">
        <f t="shared" si="227"/>
        <v>0</v>
      </c>
      <c r="K346" s="162">
        <f t="shared" si="227"/>
        <v>0</v>
      </c>
      <c r="L346" s="162">
        <f t="shared" si="227"/>
        <v>0</v>
      </c>
      <c r="M346" s="162">
        <f t="shared" si="227"/>
        <v>0</v>
      </c>
      <c r="N346" s="162">
        <f t="shared" si="227"/>
        <v>0</v>
      </c>
      <c r="O346" s="140">
        <f t="shared" si="217"/>
        <v>8625449945.9599991</v>
      </c>
      <c r="P346" s="86">
        <v>8625449945.9599991</v>
      </c>
      <c r="Q346" s="108">
        <f t="shared" si="221"/>
        <v>0</v>
      </c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86"/>
      <c r="AT346" s="86"/>
      <c r="AU346" s="86"/>
      <c r="AV346" s="86"/>
      <c r="AW346" s="86"/>
      <c r="AX346" s="86"/>
      <c r="AY346" s="86"/>
      <c r="AZ346" s="86"/>
      <c r="BA346" s="86"/>
      <c r="BB346" s="86"/>
      <c r="BC346" s="86"/>
      <c r="BD346" s="86"/>
      <c r="BE346" s="86"/>
      <c r="BF346" s="86"/>
      <c r="BG346" s="86"/>
      <c r="BH346" s="86"/>
      <c r="BI346" s="86"/>
      <c r="BJ346" s="86"/>
      <c r="BK346" s="86"/>
      <c r="BL346" s="86"/>
      <c r="BM346" s="86"/>
      <c r="BN346" s="86"/>
      <c r="BO346" s="86"/>
      <c r="BP346" s="86"/>
      <c r="BQ346" s="86"/>
      <c r="BR346" s="86"/>
      <c r="BS346" s="86"/>
      <c r="BT346" s="86"/>
      <c r="BU346" s="86"/>
      <c r="BV346" s="86"/>
    </row>
    <row r="347" spans="1:74" s="87" customFormat="1" ht="31.5" x14ac:dyDescent="0.2">
      <c r="A347" s="81" t="s">
        <v>835</v>
      </c>
      <c r="B347" s="79" t="s">
        <v>836</v>
      </c>
      <c r="C347" s="162">
        <f>+C348</f>
        <v>6063279</v>
      </c>
      <c r="D347" s="162">
        <f t="shared" ref="D347:N347" si="228">+D348</f>
        <v>0</v>
      </c>
      <c r="E347" s="162">
        <f t="shared" si="228"/>
        <v>0</v>
      </c>
      <c r="F347" s="162">
        <f t="shared" si="228"/>
        <v>0</v>
      </c>
      <c r="G347" s="162">
        <f t="shared" si="228"/>
        <v>0</v>
      </c>
      <c r="H347" s="162">
        <f t="shared" si="228"/>
        <v>0</v>
      </c>
      <c r="I347" s="162">
        <f t="shared" si="228"/>
        <v>0</v>
      </c>
      <c r="J347" s="162">
        <f t="shared" si="228"/>
        <v>0</v>
      </c>
      <c r="K347" s="162">
        <f t="shared" si="228"/>
        <v>0</v>
      </c>
      <c r="L347" s="162">
        <f t="shared" si="228"/>
        <v>0</v>
      </c>
      <c r="M347" s="162">
        <f t="shared" si="228"/>
        <v>0</v>
      </c>
      <c r="N347" s="162">
        <f t="shared" si="228"/>
        <v>0</v>
      </c>
      <c r="O347" s="140">
        <f t="shared" si="217"/>
        <v>6063279</v>
      </c>
      <c r="P347" s="86">
        <v>6063279</v>
      </c>
      <c r="Q347" s="108">
        <f t="shared" si="221"/>
        <v>0</v>
      </c>
      <c r="R347" s="86"/>
      <c r="S347" s="86"/>
      <c r="T347" s="86"/>
      <c r="U347" s="86"/>
      <c r="V347" s="86"/>
      <c r="W347" s="86"/>
      <c r="X347" s="86"/>
      <c r="Y347" s="86"/>
      <c r="Z347" s="86"/>
      <c r="AA347" s="86"/>
      <c r="AB347" s="86"/>
      <c r="AC347" s="86"/>
      <c r="AD347" s="86"/>
      <c r="AE347" s="86"/>
      <c r="AF347" s="86"/>
      <c r="AG347" s="86"/>
      <c r="AH347" s="86"/>
      <c r="AI347" s="86"/>
      <c r="AJ347" s="86"/>
      <c r="AK347" s="86"/>
      <c r="AL347" s="86"/>
      <c r="AM347" s="86"/>
      <c r="AN347" s="86"/>
      <c r="AO347" s="86"/>
      <c r="AP347" s="86"/>
      <c r="AQ347" s="86"/>
      <c r="AR347" s="86"/>
      <c r="AS347" s="86"/>
      <c r="AT347" s="86"/>
      <c r="AU347" s="86"/>
      <c r="AV347" s="86"/>
      <c r="AW347" s="86"/>
      <c r="AX347" s="86"/>
      <c r="AY347" s="86"/>
      <c r="AZ347" s="86"/>
      <c r="BA347" s="86"/>
      <c r="BB347" s="86"/>
      <c r="BC347" s="86"/>
      <c r="BD347" s="86"/>
      <c r="BE347" s="86"/>
      <c r="BF347" s="86"/>
      <c r="BG347" s="86"/>
      <c r="BH347" s="86"/>
      <c r="BI347" s="86"/>
      <c r="BJ347" s="86"/>
      <c r="BK347" s="86"/>
      <c r="BL347" s="86"/>
      <c r="BM347" s="86"/>
      <c r="BN347" s="86"/>
      <c r="BO347" s="86"/>
      <c r="BP347" s="86"/>
      <c r="BQ347" s="86"/>
      <c r="BR347" s="86"/>
      <c r="BS347" s="86"/>
      <c r="BT347" s="86"/>
      <c r="BU347" s="86"/>
      <c r="BV347" s="86"/>
    </row>
    <row r="348" spans="1:74" s="87" customFormat="1" ht="28.5" x14ac:dyDescent="0.2">
      <c r="A348" s="76" t="s">
        <v>837</v>
      </c>
      <c r="B348" s="77" t="s">
        <v>836</v>
      </c>
      <c r="C348" s="41">
        <v>6063279</v>
      </c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140">
        <f t="shared" si="217"/>
        <v>6063279</v>
      </c>
      <c r="P348" s="86">
        <v>6063279</v>
      </c>
      <c r="Q348" s="108">
        <f t="shared" si="221"/>
        <v>0</v>
      </c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86"/>
      <c r="AT348" s="86"/>
      <c r="AU348" s="86"/>
      <c r="AV348" s="86"/>
      <c r="AW348" s="86"/>
      <c r="AX348" s="86"/>
      <c r="AY348" s="86"/>
      <c r="AZ348" s="86"/>
      <c r="BA348" s="86"/>
      <c r="BB348" s="86"/>
      <c r="BC348" s="86"/>
      <c r="BD348" s="86"/>
      <c r="BE348" s="86"/>
      <c r="BF348" s="86"/>
      <c r="BG348" s="86"/>
      <c r="BH348" s="86"/>
      <c r="BI348" s="86"/>
      <c r="BJ348" s="86"/>
      <c r="BK348" s="86"/>
      <c r="BL348" s="86"/>
      <c r="BM348" s="86"/>
      <c r="BN348" s="86"/>
      <c r="BO348" s="86"/>
      <c r="BP348" s="86"/>
      <c r="BQ348" s="86"/>
      <c r="BR348" s="86"/>
      <c r="BS348" s="86"/>
      <c r="BT348" s="86"/>
      <c r="BU348" s="86"/>
      <c r="BV348" s="86"/>
    </row>
    <row r="349" spans="1:74" s="87" customFormat="1" ht="31.5" x14ac:dyDescent="0.2">
      <c r="A349" s="81" t="s">
        <v>1211</v>
      </c>
      <c r="B349" s="79" t="s">
        <v>1212</v>
      </c>
      <c r="C349" s="162">
        <f>SUM(C350:C351)</f>
        <v>0</v>
      </c>
      <c r="D349" s="162">
        <f t="shared" ref="D349:N349" si="229">SUM(D350:D351)</f>
        <v>0</v>
      </c>
      <c r="E349" s="162">
        <f t="shared" si="229"/>
        <v>725437500</v>
      </c>
      <c r="F349" s="162">
        <f t="shared" si="229"/>
        <v>0</v>
      </c>
      <c r="G349" s="162">
        <f>SUM(G350:G351)</f>
        <v>612356670.00999999</v>
      </c>
      <c r="H349" s="162">
        <f t="shared" si="229"/>
        <v>0</v>
      </c>
      <c r="I349" s="162">
        <f t="shared" si="229"/>
        <v>0</v>
      </c>
      <c r="J349" s="162">
        <f t="shared" si="229"/>
        <v>0</v>
      </c>
      <c r="K349" s="162">
        <f t="shared" si="229"/>
        <v>0</v>
      </c>
      <c r="L349" s="162">
        <f t="shared" si="229"/>
        <v>0</v>
      </c>
      <c r="M349" s="162">
        <f t="shared" si="229"/>
        <v>0</v>
      </c>
      <c r="N349" s="162">
        <f t="shared" si="229"/>
        <v>0</v>
      </c>
      <c r="O349" s="140">
        <f t="shared" si="217"/>
        <v>1337794170.01</v>
      </c>
      <c r="P349" s="86">
        <v>1337794170.01</v>
      </c>
      <c r="Q349" s="108">
        <f t="shared" si="221"/>
        <v>0</v>
      </c>
      <c r="R349" s="86"/>
      <c r="S349" s="86"/>
      <c r="T349" s="86"/>
      <c r="U349" s="86"/>
      <c r="V349" s="86"/>
      <c r="W349" s="86"/>
      <c r="X349" s="86"/>
      <c r="Y349" s="86"/>
      <c r="Z349" s="86"/>
      <c r="AA349" s="86"/>
      <c r="AB349" s="86"/>
      <c r="AC349" s="86"/>
      <c r="AD349" s="86"/>
      <c r="AE349" s="86"/>
      <c r="AF349" s="86"/>
      <c r="AG349" s="86"/>
      <c r="AH349" s="86"/>
      <c r="AI349" s="86"/>
      <c r="AJ349" s="86"/>
      <c r="AK349" s="86"/>
      <c r="AL349" s="86"/>
      <c r="AM349" s="86"/>
      <c r="AN349" s="86"/>
      <c r="AO349" s="86"/>
      <c r="AP349" s="86"/>
      <c r="AQ349" s="86"/>
      <c r="AR349" s="86"/>
      <c r="AS349" s="86"/>
      <c r="AT349" s="86"/>
      <c r="AU349" s="86"/>
      <c r="AV349" s="86"/>
      <c r="AW349" s="86"/>
      <c r="AX349" s="86"/>
      <c r="AY349" s="86"/>
      <c r="AZ349" s="86"/>
      <c r="BA349" s="86"/>
      <c r="BB349" s="86"/>
      <c r="BC349" s="86"/>
      <c r="BD349" s="86"/>
      <c r="BE349" s="86"/>
      <c r="BF349" s="86"/>
      <c r="BG349" s="86"/>
      <c r="BH349" s="86"/>
      <c r="BI349" s="86"/>
      <c r="BJ349" s="86"/>
      <c r="BK349" s="86"/>
      <c r="BL349" s="86"/>
      <c r="BM349" s="86"/>
      <c r="BN349" s="86"/>
      <c r="BO349" s="86"/>
      <c r="BP349" s="86"/>
      <c r="BQ349" s="86"/>
      <c r="BR349" s="86"/>
      <c r="BS349" s="86"/>
      <c r="BT349" s="86"/>
      <c r="BU349" s="86"/>
      <c r="BV349" s="86"/>
    </row>
    <row r="350" spans="1:74" s="317" customFormat="1" ht="28.5" x14ac:dyDescent="0.2">
      <c r="A350" s="76" t="s">
        <v>1213</v>
      </c>
      <c r="B350" s="77" t="s">
        <v>1212</v>
      </c>
      <c r="C350" s="128"/>
      <c r="D350" s="128"/>
      <c r="E350" s="128"/>
      <c r="F350" s="128"/>
      <c r="G350" s="128">
        <v>612356670.00999999</v>
      </c>
      <c r="H350" s="128"/>
      <c r="I350" s="128"/>
      <c r="J350" s="128"/>
      <c r="K350" s="128"/>
      <c r="L350" s="128"/>
      <c r="M350" s="128"/>
      <c r="N350" s="128"/>
      <c r="O350" s="198">
        <f t="shared" si="217"/>
        <v>612356670.00999999</v>
      </c>
      <c r="P350" s="86">
        <v>612356670.00999999</v>
      </c>
      <c r="Q350" s="108">
        <f t="shared" si="221"/>
        <v>0</v>
      </c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/>
      <c r="BP350" s="116"/>
      <c r="BQ350" s="116"/>
      <c r="BR350" s="116"/>
      <c r="BS350" s="116"/>
      <c r="BT350" s="116"/>
      <c r="BU350" s="116"/>
      <c r="BV350" s="116"/>
    </row>
    <row r="351" spans="1:74" s="87" customFormat="1" ht="28.5" x14ac:dyDescent="0.2">
      <c r="A351" s="76" t="s">
        <v>1213</v>
      </c>
      <c r="B351" s="77" t="s">
        <v>1212</v>
      </c>
      <c r="C351" s="41"/>
      <c r="D351" s="41"/>
      <c r="E351" s="41">
        <v>725437500</v>
      </c>
      <c r="F351" s="41"/>
      <c r="G351" s="41"/>
      <c r="H351" s="41"/>
      <c r="I351" s="41"/>
      <c r="J351" s="41"/>
      <c r="K351" s="41"/>
      <c r="L351" s="41"/>
      <c r="M351" s="41"/>
      <c r="N351" s="41"/>
      <c r="O351" s="140">
        <f t="shared" si="217"/>
        <v>725437500</v>
      </c>
      <c r="P351" s="86">
        <v>725437500</v>
      </c>
      <c r="Q351" s="108">
        <f t="shared" si="221"/>
        <v>0</v>
      </c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  <c r="AP351" s="86"/>
      <c r="AQ351" s="86"/>
      <c r="AR351" s="86"/>
      <c r="AS351" s="86"/>
      <c r="AT351" s="86"/>
      <c r="AU351" s="86"/>
      <c r="AV351" s="86"/>
      <c r="AW351" s="86"/>
      <c r="AX351" s="86"/>
      <c r="AY351" s="86"/>
      <c r="AZ351" s="86"/>
      <c r="BA351" s="86"/>
      <c r="BB351" s="86"/>
      <c r="BC351" s="86"/>
      <c r="BD351" s="86"/>
      <c r="BE351" s="86"/>
      <c r="BF351" s="86"/>
      <c r="BG351" s="86"/>
      <c r="BH351" s="86"/>
      <c r="BI351" s="86"/>
      <c r="BJ351" s="86"/>
      <c r="BK351" s="86"/>
      <c r="BL351" s="86"/>
      <c r="BM351" s="86"/>
      <c r="BN351" s="86"/>
      <c r="BO351" s="86"/>
      <c r="BP351" s="86"/>
      <c r="BQ351" s="86"/>
      <c r="BR351" s="86"/>
      <c r="BS351" s="86"/>
      <c r="BT351" s="86"/>
      <c r="BU351" s="86"/>
      <c r="BV351" s="86"/>
    </row>
    <row r="352" spans="1:74" s="87" customFormat="1" ht="47.25" x14ac:dyDescent="0.2">
      <c r="A352" s="81" t="s">
        <v>1214</v>
      </c>
      <c r="B352" s="79" t="s">
        <v>1215</v>
      </c>
      <c r="C352" s="162">
        <f>+C353</f>
        <v>0</v>
      </c>
      <c r="D352" s="162">
        <f t="shared" ref="D352:N352" si="230">+D353</f>
        <v>0</v>
      </c>
      <c r="E352" s="162">
        <f t="shared" si="230"/>
        <v>54534939.329999998</v>
      </c>
      <c r="F352" s="162">
        <f t="shared" si="230"/>
        <v>0</v>
      </c>
      <c r="G352" s="162">
        <f>+G353</f>
        <v>0</v>
      </c>
      <c r="H352" s="162">
        <f t="shared" si="230"/>
        <v>0</v>
      </c>
      <c r="I352" s="162">
        <f t="shared" si="230"/>
        <v>0</v>
      </c>
      <c r="J352" s="162">
        <f t="shared" si="230"/>
        <v>0</v>
      </c>
      <c r="K352" s="162">
        <f t="shared" si="230"/>
        <v>0</v>
      </c>
      <c r="L352" s="162">
        <f t="shared" si="230"/>
        <v>0</v>
      </c>
      <c r="M352" s="162">
        <f t="shared" si="230"/>
        <v>0</v>
      </c>
      <c r="N352" s="162">
        <f t="shared" si="230"/>
        <v>0</v>
      </c>
      <c r="O352" s="140">
        <f t="shared" si="217"/>
        <v>54534939.329999998</v>
      </c>
      <c r="P352" s="86">
        <v>54534939.329999998</v>
      </c>
      <c r="Q352" s="108">
        <f t="shared" si="221"/>
        <v>0</v>
      </c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86"/>
      <c r="AT352" s="86"/>
      <c r="AU352" s="86"/>
      <c r="AV352" s="86"/>
      <c r="AW352" s="86"/>
      <c r="AX352" s="86"/>
      <c r="AY352" s="86"/>
      <c r="AZ352" s="86"/>
      <c r="BA352" s="86"/>
      <c r="BB352" s="86"/>
      <c r="BC352" s="86"/>
      <c r="BD352" s="86"/>
      <c r="BE352" s="86"/>
      <c r="BF352" s="86"/>
      <c r="BG352" s="86"/>
      <c r="BH352" s="86"/>
      <c r="BI352" s="86"/>
      <c r="BJ352" s="86"/>
      <c r="BK352" s="86"/>
      <c r="BL352" s="86"/>
      <c r="BM352" s="86"/>
      <c r="BN352" s="86"/>
      <c r="BO352" s="86"/>
      <c r="BP352" s="86"/>
      <c r="BQ352" s="86"/>
      <c r="BR352" s="86"/>
      <c r="BS352" s="86"/>
      <c r="BT352" s="86"/>
      <c r="BU352" s="86"/>
      <c r="BV352" s="86"/>
    </row>
    <row r="353" spans="1:74" s="87" customFormat="1" ht="57" x14ac:dyDescent="0.2">
      <c r="A353" s="76" t="s">
        <v>1216</v>
      </c>
      <c r="B353" s="77" t="s">
        <v>1217</v>
      </c>
      <c r="C353" s="41"/>
      <c r="D353" s="41"/>
      <c r="E353" s="41">
        <v>54534939.329999998</v>
      </c>
      <c r="F353" s="41"/>
      <c r="G353" s="41"/>
      <c r="H353" s="41"/>
      <c r="I353" s="41"/>
      <c r="J353" s="41"/>
      <c r="K353" s="41"/>
      <c r="L353" s="41"/>
      <c r="M353" s="41"/>
      <c r="N353" s="41"/>
      <c r="O353" s="140">
        <f t="shared" si="217"/>
        <v>54534939.329999998</v>
      </c>
      <c r="P353" s="86">
        <v>54534939.329999998</v>
      </c>
      <c r="Q353" s="108">
        <f t="shared" si="221"/>
        <v>0</v>
      </c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  <c r="AP353" s="86"/>
      <c r="AQ353" s="86"/>
      <c r="AR353" s="86"/>
      <c r="AS353" s="86"/>
      <c r="AT353" s="86"/>
      <c r="AU353" s="86"/>
      <c r="AV353" s="86"/>
      <c r="AW353" s="86"/>
      <c r="AX353" s="86"/>
      <c r="AY353" s="86"/>
      <c r="AZ353" s="86"/>
      <c r="BA353" s="86"/>
      <c r="BB353" s="86"/>
      <c r="BC353" s="86"/>
      <c r="BD353" s="86"/>
      <c r="BE353" s="86"/>
      <c r="BF353" s="86"/>
      <c r="BG353" s="86"/>
      <c r="BH353" s="86"/>
      <c r="BI353" s="86"/>
      <c r="BJ353" s="86"/>
      <c r="BK353" s="86"/>
      <c r="BL353" s="86"/>
      <c r="BM353" s="86"/>
      <c r="BN353" s="86"/>
      <c r="BO353" s="86"/>
      <c r="BP353" s="86"/>
      <c r="BQ353" s="86"/>
      <c r="BR353" s="86"/>
      <c r="BS353" s="86"/>
      <c r="BT353" s="86"/>
      <c r="BU353" s="86"/>
      <c r="BV353" s="86"/>
    </row>
    <row r="354" spans="1:74" s="112" customFormat="1" ht="31.5" x14ac:dyDescent="0.2">
      <c r="A354" s="81" t="s">
        <v>1269</v>
      </c>
      <c r="B354" s="79" t="s">
        <v>1270</v>
      </c>
      <c r="C354" s="146">
        <f>SUM(C355:C373)</f>
        <v>0</v>
      </c>
      <c r="D354" s="146">
        <f t="shared" ref="D354:N354" si="231">SUM(D355:D373)</f>
        <v>0</v>
      </c>
      <c r="E354" s="146">
        <f t="shared" si="231"/>
        <v>0</v>
      </c>
      <c r="F354" s="146">
        <f t="shared" si="231"/>
        <v>0</v>
      </c>
      <c r="G354" s="146">
        <f t="shared" si="231"/>
        <v>3598645853.5599999</v>
      </c>
      <c r="H354" s="146">
        <f t="shared" si="231"/>
        <v>0</v>
      </c>
      <c r="I354" s="146">
        <f t="shared" si="231"/>
        <v>0</v>
      </c>
      <c r="J354" s="146">
        <f t="shared" si="231"/>
        <v>0</v>
      </c>
      <c r="K354" s="146">
        <f t="shared" si="231"/>
        <v>0</v>
      </c>
      <c r="L354" s="146">
        <f t="shared" si="231"/>
        <v>0</v>
      </c>
      <c r="M354" s="146">
        <f t="shared" si="231"/>
        <v>0</v>
      </c>
      <c r="N354" s="146">
        <f t="shared" si="231"/>
        <v>0</v>
      </c>
      <c r="O354" s="140">
        <f t="shared" si="217"/>
        <v>3598645853.5599999</v>
      </c>
      <c r="P354" s="86">
        <v>3598645853.5599999</v>
      </c>
      <c r="Q354" s="108">
        <f t="shared" si="221"/>
        <v>0</v>
      </c>
      <c r="R354" s="111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V354" s="111"/>
    </row>
    <row r="355" spans="1:74" s="87" customFormat="1" ht="28.5" x14ac:dyDescent="0.2">
      <c r="A355" s="76" t="s">
        <v>1271</v>
      </c>
      <c r="B355" s="77" t="s">
        <v>1272</v>
      </c>
      <c r="C355" s="41"/>
      <c r="D355" s="41"/>
      <c r="E355" s="41"/>
      <c r="F355" s="41"/>
      <c r="G355" s="41">
        <v>1902148.61</v>
      </c>
      <c r="H355" s="41"/>
      <c r="I355" s="41"/>
      <c r="J355" s="41"/>
      <c r="K355" s="41"/>
      <c r="L355" s="41"/>
      <c r="M355" s="41"/>
      <c r="N355" s="41"/>
      <c r="O355" s="140">
        <f t="shared" si="217"/>
        <v>1902148.61</v>
      </c>
      <c r="P355" s="86">
        <v>1902148.61</v>
      </c>
      <c r="Q355" s="108">
        <f t="shared" si="221"/>
        <v>0</v>
      </c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  <c r="AP355" s="86"/>
      <c r="AQ355" s="86"/>
      <c r="AR355" s="86"/>
      <c r="AS355" s="86"/>
      <c r="AT355" s="86"/>
      <c r="AU355" s="86"/>
      <c r="AV355" s="86"/>
      <c r="AW355" s="86"/>
      <c r="AX355" s="86"/>
      <c r="AY355" s="86"/>
      <c r="AZ355" s="86"/>
      <c r="BA355" s="86"/>
      <c r="BB355" s="86"/>
      <c r="BC355" s="86"/>
      <c r="BD355" s="86"/>
      <c r="BE355" s="86"/>
      <c r="BF355" s="86"/>
      <c r="BG355" s="86"/>
      <c r="BH355" s="86"/>
      <c r="BI355" s="86"/>
      <c r="BJ355" s="86"/>
      <c r="BK355" s="86"/>
      <c r="BL355" s="86"/>
      <c r="BM355" s="86"/>
      <c r="BN355" s="86"/>
      <c r="BO355" s="86"/>
      <c r="BP355" s="86"/>
      <c r="BQ355" s="86"/>
      <c r="BR355" s="86"/>
      <c r="BS355" s="86"/>
      <c r="BT355" s="86"/>
      <c r="BU355" s="86"/>
      <c r="BV355" s="86"/>
    </row>
    <row r="356" spans="1:74" s="87" customFormat="1" ht="28.5" x14ac:dyDescent="0.2">
      <c r="A356" s="76" t="s">
        <v>1273</v>
      </c>
      <c r="B356" s="77" t="s">
        <v>1274</v>
      </c>
      <c r="C356" s="41"/>
      <c r="D356" s="41"/>
      <c r="E356" s="41"/>
      <c r="F356" s="41"/>
      <c r="G356" s="41">
        <v>1621491649.77</v>
      </c>
      <c r="H356" s="41"/>
      <c r="I356" s="41"/>
      <c r="J356" s="41"/>
      <c r="K356" s="41"/>
      <c r="L356" s="41"/>
      <c r="M356" s="41"/>
      <c r="N356" s="41"/>
      <c r="O356" s="140">
        <f t="shared" si="217"/>
        <v>1621491649.77</v>
      </c>
      <c r="P356" s="86">
        <v>1621491649.77</v>
      </c>
      <c r="Q356" s="108">
        <f t="shared" si="221"/>
        <v>0</v>
      </c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86"/>
      <c r="AT356" s="86"/>
      <c r="AU356" s="86"/>
      <c r="AV356" s="86"/>
      <c r="AW356" s="86"/>
      <c r="AX356" s="86"/>
      <c r="AY356" s="86"/>
      <c r="AZ356" s="86"/>
      <c r="BA356" s="86"/>
      <c r="BB356" s="86"/>
      <c r="BC356" s="86"/>
      <c r="BD356" s="86"/>
      <c r="BE356" s="86"/>
      <c r="BF356" s="86"/>
      <c r="BG356" s="86"/>
      <c r="BH356" s="86"/>
      <c r="BI356" s="86"/>
      <c r="BJ356" s="86"/>
      <c r="BK356" s="86"/>
      <c r="BL356" s="86"/>
      <c r="BM356" s="86"/>
      <c r="BN356" s="86"/>
      <c r="BO356" s="86"/>
      <c r="BP356" s="86"/>
      <c r="BQ356" s="86"/>
      <c r="BR356" s="86"/>
      <c r="BS356" s="86"/>
      <c r="BT356" s="86"/>
      <c r="BU356" s="86"/>
      <c r="BV356" s="86"/>
    </row>
    <row r="357" spans="1:74" s="87" customFormat="1" ht="42.75" x14ac:dyDescent="0.2">
      <c r="A357" s="76" t="s">
        <v>1275</v>
      </c>
      <c r="B357" s="77" t="s">
        <v>1276</v>
      </c>
      <c r="C357" s="41"/>
      <c r="D357" s="41"/>
      <c r="E357" s="41"/>
      <c r="F357" s="41"/>
      <c r="G357" s="41">
        <v>177998545.74000001</v>
      </c>
      <c r="H357" s="41"/>
      <c r="I357" s="41"/>
      <c r="J357" s="41"/>
      <c r="K357" s="41"/>
      <c r="L357" s="41"/>
      <c r="M357" s="41"/>
      <c r="N357" s="41"/>
      <c r="O357" s="140">
        <f t="shared" si="217"/>
        <v>177998545.74000001</v>
      </c>
      <c r="P357" s="86">
        <v>177998545.74000001</v>
      </c>
      <c r="Q357" s="108">
        <f t="shared" si="221"/>
        <v>0</v>
      </c>
      <c r="R357" s="86"/>
      <c r="S357" s="86"/>
      <c r="T357" s="86"/>
      <c r="U357" s="86"/>
      <c r="V357" s="86"/>
      <c r="W357" s="86"/>
      <c r="X357" s="86"/>
      <c r="Y357" s="86"/>
      <c r="Z357" s="86"/>
      <c r="AA357" s="86"/>
      <c r="AB357" s="86"/>
      <c r="AC357" s="86"/>
      <c r="AD357" s="86"/>
      <c r="AE357" s="86"/>
      <c r="AF357" s="86"/>
      <c r="AG357" s="86"/>
      <c r="AH357" s="86"/>
      <c r="AI357" s="86"/>
      <c r="AJ357" s="86"/>
      <c r="AK357" s="86"/>
      <c r="AL357" s="86"/>
      <c r="AM357" s="86"/>
      <c r="AN357" s="86"/>
      <c r="AO357" s="86"/>
      <c r="AP357" s="86"/>
      <c r="AQ357" s="86"/>
      <c r="AR357" s="86"/>
      <c r="AS357" s="86"/>
      <c r="AT357" s="86"/>
      <c r="AU357" s="86"/>
      <c r="AV357" s="86"/>
      <c r="AW357" s="86"/>
      <c r="AX357" s="86"/>
      <c r="AY357" s="86"/>
      <c r="AZ357" s="86"/>
      <c r="BA357" s="86"/>
      <c r="BB357" s="86"/>
      <c r="BC357" s="86"/>
      <c r="BD357" s="86"/>
      <c r="BE357" s="86"/>
      <c r="BF357" s="86"/>
      <c r="BG357" s="86"/>
      <c r="BH357" s="86"/>
      <c r="BI357" s="86"/>
      <c r="BJ357" s="86"/>
      <c r="BK357" s="86"/>
      <c r="BL357" s="86"/>
      <c r="BM357" s="86"/>
      <c r="BN357" s="86"/>
      <c r="BO357" s="86"/>
      <c r="BP357" s="86"/>
      <c r="BQ357" s="86"/>
      <c r="BR357" s="86"/>
      <c r="BS357" s="86"/>
      <c r="BT357" s="86"/>
      <c r="BU357" s="86"/>
      <c r="BV357" s="86"/>
    </row>
    <row r="358" spans="1:74" s="87" customFormat="1" ht="28.5" x14ac:dyDescent="0.2">
      <c r="A358" s="76" t="s">
        <v>1277</v>
      </c>
      <c r="B358" s="77" t="s">
        <v>1278</v>
      </c>
      <c r="C358" s="41"/>
      <c r="D358" s="41"/>
      <c r="E358" s="41"/>
      <c r="F358" s="41"/>
      <c r="G358" s="41">
        <v>381321589.42000002</v>
      </c>
      <c r="H358" s="41"/>
      <c r="I358" s="41"/>
      <c r="J358" s="41"/>
      <c r="K358" s="41"/>
      <c r="L358" s="41"/>
      <c r="M358" s="41"/>
      <c r="N358" s="41"/>
      <c r="O358" s="140">
        <f t="shared" si="217"/>
        <v>381321589.42000002</v>
      </c>
      <c r="P358" s="86">
        <v>381321589.42000002</v>
      </c>
      <c r="Q358" s="108">
        <f t="shared" si="221"/>
        <v>0</v>
      </c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86"/>
      <c r="AT358" s="86"/>
      <c r="AU358" s="86"/>
      <c r="AV358" s="86"/>
      <c r="AW358" s="86"/>
      <c r="AX358" s="86"/>
      <c r="AY358" s="86"/>
      <c r="AZ358" s="86"/>
      <c r="BA358" s="86"/>
      <c r="BB358" s="86"/>
      <c r="BC358" s="86"/>
      <c r="BD358" s="86"/>
      <c r="BE358" s="86"/>
      <c r="BF358" s="86"/>
      <c r="BG358" s="86"/>
      <c r="BH358" s="86"/>
      <c r="BI358" s="86"/>
      <c r="BJ358" s="86"/>
      <c r="BK358" s="86"/>
      <c r="BL358" s="86"/>
      <c r="BM358" s="86"/>
      <c r="BN358" s="86"/>
      <c r="BO358" s="86"/>
      <c r="BP358" s="86"/>
      <c r="BQ358" s="86"/>
      <c r="BR358" s="86"/>
      <c r="BS358" s="86"/>
      <c r="BT358" s="86"/>
      <c r="BU358" s="86"/>
      <c r="BV358" s="86"/>
    </row>
    <row r="359" spans="1:74" s="87" customFormat="1" ht="28.5" x14ac:dyDescent="0.2">
      <c r="A359" s="76" t="s">
        <v>1279</v>
      </c>
      <c r="B359" s="77" t="s">
        <v>1280</v>
      </c>
      <c r="C359" s="41"/>
      <c r="D359" s="41"/>
      <c r="E359" s="41"/>
      <c r="F359" s="41"/>
      <c r="G359" s="41">
        <v>84461834.549999997</v>
      </c>
      <c r="H359" s="41"/>
      <c r="I359" s="41"/>
      <c r="J359" s="41"/>
      <c r="K359" s="41"/>
      <c r="L359" s="41"/>
      <c r="M359" s="41"/>
      <c r="N359" s="41"/>
      <c r="O359" s="140">
        <f t="shared" si="217"/>
        <v>84461834.549999997</v>
      </c>
      <c r="P359" s="86">
        <v>84461834.549999997</v>
      </c>
      <c r="Q359" s="108">
        <f t="shared" si="221"/>
        <v>0</v>
      </c>
      <c r="R359" s="86"/>
      <c r="S359" s="86"/>
      <c r="T359" s="86"/>
      <c r="U359" s="86"/>
      <c r="V359" s="86"/>
      <c r="W359" s="86"/>
      <c r="X359" s="86"/>
      <c r="Y359" s="86"/>
      <c r="Z359" s="86"/>
      <c r="AA359" s="86"/>
      <c r="AB359" s="86"/>
      <c r="AC359" s="86"/>
      <c r="AD359" s="86"/>
      <c r="AE359" s="86"/>
      <c r="AF359" s="86"/>
      <c r="AG359" s="86"/>
      <c r="AH359" s="86"/>
      <c r="AI359" s="86"/>
      <c r="AJ359" s="86"/>
      <c r="AK359" s="86"/>
      <c r="AL359" s="86"/>
      <c r="AM359" s="86"/>
      <c r="AN359" s="86"/>
      <c r="AO359" s="86"/>
      <c r="AP359" s="86"/>
      <c r="AQ359" s="86"/>
      <c r="AR359" s="86"/>
      <c r="AS359" s="86"/>
      <c r="AT359" s="86"/>
      <c r="AU359" s="86"/>
      <c r="AV359" s="86"/>
      <c r="AW359" s="86"/>
      <c r="AX359" s="86"/>
      <c r="AY359" s="86"/>
      <c r="AZ359" s="86"/>
      <c r="BA359" s="86"/>
      <c r="BB359" s="86"/>
      <c r="BC359" s="86"/>
      <c r="BD359" s="86"/>
      <c r="BE359" s="86"/>
      <c r="BF359" s="86"/>
      <c r="BG359" s="86"/>
      <c r="BH359" s="86"/>
      <c r="BI359" s="86"/>
      <c r="BJ359" s="86"/>
      <c r="BK359" s="86"/>
      <c r="BL359" s="86"/>
      <c r="BM359" s="86"/>
      <c r="BN359" s="86"/>
      <c r="BO359" s="86"/>
      <c r="BP359" s="86"/>
      <c r="BQ359" s="86"/>
      <c r="BR359" s="86"/>
      <c r="BS359" s="86"/>
      <c r="BT359" s="86"/>
      <c r="BU359" s="86"/>
      <c r="BV359" s="86"/>
    </row>
    <row r="360" spans="1:74" s="87" customFormat="1" ht="28.5" x14ac:dyDescent="0.2">
      <c r="A360" s="76" t="s">
        <v>1281</v>
      </c>
      <c r="B360" s="77" t="s">
        <v>1282</v>
      </c>
      <c r="C360" s="41"/>
      <c r="D360" s="41"/>
      <c r="E360" s="41"/>
      <c r="F360" s="41"/>
      <c r="G360" s="41">
        <v>130177270.2</v>
      </c>
      <c r="H360" s="41"/>
      <c r="I360" s="41"/>
      <c r="J360" s="41"/>
      <c r="K360" s="41"/>
      <c r="L360" s="41"/>
      <c r="M360" s="41"/>
      <c r="N360" s="41"/>
      <c r="O360" s="140">
        <f t="shared" si="217"/>
        <v>130177270.2</v>
      </c>
      <c r="P360" s="86">
        <v>130177270.2</v>
      </c>
      <c r="Q360" s="108">
        <f t="shared" si="221"/>
        <v>0</v>
      </c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86"/>
      <c r="AT360" s="86"/>
      <c r="AU360" s="86"/>
      <c r="AV360" s="86"/>
      <c r="AW360" s="86"/>
      <c r="AX360" s="86"/>
      <c r="AY360" s="86"/>
      <c r="AZ360" s="86"/>
      <c r="BA360" s="86"/>
      <c r="BB360" s="86"/>
      <c r="BC360" s="86"/>
      <c r="BD360" s="86"/>
      <c r="BE360" s="86"/>
      <c r="BF360" s="86"/>
      <c r="BG360" s="86"/>
      <c r="BH360" s="86"/>
      <c r="BI360" s="86"/>
      <c r="BJ360" s="86"/>
      <c r="BK360" s="86"/>
      <c r="BL360" s="86"/>
      <c r="BM360" s="86"/>
      <c r="BN360" s="86"/>
      <c r="BO360" s="86"/>
      <c r="BP360" s="86"/>
      <c r="BQ360" s="86"/>
      <c r="BR360" s="86"/>
      <c r="BS360" s="86"/>
      <c r="BT360" s="86"/>
      <c r="BU360" s="86"/>
      <c r="BV360" s="86"/>
    </row>
    <row r="361" spans="1:74" s="87" customFormat="1" ht="57" x14ac:dyDescent="0.2">
      <c r="A361" s="76" t="s">
        <v>1283</v>
      </c>
      <c r="B361" s="77" t="s">
        <v>1284</v>
      </c>
      <c r="C361" s="41"/>
      <c r="D361" s="41"/>
      <c r="E361" s="41"/>
      <c r="F361" s="41"/>
      <c r="G361" s="41">
        <v>132503403.73999999</v>
      </c>
      <c r="H361" s="41"/>
      <c r="I361" s="41"/>
      <c r="J361" s="41"/>
      <c r="K361" s="41"/>
      <c r="L361" s="41"/>
      <c r="M361" s="41"/>
      <c r="N361" s="41"/>
      <c r="O361" s="140">
        <f t="shared" si="217"/>
        <v>132503403.73999999</v>
      </c>
      <c r="P361" s="86">
        <v>132503403.73999999</v>
      </c>
      <c r="Q361" s="108">
        <f t="shared" si="221"/>
        <v>0</v>
      </c>
      <c r="R361" s="86"/>
      <c r="S361" s="86"/>
      <c r="T361" s="86"/>
      <c r="U361" s="86"/>
      <c r="V361" s="86"/>
      <c r="W361" s="86"/>
      <c r="X361" s="86"/>
      <c r="Y361" s="86"/>
      <c r="Z361" s="86"/>
      <c r="AA361" s="86"/>
      <c r="AB361" s="86"/>
      <c r="AC361" s="86"/>
      <c r="AD361" s="86"/>
      <c r="AE361" s="86"/>
      <c r="AF361" s="86"/>
      <c r="AG361" s="86"/>
      <c r="AH361" s="86"/>
      <c r="AI361" s="86"/>
      <c r="AJ361" s="86"/>
      <c r="AK361" s="86"/>
      <c r="AL361" s="86"/>
      <c r="AM361" s="86"/>
      <c r="AN361" s="86"/>
      <c r="AO361" s="86"/>
      <c r="AP361" s="86"/>
      <c r="AQ361" s="86"/>
      <c r="AR361" s="86"/>
      <c r="AS361" s="86"/>
      <c r="AT361" s="86"/>
      <c r="AU361" s="86"/>
      <c r="AV361" s="86"/>
      <c r="AW361" s="86"/>
      <c r="AX361" s="86"/>
      <c r="AY361" s="86"/>
      <c r="AZ361" s="86"/>
      <c r="BA361" s="86"/>
      <c r="BB361" s="86"/>
      <c r="BC361" s="86"/>
      <c r="BD361" s="86"/>
      <c r="BE361" s="86"/>
      <c r="BF361" s="86"/>
      <c r="BG361" s="86"/>
      <c r="BH361" s="86"/>
      <c r="BI361" s="86"/>
      <c r="BJ361" s="86"/>
      <c r="BK361" s="86"/>
      <c r="BL361" s="86"/>
      <c r="BM361" s="86"/>
      <c r="BN361" s="86"/>
      <c r="BO361" s="86"/>
      <c r="BP361" s="86"/>
      <c r="BQ361" s="86"/>
      <c r="BR361" s="86"/>
      <c r="BS361" s="86"/>
      <c r="BT361" s="86"/>
      <c r="BU361" s="86"/>
      <c r="BV361" s="86"/>
    </row>
    <row r="362" spans="1:74" s="87" customFormat="1" ht="42.75" x14ac:dyDescent="0.2">
      <c r="A362" s="76" t="s">
        <v>1285</v>
      </c>
      <c r="B362" s="77" t="s">
        <v>1286</v>
      </c>
      <c r="C362" s="41"/>
      <c r="D362" s="41"/>
      <c r="E362" s="41"/>
      <c r="F362" s="41"/>
      <c r="G362" s="41">
        <v>2966244.44</v>
      </c>
      <c r="H362" s="41"/>
      <c r="I362" s="41"/>
      <c r="J362" s="41"/>
      <c r="K362" s="41"/>
      <c r="L362" s="41"/>
      <c r="M362" s="41"/>
      <c r="N362" s="41"/>
      <c r="O362" s="140">
        <f t="shared" si="217"/>
        <v>2966244.44</v>
      </c>
      <c r="P362" s="86">
        <v>2966244.44</v>
      </c>
      <c r="Q362" s="108">
        <f t="shared" si="221"/>
        <v>0</v>
      </c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86"/>
      <c r="AT362" s="86"/>
      <c r="AU362" s="86"/>
      <c r="AV362" s="86"/>
      <c r="AW362" s="86"/>
      <c r="AX362" s="86"/>
      <c r="AY362" s="86"/>
      <c r="AZ362" s="86"/>
      <c r="BA362" s="86"/>
      <c r="BB362" s="86"/>
      <c r="BC362" s="86"/>
      <c r="BD362" s="86"/>
      <c r="BE362" s="86"/>
      <c r="BF362" s="86"/>
      <c r="BG362" s="86"/>
      <c r="BH362" s="86"/>
      <c r="BI362" s="86"/>
      <c r="BJ362" s="86"/>
      <c r="BK362" s="86"/>
      <c r="BL362" s="86"/>
      <c r="BM362" s="86"/>
      <c r="BN362" s="86"/>
      <c r="BO362" s="86"/>
      <c r="BP362" s="86"/>
      <c r="BQ362" s="86"/>
      <c r="BR362" s="86"/>
      <c r="BS362" s="86"/>
      <c r="BT362" s="86"/>
      <c r="BU362" s="86"/>
      <c r="BV362" s="86"/>
    </row>
    <row r="363" spans="1:74" s="87" customFormat="1" ht="42.75" x14ac:dyDescent="0.2">
      <c r="A363" s="76" t="s">
        <v>1287</v>
      </c>
      <c r="B363" s="77" t="s">
        <v>1288</v>
      </c>
      <c r="C363" s="41"/>
      <c r="D363" s="41"/>
      <c r="E363" s="41"/>
      <c r="F363" s="41"/>
      <c r="G363" s="41">
        <v>77303408.400000006</v>
      </c>
      <c r="H363" s="41"/>
      <c r="I363" s="41"/>
      <c r="J363" s="41"/>
      <c r="K363" s="41"/>
      <c r="L363" s="41"/>
      <c r="M363" s="41"/>
      <c r="N363" s="41"/>
      <c r="O363" s="140">
        <f t="shared" si="217"/>
        <v>77303408.400000006</v>
      </c>
      <c r="P363" s="86">
        <v>77303408.400000006</v>
      </c>
      <c r="Q363" s="108">
        <f t="shared" si="221"/>
        <v>0</v>
      </c>
      <c r="R363" s="86"/>
      <c r="S363" s="86"/>
      <c r="T363" s="86"/>
      <c r="U363" s="86"/>
      <c r="V363" s="86"/>
      <c r="W363" s="86"/>
      <c r="X363" s="86"/>
      <c r="Y363" s="86"/>
      <c r="Z363" s="86"/>
      <c r="AA363" s="86"/>
      <c r="AB363" s="86"/>
      <c r="AC363" s="86"/>
      <c r="AD363" s="86"/>
      <c r="AE363" s="86"/>
      <c r="AF363" s="86"/>
      <c r="AG363" s="86"/>
      <c r="AH363" s="86"/>
      <c r="AI363" s="86"/>
      <c r="AJ363" s="86"/>
      <c r="AK363" s="86"/>
      <c r="AL363" s="86"/>
      <c r="AM363" s="86"/>
      <c r="AN363" s="86"/>
      <c r="AO363" s="86"/>
      <c r="AP363" s="86"/>
      <c r="AQ363" s="86"/>
      <c r="AR363" s="86"/>
      <c r="AS363" s="86"/>
      <c r="AT363" s="86"/>
      <c r="AU363" s="86"/>
      <c r="AV363" s="86"/>
      <c r="AW363" s="86"/>
      <c r="AX363" s="86"/>
      <c r="AY363" s="86"/>
      <c r="AZ363" s="86"/>
      <c r="BA363" s="86"/>
      <c r="BB363" s="86"/>
      <c r="BC363" s="86"/>
      <c r="BD363" s="86"/>
      <c r="BE363" s="86"/>
      <c r="BF363" s="86"/>
      <c r="BG363" s="86"/>
      <c r="BH363" s="86"/>
      <c r="BI363" s="86"/>
      <c r="BJ363" s="86"/>
      <c r="BK363" s="86"/>
      <c r="BL363" s="86"/>
      <c r="BM363" s="86"/>
      <c r="BN363" s="86"/>
      <c r="BO363" s="86"/>
      <c r="BP363" s="86"/>
      <c r="BQ363" s="86"/>
      <c r="BR363" s="86"/>
      <c r="BS363" s="86"/>
      <c r="BT363" s="86"/>
      <c r="BU363" s="86"/>
      <c r="BV363" s="86"/>
    </row>
    <row r="364" spans="1:74" s="87" customFormat="1" ht="42.75" x14ac:dyDescent="0.2">
      <c r="A364" s="76" t="s">
        <v>1289</v>
      </c>
      <c r="B364" s="77" t="s">
        <v>1290</v>
      </c>
      <c r="C364" s="41"/>
      <c r="D364" s="41"/>
      <c r="E364" s="41"/>
      <c r="F364" s="41"/>
      <c r="G364" s="41">
        <v>113234205.3</v>
      </c>
      <c r="H364" s="41"/>
      <c r="I364" s="41"/>
      <c r="J364" s="41"/>
      <c r="K364" s="41"/>
      <c r="L364" s="41"/>
      <c r="M364" s="41"/>
      <c r="N364" s="41"/>
      <c r="O364" s="140">
        <f t="shared" si="217"/>
        <v>113234205.3</v>
      </c>
      <c r="P364" s="86">
        <v>113234205.3</v>
      </c>
      <c r="Q364" s="108">
        <f t="shared" si="221"/>
        <v>0</v>
      </c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86"/>
      <c r="AT364" s="86"/>
      <c r="AU364" s="86"/>
      <c r="AV364" s="86"/>
      <c r="AW364" s="86"/>
      <c r="AX364" s="86"/>
      <c r="AY364" s="86"/>
      <c r="AZ364" s="86"/>
      <c r="BA364" s="86"/>
      <c r="BB364" s="86"/>
      <c r="BC364" s="86"/>
      <c r="BD364" s="86"/>
      <c r="BE364" s="86"/>
      <c r="BF364" s="86"/>
      <c r="BG364" s="86"/>
      <c r="BH364" s="86"/>
      <c r="BI364" s="86"/>
      <c r="BJ364" s="86"/>
      <c r="BK364" s="86"/>
      <c r="BL364" s="86"/>
      <c r="BM364" s="86"/>
      <c r="BN364" s="86"/>
      <c r="BO364" s="86"/>
      <c r="BP364" s="86"/>
      <c r="BQ364" s="86"/>
      <c r="BR364" s="86"/>
      <c r="BS364" s="86"/>
      <c r="BT364" s="86"/>
      <c r="BU364" s="86"/>
      <c r="BV364" s="86"/>
    </row>
    <row r="365" spans="1:74" s="87" customFormat="1" ht="42.75" x14ac:dyDescent="0.2">
      <c r="A365" s="76" t="s">
        <v>1291</v>
      </c>
      <c r="B365" s="77" t="s">
        <v>1292</v>
      </c>
      <c r="C365" s="41"/>
      <c r="D365" s="41"/>
      <c r="E365" s="41"/>
      <c r="F365" s="41"/>
      <c r="G365" s="41">
        <v>153953647.03999999</v>
      </c>
      <c r="H365" s="41"/>
      <c r="I365" s="41"/>
      <c r="J365" s="41"/>
      <c r="K365" s="41"/>
      <c r="L365" s="41"/>
      <c r="M365" s="41"/>
      <c r="N365" s="41"/>
      <c r="O365" s="140">
        <f t="shared" si="217"/>
        <v>153953647.03999999</v>
      </c>
      <c r="P365" s="86">
        <v>153953647.03999999</v>
      </c>
      <c r="Q365" s="108">
        <f t="shared" si="221"/>
        <v>0</v>
      </c>
      <c r="R365" s="86"/>
      <c r="S365" s="86"/>
      <c r="T365" s="86"/>
      <c r="U365" s="86"/>
      <c r="V365" s="8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  <c r="AP365" s="86"/>
      <c r="AQ365" s="86"/>
      <c r="AR365" s="86"/>
      <c r="AS365" s="86"/>
      <c r="AT365" s="86"/>
      <c r="AU365" s="86"/>
      <c r="AV365" s="86"/>
      <c r="AW365" s="86"/>
      <c r="AX365" s="86"/>
      <c r="AY365" s="86"/>
      <c r="AZ365" s="86"/>
      <c r="BA365" s="86"/>
      <c r="BB365" s="86"/>
      <c r="BC365" s="86"/>
      <c r="BD365" s="86"/>
      <c r="BE365" s="86"/>
      <c r="BF365" s="86"/>
      <c r="BG365" s="86"/>
      <c r="BH365" s="86"/>
      <c r="BI365" s="86"/>
      <c r="BJ365" s="86"/>
      <c r="BK365" s="86"/>
      <c r="BL365" s="86"/>
      <c r="BM365" s="86"/>
      <c r="BN365" s="86"/>
      <c r="BO365" s="86"/>
      <c r="BP365" s="86"/>
      <c r="BQ365" s="86"/>
      <c r="BR365" s="86"/>
      <c r="BS365" s="86"/>
      <c r="BT365" s="86"/>
      <c r="BU365" s="86"/>
      <c r="BV365" s="86"/>
    </row>
    <row r="366" spans="1:74" s="87" customFormat="1" ht="42.75" x14ac:dyDescent="0.2">
      <c r="A366" s="76" t="s">
        <v>1293</v>
      </c>
      <c r="B366" s="77" t="s">
        <v>1294</v>
      </c>
      <c r="C366" s="41"/>
      <c r="D366" s="41"/>
      <c r="E366" s="41"/>
      <c r="F366" s="41"/>
      <c r="G366" s="41">
        <v>315352581.86000001</v>
      </c>
      <c r="H366" s="41"/>
      <c r="I366" s="41"/>
      <c r="J366" s="41"/>
      <c r="K366" s="41"/>
      <c r="L366" s="41"/>
      <c r="M366" s="41"/>
      <c r="N366" s="41"/>
      <c r="O366" s="140">
        <f t="shared" si="217"/>
        <v>315352581.86000001</v>
      </c>
      <c r="P366" s="86">
        <v>315352581.86000001</v>
      </c>
      <c r="Q366" s="108">
        <f t="shared" si="221"/>
        <v>0</v>
      </c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86"/>
      <c r="AT366" s="86"/>
      <c r="AU366" s="86"/>
      <c r="AV366" s="86"/>
      <c r="AW366" s="86"/>
      <c r="AX366" s="86"/>
      <c r="AY366" s="86"/>
      <c r="AZ366" s="86"/>
      <c r="BA366" s="86"/>
      <c r="BB366" s="86"/>
      <c r="BC366" s="86"/>
      <c r="BD366" s="86"/>
      <c r="BE366" s="86"/>
      <c r="BF366" s="86"/>
      <c r="BG366" s="86"/>
      <c r="BH366" s="86"/>
      <c r="BI366" s="86"/>
      <c r="BJ366" s="86"/>
      <c r="BK366" s="86"/>
      <c r="BL366" s="86"/>
      <c r="BM366" s="86"/>
      <c r="BN366" s="86"/>
      <c r="BO366" s="86"/>
      <c r="BP366" s="86"/>
      <c r="BQ366" s="86"/>
      <c r="BR366" s="86"/>
      <c r="BS366" s="86"/>
      <c r="BT366" s="86"/>
      <c r="BU366" s="86"/>
      <c r="BV366" s="86"/>
    </row>
    <row r="367" spans="1:74" s="87" customFormat="1" ht="42.75" x14ac:dyDescent="0.2">
      <c r="A367" s="76" t="s">
        <v>1295</v>
      </c>
      <c r="B367" s="77" t="s">
        <v>1296</v>
      </c>
      <c r="C367" s="41"/>
      <c r="D367" s="41"/>
      <c r="E367" s="41"/>
      <c r="F367" s="41"/>
      <c r="G367" s="41">
        <v>103246582.93000001</v>
      </c>
      <c r="H367" s="41"/>
      <c r="I367" s="41"/>
      <c r="J367" s="41"/>
      <c r="K367" s="41"/>
      <c r="L367" s="41"/>
      <c r="M367" s="41"/>
      <c r="N367" s="41"/>
      <c r="O367" s="140">
        <f t="shared" si="217"/>
        <v>103246582.93000001</v>
      </c>
      <c r="P367" s="86">
        <v>103246582.93000001</v>
      </c>
      <c r="Q367" s="108">
        <f t="shared" si="221"/>
        <v>0</v>
      </c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  <c r="AK367" s="86"/>
      <c r="AL367" s="86"/>
      <c r="AM367" s="86"/>
      <c r="AN367" s="86"/>
      <c r="AO367" s="86"/>
      <c r="AP367" s="86"/>
      <c r="AQ367" s="86"/>
      <c r="AR367" s="86"/>
      <c r="AS367" s="86"/>
      <c r="AT367" s="86"/>
      <c r="AU367" s="86"/>
      <c r="AV367" s="86"/>
      <c r="AW367" s="86"/>
      <c r="AX367" s="86"/>
      <c r="AY367" s="86"/>
      <c r="AZ367" s="86"/>
      <c r="BA367" s="86"/>
      <c r="BB367" s="86"/>
      <c r="BC367" s="86"/>
      <c r="BD367" s="86"/>
      <c r="BE367" s="86"/>
      <c r="BF367" s="86"/>
      <c r="BG367" s="86"/>
      <c r="BH367" s="86"/>
      <c r="BI367" s="86"/>
      <c r="BJ367" s="86"/>
      <c r="BK367" s="86"/>
      <c r="BL367" s="86"/>
      <c r="BM367" s="86"/>
      <c r="BN367" s="86"/>
      <c r="BO367" s="86"/>
      <c r="BP367" s="86"/>
      <c r="BQ367" s="86"/>
      <c r="BR367" s="86"/>
      <c r="BS367" s="86"/>
      <c r="BT367" s="86"/>
      <c r="BU367" s="86"/>
      <c r="BV367" s="86"/>
    </row>
    <row r="368" spans="1:74" s="87" customFormat="1" ht="42.75" x14ac:dyDescent="0.2">
      <c r="A368" s="76" t="s">
        <v>1297</v>
      </c>
      <c r="B368" s="77" t="s">
        <v>1298</v>
      </c>
      <c r="C368" s="41"/>
      <c r="D368" s="41"/>
      <c r="E368" s="41"/>
      <c r="F368" s="41"/>
      <c r="G368" s="41">
        <v>99917502.230000004</v>
      </c>
      <c r="H368" s="41"/>
      <c r="I368" s="41"/>
      <c r="J368" s="41"/>
      <c r="K368" s="41"/>
      <c r="L368" s="41"/>
      <c r="M368" s="41"/>
      <c r="N368" s="41"/>
      <c r="O368" s="140">
        <f t="shared" si="217"/>
        <v>99917502.230000004</v>
      </c>
      <c r="P368" s="86">
        <v>99917502.230000004</v>
      </c>
      <c r="Q368" s="108">
        <f t="shared" si="221"/>
        <v>0</v>
      </c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86"/>
      <c r="AT368" s="86"/>
      <c r="AU368" s="86"/>
      <c r="AV368" s="86"/>
      <c r="AW368" s="86"/>
      <c r="AX368" s="86"/>
      <c r="AY368" s="86"/>
      <c r="AZ368" s="86"/>
      <c r="BA368" s="86"/>
      <c r="BB368" s="86"/>
      <c r="BC368" s="86"/>
      <c r="BD368" s="86"/>
      <c r="BE368" s="86"/>
      <c r="BF368" s="86"/>
      <c r="BG368" s="86"/>
      <c r="BH368" s="86"/>
      <c r="BI368" s="86"/>
      <c r="BJ368" s="86"/>
      <c r="BK368" s="86"/>
      <c r="BL368" s="86"/>
      <c r="BM368" s="86"/>
      <c r="BN368" s="86"/>
      <c r="BO368" s="86"/>
      <c r="BP368" s="86"/>
      <c r="BQ368" s="86"/>
      <c r="BR368" s="86"/>
      <c r="BS368" s="86"/>
      <c r="BT368" s="86"/>
      <c r="BU368" s="86"/>
      <c r="BV368" s="86"/>
    </row>
    <row r="369" spans="1:74" s="87" customFormat="1" ht="42.75" x14ac:dyDescent="0.2">
      <c r="A369" s="76" t="s">
        <v>1299</v>
      </c>
      <c r="B369" s="77" t="s">
        <v>1300</v>
      </c>
      <c r="C369" s="41"/>
      <c r="D369" s="41"/>
      <c r="E369" s="41"/>
      <c r="F369" s="41"/>
      <c r="G369" s="41">
        <v>63729352.200000003</v>
      </c>
      <c r="H369" s="41"/>
      <c r="I369" s="41"/>
      <c r="J369" s="41"/>
      <c r="K369" s="41"/>
      <c r="L369" s="41"/>
      <c r="M369" s="41"/>
      <c r="N369" s="41"/>
      <c r="O369" s="140">
        <f t="shared" si="217"/>
        <v>63729352.200000003</v>
      </c>
      <c r="P369" s="86">
        <v>63729352.200000003</v>
      </c>
      <c r="Q369" s="108">
        <f t="shared" si="221"/>
        <v>0</v>
      </c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  <c r="AP369" s="86"/>
      <c r="AQ369" s="86"/>
      <c r="AR369" s="86"/>
      <c r="AS369" s="86"/>
      <c r="AT369" s="86"/>
      <c r="AU369" s="86"/>
      <c r="AV369" s="86"/>
      <c r="AW369" s="86"/>
      <c r="AX369" s="86"/>
      <c r="AY369" s="86"/>
      <c r="AZ369" s="86"/>
      <c r="BA369" s="86"/>
      <c r="BB369" s="86"/>
      <c r="BC369" s="86"/>
      <c r="BD369" s="86"/>
      <c r="BE369" s="86"/>
      <c r="BF369" s="86"/>
      <c r="BG369" s="86"/>
      <c r="BH369" s="86"/>
      <c r="BI369" s="86"/>
      <c r="BJ369" s="86"/>
      <c r="BK369" s="86"/>
      <c r="BL369" s="86"/>
      <c r="BM369" s="86"/>
      <c r="BN369" s="86"/>
      <c r="BO369" s="86"/>
      <c r="BP369" s="86"/>
      <c r="BQ369" s="86"/>
      <c r="BR369" s="86"/>
      <c r="BS369" s="86"/>
      <c r="BT369" s="86"/>
      <c r="BU369" s="86"/>
      <c r="BV369" s="86"/>
    </row>
    <row r="370" spans="1:74" s="323" customFormat="1" ht="28.5" x14ac:dyDescent="0.2">
      <c r="A370" s="319" t="s">
        <v>1301</v>
      </c>
      <c r="B370" s="320" t="s">
        <v>1302</v>
      </c>
      <c r="C370" s="364"/>
      <c r="D370" s="364"/>
      <c r="E370" s="364"/>
      <c r="F370" s="364"/>
      <c r="G370" s="364">
        <v>15067397.539999999</v>
      </c>
      <c r="H370" s="364"/>
      <c r="I370" s="364"/>
      <c r="J370" s="364"/>
      <c r="K370" s="364"/>
      <c r="L370" s="364"/>
      <c r="M370" s="364"/>
      <c r="N370" s="364"/>
      <c r="O370" s="321">
        <f t="shared" si="217"/>
        <v>15067397.539999999</v>
      </c>
      <c r="P370" s="109">
        <v>15067397.539999999</v>
      </c>
      <c r="Q370" s="108">
        <f t="shared" si="221"/>
        <v>0</v>
      </c>
      <c r="R370" s="322"/>
      <c r="S370" s="322"/>
      <c r="T370" s="322"/>
      <c r="U370" s="322"/>
      <c r="V370" s="322"/>
      <c r="W370" s="322"/>
      <c r="X370" s="322"/>
      <c r="Y370" s="322"/>
      <c r="Z370" s="322"/>
      <c r="AA370" s="322"/>
      <c r="AB370" s="322"/>
      <c r="AC370" s="322"/>
      <c r="AD370" s="322"/>
      <c r="AE370" s="322"/>
      <c r="AF370" s="322"/>
      <c r="AG370" s="322"/>
      <c r="AH370" s="322"/>
      <c r="AI370" s="322"/>
      <c r="AJ370" s="322"/>
      <c r="AK370" s="322"/>
      <c r="AL370" s="322"/>
      <c r="AM370" s="322"/>
      <c r="AN370" s="322"/>
      <c r="AO370" s="322"/>
      <c r="AP370" s="322"/>
      <c r="AQ370" s="322"/>
      <c r="AR370" s="322"/>
      <c r="AS370" s="322"/>
      <c r="AT370" s="322"/>
      <c r="AU370" s="322"/>
      <c r="AV370" s="322"/>
      <c r="AW370" s="322"/>
      <c r="AX370" s="322"/>
      <c r="AY370" s="322"/>
      <c r="AZ370" s="322"/>
      <c r="BA370" s="322"/>
      <c r="BB370" s="322"/>
      <c r="BC370" s="322"/>
      <c r="BD370" s="322"/>
      <c r="BE370" s="322"/>
      <c r="BF370" s="322"/>
      <c r="BG370" s="322"/>
      <c r="BH370" s="322"/>
      <c r="BI370" s="322"/>
      <c r="BJ370" s="322"/>
      <c r="BK370" s="322"/>
      <c r="BL370" s="322"/>
      <c r="BM370" s="322"/>
      <c r="BN370" s="322"/>
      <c r="BO370" s="322"/>
      <c r="BP370" s="322"/>
      <c r="BQ370" s="322"/>
      <c r="BR370" s="322"/>
      <c r="BS370" s="322"/>
      <c r="BT370" s="322"/>
      <c r="BU370" s="322"/>
      <c r="BV370" s="322"/>
    </row>
    <row r="371" spans="1:74" s="87" customFormat="1" ht="57" x14ac:dyDescent="0.2">
      <c r="A371" s="76" t="s">
        <v>1304</v>
      </c>
      <c r="B371" s="77" t="s">
        <v>1305</v>
      </c>
      <c r="C371" s="41"/>
      <c r="D371" s="41"/>
      <c r="E371" s="41"/>
      <c r="F371" s="41"/>
      <c r="G371" s="41">
        <v>67466552.810000002</v>
      </c>
      <c r="H371" s="41"/>
      <c r="I371" s="41"/>
      <c r="J371" s="41"/>
      <c r="K371" s="41"/>
      <c r="L371" s="41"/>
      <c r="M371" s="41"/>
      <c r="N371" s="41"/>
      <c r="O371" s="140">
        <f t="shared" si="217"/>
        <v>67466552.810000002</v>
      </c>
      <c r="P371" s="86">
        <v>67466552.810000002</v>
      </c>
      <c r="Q371" s="108">
        <f t="shared" si="221"/>
        <v>0</v>
      </c>
      <c r="R371" s="86"/>
      <c r="S371" s="86"/>
      <c r="T371" s="86"/>
      <c r="U371" s="86"/>
      <c r="V371" s="86"/>
      <c r="W371" s="86"/>
      <c r="X371" s="86"/>
      <c r="Y371" s="86"/>
      <c r="Z371" s="86"/>
      <c r="AA371" s="86"/>
      <c r="AB371" s="86"/>
      <c r="AC371" s="86"/>
      <c r="AD371" s="86"/>
      <c r="AE371" s="86"/>
      <c r="AF371" s="86"/>
      <c r="AG371" s="86"/>
      <c r="AH371" s="86"/>
      <c r="AI371" s="86"/>
      <c r="AJ371" s="86"/>
      <c r="AK371" s="86"/>
      <c r="AL371" s="86"/>
      <c r="AM371" s="86"/>
      <c r="AN371" s="86"/>
      <c r="AO371" s="86"/>
      <c r="AP371" s="86"/>
      <c r="AQ371" s="86"/>
      <c r="AR371" s="86"/>
      <c r="AS371" s="86"/>
      <c r="AT371" s="86"/>
      <c r="AU371" s="86"/>
      <c r="AV371" s="86"/>
      <c r="AW371" s="86"/>
      <c r="AX371" s="86"/>
      <c r="AY371" s="86"/>
      <c r="AZ371" s="86"/>
      <c r="BA371" s="86"/>
      <c r="BB371" s="86"/>
      <c r="BC371" s="86"/>
      <c r="BD371" s="86"/>
      <c r="BE371" s="86"/>
      <c r="BF371" s="86"/>
      <c r="BG371" s="86"/>
      <c r="BH371" s="86"/>
      <c r="BI371" s="86"/>
      <c r="BJ371" s="86"/>
      <c r="BK371" s="86"/>
      <c r="BL371" s="86"/>
      <c r="BM371" s="86"/>
      <c r="BN371" s="86"/>
      <c r="BO371" s="86"/>
      <c r="BP371" s="86"/>
      <c r="BQ371" s="86"/>
      <c r="BR371" s="86"/>
      <c r="BS371" s="86"/>
      <c r="BT371" s="86"/>
      <c r="BU371" s="86"/>
      <c r="BV371" s="86"/>
    </row>
    <row r="372" spans="1:74" s="87" customFormat="1" ht="28.5" x14ac:dyDescent="0.2">
      <c r="A372" s="76" t="s">
        <v>1870</v>
      </c>
      <c r="B372" s="77" t="s">
        <v>1303</v>
      </c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140">
        <f t="shared" si="217"/>
        <v>0</v>
      </c>
      <c r="P372" s="86"/>
      <c r="Q372" s="108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86"/>
      <c r="AT372" s="86"/>
      <c r="AU372" s="86"/>
      <c r="AV372" s="86"/>
      <c r="AW372" s="86"/>
      <c r="AX372" s="86"/>
      <c r="AY372" s="86"/>
      <c r="AZ372" s="86"/>
      <c r="BA372" s="86"/>
      <c r="BB372" s="86"/>
      <c r="BC372" s="86"/>
      <c r="BD372" s="86"/>
      <c r="BE372" s="86"/>
      <c r="BF372" s="86"/>
      <c r="BG372" s="86"/>
      <c r="BH372" s="86"/>
      <c r="BI372" s="86"/>
      <c r="BJ372" s="86"/>
      <c r="BK372" s="86"/>
      <c r="BL372" s="86"/>
      <c r="BM372" s="86"/>
      <c r="BN372" s="86"/>
      <c r="BO372" s="86"/>
      <c r="BP372" s="86"/>
      <c r="BQ372" s="86"/>
      <c r="BR372" s="86"/>
      <c r="BS372" s="86"/>
      <c r="BT372" s="86"/>
      <c r="BU372" s="86"/>
      <c r="BV372" s="86"/>
    </row>
    <row r="373" spans="1:74" s="323" customFormat="1" ht="28.5" x14ac:dyDescent="0.2">
      <c r="A373" s="319" t="s">
        <v>1860</v>
      </c>
      <c r="B373" s="320" t="s">
        <v>1303</v>
      </c>
      <c r="C373" s="364"/>
      <c r="D373" s="364"/>
      <c r="E373" s="364"/>
      <c r="F373" s="364"/>
      <c r="G373" s="364">
        <v>56551936.780000001</v>
      </c>
      <c r="H373" s="364"/>
      <c r="I373" s="364"/>
      <c r="J373" s="364"/>
      <c r="K373" s="364"/>
      <c r="L373" s="364"/>
      <c r="M373" s="364"/>
      <c r="N373" s="364"/>
      <c r="O373" s="321">
        <f>SUM(C373:N373)</f>
        <v>56551936.780000001</v>
      </c>
      <c r="P373" s="109">
        <v>56551936.780000001</v>
      </c>
      <c r="Q373" s="108">
        <f>+P373-O373</f>
        <v>0</v>
      </c>
      <c r="R373" s="322"/>
      <c r="S373" s="322"/>
      <c r="T373" s="322"/>
      <c r="U373" s="322"/>
      <c r="V373" s="322"/>
      <c r="W373" s="322"/>
      <c r="X373" s="322"/>
      <c r="Y373" s="322"/>
      <c r="Z373" s="322"/>
      <c r="AA373" s="322"/>
      <c r="AB373" s="322"/>
      <c r="AC373" s="322"/>
      <c r="AD373" s="322"/>
      <c r="AE373" s="322"/>
      <c r="AF373" s="322"/>
      <c r="AG373" s="322"/>
      <c r="AH373" s="322"/>
      <c r="AI373" s="322"/>
      <c r="AJ373" s="322"/>
      <c r="AK373" s="322"/>
      <c r="AL373" s="322"/>
      <c r="AM373" s="322"/>
      <c r="AN373" s="322"/>
      <c r="AO373" s="322"/>
      <c r="AP373" s="322"/>
      <c r="AQ373" s="322"/>
      <c r="AR373" s="322"/>
      <c r="AS373" s="322"/>
      <c r="AT373" s="322"/>
      <c r="AU373" s="322"/>
      <c r="AV373" s="322"/>
      <c r="AW373" s="322"/>
      <c r="AX373" s="322"/>
      <c r="AY373" s="322"/>
      <c r="AZ373" s="322"/>
      <c r="BA373" s="322"/>
      <c r="BB373" s="322"/>
      <c r="BC373" s="322"/>
      <c r="BD373" s="322"/>
      <c r="BE373" s="322"/>
      <c r="BF373" s="322"/>
      <c r="BG373" s="322"/>
      <c r="BH373" s="322"/>
      <c r="BI373" s="322"/>
      <c r="BJ373" s="322"/>
      <c r="BK373" s="322"/>
      <c r="BL373" s="322"/>
      <c r="BM373" s="322"/>
      <c r="BN373" s="322"/>
      <c r="BO373" s="322"/>
      <c r="BP373" s="322"/>
      <c r="BQ373" s="322"/>
      <c r="BR373" s="322"/>
      <c r="BS373" s="322"/>
      <c r="BT373" s="322"/>
      <c r="BU373" s="322"/>
      <c r="BV373" s="322"/>
    </row>
    <row r="374" spans="1:74" s="87" customFormat="1" ht="28.5" x14ac:dyDescent="0.2">
      <c r="A374" s="76" t="s">
        <v>1306</v>
      </c>
      <c r="B374" s="77" t="s">
        <v>1307</v>
      </c>
      <c r="C374" s="41"/>
      <c r="D374" s="41"/>
      <c r="E374" s="41"/>
      <c r="F374" s="41"/>
      <c r="G374" s="41">
        <v>10991322</v>
      </c>
      <c r="H374" s="41"/>
      <c r="I374" s="41"/>
      <c r="J374" s="41"/>
      <c r="K374" s="41"/>
      <c r="L374" s="41"/>
      <c r="M374" s="41"/>
      <c r="N374" s="41"/>
      <c r="O374" s="140">
        <f t="shared" si="217"/>
        <v>10991322</v>
      </c>
      <c r="P374" s="86">
        <v>10991322</v>
      </c>
      <c r="Q374" s="108">
        <f t="shared" si="221"/>
        <v>0</v>
      </c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86"/>
      <c r="AT374" s="86"/>
      <c r="AU374" s="86"/>
      <c r="AV374" s="86"/>
      <c r="AW374" s="86"/>
      <c r="AX374" s="86"/>
      <c r="AY374" s="86"/>
      <c r="AZ374" s="86"/>
      <c r="BA374" s="86"/>
      <c r="BB374" s="86"/>
      <c r="BC374" s="86"/>
      <c r="BD374" s="86"/>
      <c r="BE374" s="86"/>
      <c r="BF374" s="86"/>
      <c r="BG374" s="86"/>
      <c r="BH374" s="86"/>
      <c r="BI374" s="86"/>
      <c r="BJ374" s="86"/>
      <c r="BK374" s="86"/>
      <c r="BL374" s="86"/>
      <c r="BM374" s="86"/>
      <c r="BN374" s="86"/>
      <c r="BO374" s="86"/>
      <c r="BP374" s="86"/>
      <c r="BQ374" s="86"/>
      <c r="BR374" s="86"/>
      <c r="BS374" s="86"/>
      <c r="BT374" s="86"/>
      <c r="BU374" s="86"/>
      <c r="BV374" s="86"/>
    </row>
    <row r="375" spans="1:74" s="87" customFormat="1" ht="28.5" x14ac:dyDescent="0.2">
      <c r="A375" s="76" t="s">
        <v>1308</v>
      </c>
      <c r="B375" s="77" t="s">
        <v>1309</v>
      </c>
      <c r="C375" s="41"/>
      <c r="D375" s="41"/>
      <c r="E375" s="41"/>
      <c r="F375" s="41"/>
      <c r="G375" s="41">
        <v>9502617</v>
      </c>
      <c r="H375" s="41"/>
      <c r="I375" s="41"/>
      <c r="J375" s="41"/>
      <c r="K375" s="41"/>
      <c r="L375" s="41"/>
      <c r="M375" s="41"/>
      <c r="N375" s="41"/>
      <c r="O375" s="140">
        <f t="shared" si="217"/>
        <v>9502617</v>
      </c>
      <c r="P375" s="86">
        <v>9502617</v>
      </c>
      <c r="Q375" s="108">
        <f t="shared" si="221"/>
        <v>0</v>
      </c>
      <c r="R375" s="86"/>
      <c r="S375" s="86"/>
      <c r="T375" s="86"/>
      <c r="U375" s="86"/>
      <c r="V375" s="86"/>
      <c r="W375" s="86"/>
      <c r="X375" s="86"/>
      <c r="Y375" s="86"/>
      <c r="Z375" s="86"/>
      <c r="AA375" s="86"/>
      <c r="AB375" s="86"/>
      <c r="AC375" s="86"/>
      <c r="AD375" s="86"/>
      <c r="AE375" s="86"/>
      <c r="AF375" s="86"/>
      <c r="AG375" s="86"/>
      <c r="AH375" s="86"/>
      <c r="AI375" s="86"/>
      <c r="AJ375" s="86"/>
      <c r="AK375" s="86"/>
      <c r="AL375" s="86"/>
      <c r="AM375" s="86"/>
      <c r="AN375" s="86"/>
      <c r="AO375" s="86"/>
      <c r="AP375" s="86"/>
      <c r="AQ375" s="86"/>
      <c r="AR375" s="86"/>
      <c r="AS375" s="86"/>
      <c r="AT375" s="86"/>
      <c r="AU375" s="86"/>
      <c r="AV375" s="86"/>
      <c r="AW375" s="86"/>
      <c r="AX375" s="86"/>
      <c r="AY375" s="86"/>
      <c r="AZ375" s="86"/>
      <c r="BA375" s="86"/>
      <c r="BB375" s="86"/>
      <c r="BC375" s="86"/>
      <c r="BD375" s="86"/>
      <c r="BE375" s="86"/>
      <c r="BF375" s="86"/>
      <c r="BG375" s="86"/>
      <c r="BH375" s="86"/>
      <c r="BI375" s="86"/>
      <c r="BJ375" s="86"/>
      <c r="BK375" s="86"/>
      <c r="BL375" s="86"/>
      <c r="BM375" s="86"/>
      <c r="BN375" s="86"/>
      <c r="BO375" s="86"/>
      <c r="BP375" s="86"/>
      <c r="BQ375" s="86"/>
      <c r="BR375" s="86"/>
      <c r="BS375" s="86"/>
      <c r="BT375" s="86"/>
      <c r="BU375" s="86"/>
      <c r="BV375" s="86"/>
    </row>
    <row r="376" spans="1:74" s="87" customFormat="1" ht="42.75" x14ac:dyDescent="0.2">
      <c r="A376" s="76" t="s">
        <v>1310</v>
      </c>
      <c r="B376" s="77" t="s">
        <v>1311</v>
      </c>
      <c r="C376" s="41"/>
      <c r="D376" s="41"/>
      <c r="E376" s="41"/>
      <c r="F376" s="41"/>
      <c r="G376" s="41">
        <v>32953848.239999998</v>
      </c>
      <c r="H376" s="41"/>
      <c r="I376" s="41"/>
      <c r="J376" s="41"/>
      <c r="K376" s="41"/>
      <c r="L376" s="41"/>
      <c r="M376" s="41"/>
      <c r="N376" s="41"/>
      <c r="O376" s="140">
        <f t="shared" si="217"/>
        <v>32953848.239999998</v>
      </c>
      <c r="P376" s="86">
        <v>32953848.239999998</v>
      </c>
      <c r="Q376" s="108">
        <f t="shared" si="221"/>
        <v>0</v>
      </c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86"/>
      <c r="AT376" s="86"/>
      <c r="AU376" s="86"/>
      <c r="AV376" s="86"/>
      <c r="AW376" s="86"/>
      <c r="AX376" s="86"/>
      <c r="AY376" s="86"/>
      <c r="AZ376" s="86"/>
      <c r="BA376" s="86"/>
      <c r="BB376" s="86"/>
      <c r="BC376" s="86"/>
      <c r="BD376" s="86"/>
      <c r="BE376" s="86"/>
      <c r="BF376" s="86"/>
      <c r="BG376" s="86"/>
      <c r="BH376" s="86"/>
      <c r="BI376" s="86"/>
      <c r="BJ376" s="86"/>
      <c r="BK376" s="86"/>
      <c r="BL376" s="86"/>
      <c r="BM376" s="86"/>
      <c r="BN376" s="86"/>
      <c r="BO376" s="86"/>
      <c r="BP376" s="86"/>
      <c r="BQ376" s="86"/>
      <c r="BR376" s="86"/>
      <c r="BS376" s="86"/>
      <c r="BT376" s="86"/>
      <c r="BU376" s="86"/>
      <c r="BV376" s="86"/>
    </row>
    <row r="377" spans="1:74" s="87" customFormat="1" ht="42.75" x14ac:dyDescent="0.2">
      <c r="A377" s="76" t="s">
        <v>1312</v>
      </c>
      <c r="B377" s="77" t="s">
        <v>1313</v>
      </c>
      <c r="C377" s="41"/>
      <c r="D377" s="41"/>
      <c r="E377" s="41"/>
      <c r="F377" s="41"/>
      <c r="G377" s="41">
        <v>69861319.959999993</v>
      </c>
      <c r="H377" s="41"/>
      <c r="I377" s="41"/>
      <c r="J377" s="41"/>
      <c r="K377" s="41"/>
      <c r="L377" s="41"/>
      <c r="M377" s="41"/>
      <c r="N377" s="41"/>
      <c r="O377" s="140">
        <f t="shared" si="217"/>
        <v>69861319.959999993</v>
      </c>
      <c r="P377" s="86">
        <v>69861319.959999993</v>
      </c>
      <c r="Q377" s="108">
        <f t="shared" si="221"/>
        <v>0</v>
      </c>
      <c r="R377" s="86"/>
      <c r="S377" s="86"/>
      <c r="T377" s="86"/>
      <c r="U377" s="86"/>
      <c r="V377" s="86"/>
      <c r="W377" s="86"/>
      <c r="X377" s="86"/>
      <c r="Y377" s="86"/>
      <c r="Z377" s="86"/>
      <c r="AA377" s="86"/>
      <c r="AB377" s="86"/>
      <c r="AC377" s="86"/>
      <c r="AD377" s="86"/>
      <c r="AE377" s="86"/>
      <c r="AF377" s="86"/>
      <c r="AG377" s="86"/>
      <c r="AH377" s="86"/>
      <c r="AI377" s="86"/>
      <c r="AJ377" s="86"/>
      <c r="AK377" s="86"/>
      <c r="AL377" s="86"/>
      <c r="AM377" s="86"/>
      <c r="AN377" s="86"/>
      <c r="AO377" s="86"/>
      <c r="AP377" s="86"/>
      <c r="AQ377" s="86"/>
      <c r="AR377" s="86"/>
      <c r="AS377" s="86"/>
      <c r="AT377" s="86"/>
      <c r="AU377" s="86"/>
      <c r="AV377" s="86"/>
      <c r="AW377" s="86"/>
      <c r="AX377" s="86"/>
      <c r="AY377" s="86"/>
      <c r="AZ377" s="86"/>
      <c r="BA377" s="86"/>
      <c r="BB377" s="86"/>
      <c r="BC377" s="86"/>
      <c r="BD377" s="86"/>
      <c r="BE377" s="86"/>
      <c r="BF377" s="86"/>
      <c r="BG377" s="86"/>
      <c r="BH377" s="86"/>
      <c r="BI377" s="86"/>
      <c r="BJ377" s="86"/>
      <c r="BK377" s="86"/>
      <c r="BL377" s="86"/>
      <c r="BM377" s="86"/>
      <c r="BN377" s="86"/>
      <c r="BO377" s="86"/>
      <c r="BP377" s="86"/>
      <c r="BQ377" s="86"/>
      <c r="BR377" s="86"/>
      <c r="BS377" s="86"/>
      <c r="BT377" s="86"/>
      <c r="BU377" s="86"/>
      <c r="BV377" s="86"/>
    </row>
    <row r="378" spans="1:74" s="87" customFormat="1" ht="28.5" x14ac:dyDescent="0.2">
      <c r="A378" s="76" t="s">
        <v>1314</v>
      </c>
      <c r="B378" s="77" t="s">
        <v>1315</v>
      </c>
      <c r="C378" s="41"/>
      <c r="D378" s="41"/>
      <c r="E378" s="41"/>
      <c r="F378" s="41"/>
      <c r="G378" s="41">
        <v>14891617.699999999</v>
      </c>
      <c r="H378" s="41"/>
      <c r="I378" s="41"/>
      <c r="J378" s="41"/>
      <c r="K378" s="41"/>
      <c r="L378" s="41"/>
      <c r="M378" s="41"/>
      <c r="N378" s="41"/>
      <c r="O378" s="140">
        <f t="shared" si="217"/>
        <v>14891617.699999999</v>
      </c>
      <c r="P378" s="86">
        <v>14891617.699999999</v>
      </c>
      <c r="Q378" s="108">
        <f t="shared" si="221"/>
        <v>0</v>
      </c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86"/>
      <c r="AT378" s="86"/>
      <c r="AU378" s="86"/>
      <c r="AV378" s="86"/>
      <c r="AW378" s="86"/>
      <c r="AX378" s="86"/>
      <c r="AY378" s="86"/>
      <c r="AZ378" s="86"/>
      <c r="BA378" s="86"/>
      <c r="BB378" s="86"/>
      <c r="BC378" s="86"/>
      <c r="BD378" s="86"/>
      <c r="BE378" s="86"/>
      <c r="BF378" s="86"/>
      <c r="BG378" s="86"/>
      <c r="BH378" s="86"/>
      <c r="BI378" s="86"/>
      <c r="BJ378" s="86"/>
      <c r="BK378" s="86"/>
      <c r="BL378" s="86"/>
      <c r="BM378" s="86"/>
      <c r="BN378" s="86"/>
      <c r="BO378" s="86"/>
      <c r="BP378" s="86"/>
      <c r="BQ378" s="86"/>
      <c r="BR378" s="86"/>
      <c r="BS378" s="86"/>
      <c r="BT378" s="86"/>
      <c r="BU378" s="86"/>
      <c r="BV378" s="86"/>
    </row>
    <row r="379" spans="1:74" s="87" customFormat="1" ht="28.5" x14ac:dyDescent="0.2">
      <c r="A379" s="76" t="s">
        <v>1316</v>
      </c>
      <c r="B379" s="77" t="s">
        <v>1317</v>
      </c>
      <c r="C379" s="41"/>
      <c r="D379" s="41"/>
      <c r="E379" s="41"/>
      <c r="F379" s="41"/>
      <c r="G379" s="41">
        <v>5287463</v>
      </c>
      <c r="H379" s="41"/>
      <c r="I379" s="41"/>
      <c r="J379" s="41"/>
      <c r="K379" s="41"/>
      <c r="L379" s="41"/>
      <c r="M379" s="41"/>
      <c r="N379" s="41"/>
      <c r="O379" s="140">
        <f t="shared" si="217"/>
        <v>5287463</v>
      </c>
      <c r="P379" s="86">
        <v>5287463</v>
      </c>
      <c r="Q379" s="108">
        <f t="shared" si="221"/>
        <v>0</v>
      </c>
      <c r="R379" s="86"/>
      <c r="S379" s="86"/>
      <c r="T379" s="86"/>
      <c r="U379" s="86"/>
      <c r="V379" s="86"/>
      <c r="W379" s="86"/>
      <c r="X379" s="86"/>
      <c r="Y379" s="86"/>
      <c r="Z379" s="86"/>
      <c r="AA379" s="86"/>
      <c r="AB379" s="86"/>
      <c r="AC379" s="86"/>
      <c r="AD379" s="86"/>
      <c r="AE379" s="86"/>
      <c r="AF379" s="86"/>
      <c r="AG379" s="86"/>
      <c r="AH379" s="86"/>
      <c r="AI379" s="86"/>
      <c r="AJ379" s="86"/>
      <c r="AK379" s="86"/>
      <c r="AL379" s="86"/>
      <c r="AM379" s="86"/>
      <c r="AN379" s="86"/>
      <c r="AO379" s="86"/>
      <c r="AP379" s="86"/>
      <c r="AQ379" s="86"/>
      <c r="AR379" s="86"/>
      <c r="AS379" s="86"/>
      <c r="AT379" s="86"/>
      <c r="AU379" s="86"/>
      <c r="AV379" s="86"/>
      <c r="AW379" s="86"/>
      <c r="AX379" s="86"/>
      <c r="AY379" s="86"/>
      <c r="AZ379" s="86"/>
      <c r="BA379" s="86"/>
      <c r="BB379" s="86"/>
      <c r="BC379" s="86"/>
      <c r="BD379" s="86"/>
      <c r="BE379" s="86"/>
      <c r="BF379" s="86"/>
      <c r="BG379" s="86"/>
      <c r="BH379" s="86"/>
      <c r="BI379" s="86"/>
      <c r="BJ379" s="86"/>
      <c r="BK379" s="86"/>
      <c r="BL379" s="86"/>
      <c r="BM379" s="86"/>
      <c r="BN379" s="86"/>
      <c r="BO379" s="86"/>
      <c r="BP379" s="86"/>
      <c r="BQ379" s="86"/>
      <c r="BR379" s="86"/>
      <c r="BS379" s="86"/>
      <c r="BT379" s="86"/>
      <c r="BU379" s="86"/>
      <c r="BV379" s="86"/>
    </row>
    <row r="380" spans="1:74" s="87" customFormat="1" ht="28.5" x14ac:dyDescent="0.2">
      <c r="A380" s="76" t="s">
        <v>1318</v>
      </c>
      <c r="B380" s="77" t="s">
        <v>1319</v>
      </c>
      <c r="C380" s="41"/>
      <c r="D380" s="41"/>
      <c r="E380" s="41"/>
      <c r="F380" s="41"/>
      <c r="G380" s="41">
        <v>853831345</v>
      </c>
      <c r="H380" s="41"/>
      <c r="I380" s="41"/>
      <c r="J380" s="41"/>
      <c r="K380" s="41"/>
      <c r="L380" s="41"/>
      <c r="M380" s="41"/>
      <c r="N380" s="41"/>
      <c r="O380" s="140">
        <f t="shared" si="217"/>
        <v>853831345</v>
      </c>
      <c r="P380" s="86">
        <v>853831345</v>
      </c>
      <c r="Q380" s="108">
        <f t="shared" si="221"/>
        <v>0</v>
      </c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86"/>
      <c r="AT380" s="86"/>
      <c r="AU380" s="86"/>
      <c r="AV380" s="86"/>
      <c r="AW380" s="86"/>
      <c r="AX380" s="86"/>
      <c r="AY380" s="86"/>
      <c r="AZ380" s="86"/>
      <c r="BA380" s="86"/>
      <c r="BB380" s="86"/>
      <c r="BC380" s="86"/>
      <c r="BD380" s="86"/>
      <c r="BE380" s="86"/>
      <c r="BF380" s="86"/>
      <c r="BG380" s="86"/>
      <c r="BH380" s="86"/>
      <c r="BI380" s="86"/>
      <c r="BJ380" s="86"/>
      <c r="BK380" s="86"/>
      <c r="BL380" s="86"/>
      <c r="BM380" s="86"/>
      <c r="BN380" s="86"/>
      <c r="BO380" s="86"/>
      <c r="BP380" s="86"/>
      <c r="BQ380" s="86"/>
      <c r="BR380" s="86"/>
      <c r="BS380" s="86"/>
      <c r="BT380" s="86"/>
      <c r="BU380" s="86"/>
      <c r="BV380" s="86"/>
    </row>
    <row r="381" spans="1:74" s="87" customFormat="1" ht="57" x14ac:dyDescent="0.2">
      <c r="A381" s="76" t="s">
        <v>1320</v>
      </c>
      <c r="B381" s="77" t="s">
        <v>1321</v>
      </c>
      <c r="C381" s="41"/>
      <c r="D381" s="41"/>
      <c r="E381" s="41"/>
      <c r="F381" s="41"/>
      <c r="G381" s="41">
        <v>20854350.050000001</v>
      </c>
      <c r="H381" s="41"/>
      <c r="I381" s="41"/>
      <c r="J381" s="41"/>
      <c r="K381" s="41"/>
      <c r="L381" s="41"/>
      <c r="M381" s="41"/>
      <c r="N381" s="41"/>
      <c r="O381" s="140">
        <f t="shared" si="217"/>
        <v>20854350.050000001</v>
      </c>
      <c r="P381" s="86">
        <v>20854350.050000001</v>
      </c>
      <c r="Q381" s="108">
        <f t="shared" si="221"/>
        <v>0</v>
      </c>
      <c r="R381" s="86"/>
      <c r="S381" s="86"/>
      <c r="T381" s="86"/>
      <c r="U381" s="86"/>
      <c r="V381" s="86"/>
      <c r="W381" s="86"/>
      <c r="X381" s="86"/>
      <c r="Y381" s="86"/>
      <c r="Z381" s="86"/>
      <c r="AA381" s="86"/>
      <c r="AB381" s="86"/>
      <c r="AC381" s="86"/>
      <c r="AD381" s="86"/>
      <c r="AE381" s="86"/>
      <c r="AF381" s="86"/>
      <c r="AG381" s="86"/>
      <c r="AH381" s="86"/>
      <c r="AI381" s="86"/>
      <c r="AJ381" s="86"/>
      <c r="AK381" s="86"/>
      <c r="AL381" s="86"/>
      <c r="AM381" s="86"/>
      <c r="AN381" s="86"/>
      <c r="AO381" s="86"/>
      <c r="AP381" s="86"/>
      <c r="AQ381" s="86"/>
      <c r="AR381" s="86"/>
      <c r="AS381" s="86"/>
      <c r="AT381" s="86"/>
      <c r="AU381" s="86"/>
      <c r="AV381" s="86"/>
      <c r="AW381" s="86"/>
      <c r="AX381" s="86"/>
      <c r="AY381" s="86"/>
      <c r="AZ381" s="86"/>
      <c r="BA381" s="86"/>
      <c r="BB381" s="86"/>
      <c r="BC381" s="86"/>
      <c r="BD381" s="86"/>
      <c r="BE381" s="86"/>
      <c r="BF381" s="86"/>
      <c r="BG381" s="86"/>
      <c r="BH381" s="86"/>
      <c r="BI381" s="86"/>
      <c r="BJ381" s="86"/>
      <c r="BK381" s="86"/>
      <c r="BL381" s="86"/>
      <c r="BM381" s="86"/>
      <c r="BN381" s="86"/>
      <c r="BO381" s="86"/>
      <c r="BP381" s="86"/>
      <c r="BQ381" s="86"/>
      <c r="BR381" s="86"/>
      <c r="BS381" s="86"/>
      <c r="BT381" s="86"/>
      <c r="BU381" s="86"/>
      <c r="BV381" s="86"/>
    </row>
    <row r="382" spans="1:74" s="87" customFormat="1" ht="28.5" x14ac:dyDescent="0.2">
      <c r="A382" s="76" t="s">
        <v>1322</v>
      </c>
      <c r="B382" s="77" t="s">
        <v>1323</v>
      </c>
      <c r="C382" s="41"/>
      <c r="D382" s="41"/>
      <c r="E382" s="41"/>
      <c r="F382" s="41"/>
      <c r="G382" s="41">
        <v>312401632.33999997</v>
      </c>
      <c r="H382" s="41"/>
      <c r="I382" s="41"/>
      <c r="J382" s="41"/>
      <c r="K382" s="41"/>
      <c r="L382" s="41"/>
      <c r="M382" s="41"/>
      <c r="N382" s="41"/>
      <c r="O382" s="140">
        <f t="shared" si="217"/>
        <v>312401632.33999997</v>
      </c>
      <c r="P382" s="86">
        <v>312401632.33999997</v>
      </c>
      <c r="Q382" s="108">
        <f t="shared" si="221"/>
        <v>0</v>
      </c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86"/>
      <c r="AT382" s="86"/>
      <c r="AU382" s="86"/>
      <c r="AV382" s="86"/>
      <c r="AW382" s="86"/>
      <c r="AX382" s="86"/>
      <c r="AY382" s="86"/>
      <c r="AZ382" s="86"/>
      <c r="BA382" s="86"/>
      <c r="BB382" s="86"/>
      <c r="BC382" s="86"/>
      <c r="BD382" s="86"/>
      <c r="BE382" s="86"/>
      <c r="BF382" s="86"/>
      <c r="BG382" s="86"/>
      <c r="BH382" s="86"/>
      <c r="BI382" s="86"/>
      <c r="BJ382" s="86"/>
      <c r="BK382" s="86"/>
      <c r="BL382" s="86"/>
      <c r="BM382" s="86"/>
      <c r="BN382" s="86"/>
      <c r="BO382" s="86"/>
      <c r="BP382" s="86"/>
      <c r="BQ382" s="86"/>
      <c r="BR382" s="86"/>
      <c r="BS382" s="86"/>
      <c r="BT382" s="86"/>
      <c r="BU382" s="86"/>
      <c r="BV382" s="86"/>
    </row>
    <row r="383" spans="1:74" s="87" customFormat="1" ht="28.5" x14ac:dyDescent="0.2">
      <c r="A383" s="76" t="s">
        <v>1324</v>
      </c>
      <c r="B383" s="77" t="s">
        <v>1325</v>
      </c>
      <c r="C383" s="41"/>
      <c r="D383" s="41"/>
      <c r="E383" s="41"/>
      <c r="F383" s="41"/>
      <c r="G383" s="41">
        <v>415035594.76999998</v>
      </c>
      <c r="H383" s="41"/>
      <c r="I383" s="41"/>
      <c r="J383" s="41"/>
      <c r="K383" s="41"/>
      <c r="L383" s="41"/>
      <c r="M383" s="41"/>
      <c r="N383" s="41"/>
      <c r="O383" s="140">
        <f t="shared" si="217"/>
        <v>415035594.76999998</v>
      </c>
      <c r="P383" s="86">
        <v>415035594.76999998</v>
      </c>
      <c r="Q383" s="108">
        <f t="shared" si="221"/>
        <v>0</v>
      </c>
      <c r="R383" s="86"/>
      <c r="S383" s="86"/>
      <c r="T383" s="86"/>
      <c r="U383" s="86"/>
      <c r="V383" s="86"/>
      <c r="W383" s="86"/>
      <c r="X383" s="86"/>
      <c r="Y383" s="86"/>
      <c r="Z383" s="86"/>
      <c r="AA383" s="86"/>
      <c r="AB383" s="86"/>
      <c r="AC383" s="86"/>
      <c r="AD383" s="86"/>
      <c r="AE383" s="86"/>
      <c r="AF383" s="86"/>
      <c r="AG383" s="86"/>
      <c r="AH383" s="86"/>
      <c r="AI383" s="86"/>
      <c r="AJ383" s="86"/>
      <c r="AK383" s="86"/>
      <c r="AL383" s="86"/>
      <c r="AM383" s="86"/>
      <c r="AN383" s="86"/>
      <c r="AO383" s="86"/>
      <c r="AP383" s="86"/>
      <c r="AQ383" s="86"/>
      <c r="AR383" s="86"/>
      <c r="AS383" s="86"/>
      <c r="AT383" s="86"/>
      <c r="AU383" s="86"/>
      <c r="AV383" s="86"/>
      <c r="AW383" s="86"/>
      <c r="AX383" s="86"/>
      <c r="AY383" s="86"/>
      <c r="AZ383" s="86"/>
      <c r="BA383" s="86"/>
      <c r="BB383" s="86"/>
      <c r="BC383" s="86"/>
      <c r="BD383" s="86"/>
      <c r="BE383" s="86"/>
      <c r="BF383" s="86"/>
      <c r="BG383" s="86"/>
      <c r="BH383" s="86"/>
      <c r="BI383" s="86"/>
      <c r="BJ383" s="86"/>
      <c r="BK383" s="86"/>
      <c r="BL383" s="86"/>
      <c r="BM383" s="86"/>
      <c r="BN383" s="86"/>
      <c r="BO383" s="86"/>
      <c r="BP383" s="86"/>
      <c r="BQ383" s="86"/>
      <c r="BR383" s="86"/>
      <c r="BS383" s="86"/>
      <c r="BT383" s="86"/>
      <c r="BU383" s="86"/>
      <c r="BV383" s="86"/>
    </row>
    <row r="384" spans="1:74" s="87" customFormat="1" ht="28.5" x14ac:dyDescent="0.2">
      <c r="A384" s="76" t="s">
        <v>1326</v>
      </c>
      <c r="B384" s="77" t="s">
        <v>1327</v>
      </c>
      <c r="C384" s="41"/>
      <c r="D384" s="41"/>
      <c r="E384" s="41"/>
      <c r="F384" s="41"/>
      <c r="G384" s="41">
        <v>12023107.65</v>
      </c>
      <c r="H384" s="41"/>
      <c r="I384" s="41"/>
      <c r="J384" s="41"/>
      <c r="K384" s="41"/>
      <c r="L384" s="41"/>
      <c r="M384" s="41"/>
      <c r="N384" s="41"/>
      <c r="O384" s="140">
        <f t="shared" si="217"/>
        <v>12023107.65</v>
      </c>
      <c r="P384" s="86">
        <v>12023107.65</v>
      </c>
      <c r="Q384" s="108">
        <f t="shared" si="221"/>
        <v>0</v>
      </c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86"/>
      <c r="AT384" s="86"/>
      <c r="AU384" s="86"/>
      <c r="AV384" s="86"/>
      <c r="AW384" s="86"/>
      <c r="AX384" s="86"/>
      <c r="AY384" s="86"/>
      <c r="AZ384" s="86"/>
      <c r="BA384" s="86"/>
      <c r="BB384" s="86"/>
      <c r="BC384" s="86"/>
      <c r="BD384" s="86"/>
      <c r="BE384" s="86"/>
      <c r="BF384" s="86"/>
      <c r="BG384" s="86"/>
      <c r="BH384" s="86"/>
      <c r="BI384" s="86"/>
      <c r="BJ384" s="86"/>
      <c r="BK384" s="86"/>
      <c r="BL384" s="86"/>
      <c r="BM384" s="86"/>
      <c r="BN384" s="86"/>
      <c r="BO384" s="86"/>
      <c r="BP384" s="86"/>
      <c r="BQ384" s="86"/>
      <c r="BR384" s="86"/>
      <c r="BS384" s="86"/>
      <c r="BT384" s="86"/>
      <c r="BU384" s="86"/>
      <c r="BV384" s="86"/>
    </row>
    <row r="385" spans="1:74" s="87" customFormat="1" ht="28.5" x14ac:dyDescent="0.2">
      <c r="A385" s="76" t="s">
        <v>1328</v>
      </c>
      <c r="B385" s="77" t="s">
        <v>1329</v>
      </c>
      <c r="C385" s="41"/>
      <c r="D385" s="41"/>
      <c r="E385" s="41"/>
      <c r="F385" s="41"/>
      <c r="G385" s="41">
        <v>72840664.370000005</v>
      </c>
      <c r="H385" s="41"/>
      <c r="I385" s="41"/>
      <c r="J385" s="41"/>
      <c r="K385" s="41"/>
      <c r="L385" s="41"/>
      <c r="M385" s="41"/>
      <c r="N385" s="41"/>
      <c r="O385" s="140">
        <f t="shared" si="217"/>
        <v>72840664.370000005</v>
      </c>
      <c r="P385" s="86">
        <v>72840664.370000005</v>
      </c>
      <c r="Q385" s="108">
        <f t="shared" si="221"/>
        <v>0</v>
      </c>
      <c r="R385" s="86"/>
      <c r="S385" s="86"/>
      <c r="T385" s="86"/>
      <c r="U385" s="86"/>
      <c r="V385" s="86"/>
      <c r="W385" s="86"/>
      <c r="X385" s="86"/>
      <c r="Y385" s="86"/>
      <c r="Z385" s="86"/>
      <c r="AA385" s="86"/>
      <c r="AB385" s="86"/>
      <c r="AC385" s="86"/>
      <c r="AD385" s="86"/>
      <c r="AE385" s="86"/>
      <c r="AF385" s="86"/>
      <c r="AG385" s="86"/>
      <c r="AH385" s="86"/>
      <c r="AI385" s="86"/>
      <c r="AJ385" s="86"/>
      <c r="AK385" s="86"/>
      <c r="AL385" s="86"/>
      <c r="AM385" s="86"/>
      <c r="AN385" s="86"/>
      <c r="AO385" s="86"/>
      <c r="AP385" s="86"/>
      <c r="AQ385" s="86"/>
      <c r="AR385" s="86"/>
      <c r="AS385" s="86"/>
      <c r="AT385" s="86"/>
      <c r="AU385" s="86"/>
      <c r="AV385" s="86"/>
      <c r="AW385" s="86"/>
      <c r="AX385" s="86"/>
      <c r="AY385" s="86"/>
      <c r="AZ385" s="86"/>
      <c r="BA385" s="86"/>
      <c r="BB385" s="86"/>
      <c r="BC385" s="86"/>
      <c r="BD385" s="86"/>
      <c r="BE385" s="86"/>
      <c r="BF385" s="86"/>
      <c r="BG385" s="86"/>
      <c r="BH385" s="86"/>
      <c r="BI385" s="86"/>
      <c r="BJ385" s="86"/>
      <c r="BK385" s="86"/>
      <c r="BL385" s="86"/>
      <c r="BM385" s="86"/>
      <c r="BN385" s="86"/>
      <c r="BO385" s="86"/>
      <c r="BP385" s="86"/>
      <c r="BQ385" s="86"/>
      <c r="BR385" s="86"/>
      <c r="BS385" s="86"/>
      <c r="BT385" s="86"/>
      <c r="BU385" s="86"/>
      <c r="BV385" s="86"/>
    </row>
    <row r="386" spans="1:74" s="87" customFormat="1" ht="42.75" x14ac:dyDescent="0.2">
      <c r="A386" s="76" t="s">
        <v>1330</v>
      </c>
      <c r="B386" s="77" t="s">
        <v>1331</v>
      </c>
      <c r="C386" s="41"/>
      <c r="D386" s="41"/>
      <c r="E386" s="41"/>
      <c r="F386" s="41"/>
      <c r="G386" s="41">
        <v>173605723</v>
      </c>
      <c r="H386" s="41"/>
      <c r="I386" s="41"/>
      <c r="J386" s="41"/>
      <c r="K386" s="41"/>
      <c r="L386" s="41"/>
      <c r="M386" s="41"/>
      <c r="N386" s="41"/>
      <c r="O386" s="140">
        <f t="shared" si="217"/>
        <v>173605723</v>
      </c>
      <c r="P386" s="86">
        <v>173605723</v>
      </c>
      <c r="Q386" s="108">
        <f t="shared" si="221"/>
        <v>0</v>
      </c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86"/>
      <c r="AT386" s="86"/>
      <c r="AU386" s="86"/>
      <c r="AV386" s="86"/>
      <c r="AW386" s="86"/>
      <c r="AX386" s="86"/>
      <c r="AY386" s="86"/>
      <c r="AZ386" s="86"/>
      <c r="BA386" s="86"/>
      <c r="BB386" s="86"/>
      <c r="BC386" s="86"/>
      <c r="BD386" s="86"/>
      <c r="BE386" s="86"/>
      <c r="BF386" s="86"/>
      <c r="BG386" s="86"/>
      <c r="BH386" s="86"/>
      <c r="BI386" s="86"/>
      <c r="BJ386" s="86"/>
      <c r="BK386" s="86"/>
      <c r="BL386" s="86"/>
      <c r="BM386" s="86"/>
      <c r="BN386" s="86"/>
      <c r="BO386" s="86"/>
      <c r="BP386" s="86"/>
      <c r="BQ386" s="86"/>
      <c r="BR386" s="86"/>
      <c r="BS386" s="86"/>
      <c r="BT386" s="86"/>
      <c r="BU386" s="86"/>
      <c r="BV386" s="86"/>
    </row>
    <row r="387" spans="1:74" s="87" customFormat="1" ht="28.5" x14ac:dyDescent="0.2">
      <c r="A387" s="76" t="s">
        <v>1332</v>
      </c>
      <c r="B387" s="77" t="s">
        <v>1333</v>
      </c>
      <c r="C387" s="41"/>
      <c r="D387" s="41"/>
      <c r="E387" s="41"/>
      <c r="F387" s="41"/>
      <c r="G387" s="41">
        <v>462785030.63</v>
      </c>
      <c r="H387" s="41"/>
      <c r="I387" s="41"/>
      <c r="J387" s="41"/>
      <c r="K387" s="41"/>
      <c r="L387" s="41"/>
      <c r="M387" s="41"/>
      <c r="N387" s="41"/>
      <c r="O387" s="140">
        <f t="shared" si="217"/>
        <v>462785030.63</v>
      </c>
      <c r="P387" s="86">
        <v>462785030.63</v>
      </c>
      <c r="Q387" s="108">
        <f t="shared" si="221"/>
        <v>0</v>
      </c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86"/>
      <c r="AH387" s="86"/>
      <c r="AI387" s="86"/>
      <c r="AJ387" s="86"/>
      <c r="AK387" s="86"/>
      <c r="AL387" s="86"/>
      <c r="AM387" s="86"/>
      <c r="AN387" s="86"/>
      <c r="AO387" s="86"/>
      <c r="AP387" s="86"/>
      <c r="AQ387" s="86"/>
      <c r="AR387" s="86"/>
      <c r="AS387" s="86"/>
      <c r="AT387" s="86"/>
      <c r="AU387" s="86"/>
      <c r="AV387" s="86"/>
      <c r="AW387" s="86"/>
      <c r="AX387" s="86"/>
      <c r="AY387" s="86"/>
      <c r="AZ387" s="86"/>
      <c r="BA387" s="86"/>
      <c r="BB387" s="86"/>
      <c r="BC387" s="86"/>
      <c r="BD387" s="86"/>
      <c r="BE387" s="86"/>
      <c r="BF387" s="86"/>
      <c r="BG387" s="86"/>
      <c r="BH387" s="86"/>
      <c r="BI387" s="86"/>
      <c r="BJ387" s="86"/>
      <c r="BK387" s="86"/>
      <c r="BL387" s="86"/>
      <c r="BM387" s="86"/>
      <c r="BN387" s="86"/>
      <c r="BO387" s="86"/>
      <c r="BP387" s="86"/>
      <c r="BQ387" s="86"/>
      <c r="BR387" s="86"/>
      <c r="BS387" s="86"/>
      <c r="BT387" s="86"/>
      <c r="BU387" s="86"/>
      <c r="BV387" s="86"/>
    </row>
    <row r="388" spans="1:74" s="87" customFormat="1" ht="28.5" x14ac:dyDescent="0.2">
      <c r="A388" s="76" t="s">
        <v>1334</v>
      </c>
      <c r="B388" s="77" t="s">
        <v>1335</v>
      </c>
      <c r="C388" s="41"/>
      <c r="D388" s="41"/>
      <c r="E388" s="41"/>
      <c r="F388" s="41"/>
      <c r="G388" s="41">
        <v>47055319</v>
      </c>
      <c r="H388" s="41"/>
      <c r="I388" s="41"/>
      <c r="J388" s="41"/>
      <c r="K388" s="41"/>
      <c r="L388" s="41"/>
      <c r="M388" s="41"/>
      <c r="N388" s="41"/>
      <c r="O388" s="140">
        <f t="shared" si="217"/>
        <v>47055319</v>
      </c>
      <c r="P388" s="86">
        <v>47055319</v>
      </c>
      <c r="Q388" s="108">
        <f t="shared" si="221"/>
        <v>0</v>
      </c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86"/>
      <c r="AT388" s="86"/>
      <c r="AU388" s="86"/>
      <c r="AV388" s="86"/>
      <c r="AW388" s="86"/>
      <c r="AX388" s="86"/>
      <c r="AY388" s="86"/>
      <c r="AZ388" s="86"/>
      <c r="BA388" s="86"/>
      <c r="BB388" s="86"/>
      <c r="BC388" s="86"/>
      <c r="BD388" s="86"/>
      <c r="BE388" s="86"/>
      <c r="BF388" s="86"/>
      <c r="BG388" s="86"/>
      <c r="BH388" s="86"/>
      <c r="BI388" s="86"/>
      <c r="BJ388" s="86"/>
      <c r="BK388" s="86"/>
      <c r="BL388" s="86"/>
      <c r="BM388" s="86"/>
      <c r="BN388" s="86"/>
      <c r="BO388" s="86"/>
      <c r="BP388" s="86"/>
      <c r="BQ388" s="86"/>
      <c r="BR388" s="86"/>
      <c r="BS388" s="86"/>
      <c r="BT388" s="86"/>
      <c r="BU388" s="86"/>
      <c r="BV388" s="86"/>
    </row>
    <row r="389" spans="1:74" s="87" customFormat="1" ht="28.5" x14ac:dyDescent="0.2">
      <c r="A389" s="76" t="s">
        <v>1336</v>
      </c>
      <c r="B389" s="77" t="s">
        <v>1337</v>
      </c>
      <c r="C389" s="41"/>
      <c r="D389" s="41"/>
      <c r="E389" s="41"/>
      <c r="F389" s="41"/>
      <c r="G389" s="41">
        <v>130075777</v>
      </c>
      <c r="H389" s="41"/>
      <c r="I389" s="41"/>
      <c r="J389" s="41"/>
      <c r="K389" s="41"/>
      <c r="L389" s="41"/>
      <c r="M389" s="41"/>
      <c r="N389" s="41"/>
      <c r="O389" s="140">
        <f t="shared" si="217"/>
        <v>130075777</v>
      </c>
      <c r="P389" s="86">
        <v>130075777</v>
      </c>
      <c r="Q389" s="108">
        <f t="shared" si="221"/>
        <v>0</v>
      </c>
      <c r="R389" s="86"/>
      <c r="S389" s="86"/>
      <c r="T389" s="86"/>
      <c r="U389" s="86"/>
      <c r="V389" s="86"/>
      <c r="W389" s="86"/>
      <c r="X389" s="86"/>
      <c r="Y389" s="86"/>
      <c r="Z389" s="86"/>
      <c r="AA389" s="86"/>
      <c r="AB389" s="86"/>
      <c r="AC389" s="86"/>
      <c r="AD389" s="86"/>
      <c r="AE389" s="86"/>
      <c r="AF389" s="86"/>
      <c r="AG389" s="86"/>
      <c r="AH389" s="86"/>
      <c r="AI389" s="86"/>
      <c r="AJ389" s="86"/>
      <c r="AK389" s="86"/>
      <c r="AL389" s="86"/>
      <c r="AM389" s="86"/>
      <c r="AN389" s="86"/>
      <c r="AO389" s="86"/>
      <c r="AP389" s="86"/>
      <c r="AQ389" s="86"/>
      <c r="AR389" s="86"/>
      <c r="AS389" s="86"/>
      <c r="AT389" s="86"/>
      <c r="AU389" s="86"/>
      <c r="AV389" s="86"/>
      <c r="AW389" s="86"/>
      <c r="AX389" s="86"/>
      <c r="AY389" s="86"/>
      <c r="AZ389" s="86"/>
      <c r="BA389" s="86"/>
      <c r="BB389" s="86"/>
      <c r="BC389" s="86"/>
      <c r="BD389" s="86"/>
      <c r="BE389" s="86"/>
      <c r="BF389" s="86"/>
      <c r="BG389" s="86"/>
      <c r="BH389" s="86"/>
      <c r="BI389" s="86"/>
      <c r="BJ389" s="86"/>
      <c r="BK389" s="86"/>
      <c r="BL389" s="86"/>
      <c r="BM389" s="86"/>
      <c r="BN389" s="86"/>
      <c r="BO389" s="86"/>
      <c r="BP389" s="86"/>
      <c r="BQ389" s="86"/>
      <c r="BR389" s="86"/>
      <c r="BS389" s="86"/>
      <c r="BT389" s="86"/>
      <c r="BU389" s="86"/>
      <c r="BV389" s="86"/>
    </row>
    <row r="390" spans="1:74" s="87" customFormat="1" ht="28.5" x14ac:dyDescent="0.2">
      <c r="A390" s="76" t="s">
        <v>1338</v>
      </c>
      <c r="B390" s="77" t="s">
        <v>1339</v>
      </c>
      <c r="C390" s="41"/>
      <c r="D390" s="41"/>
      <c r="E390" s="41"/>
      <c r="F390" s="41"/>
      <c r="G390" s="41">
        <v>268763643.69999999</v>
      </c>
      <c r="H390" s="41"/>
      <c r="I390" s="41"/>
      <c r="J390" s="41"/>
      <c r="K390" s="41"/>
      <c r="L390" s="41"/>
      <c r="M390" s="41"/>
      <c r="N390" s="41"/>
      <c r="O390" s="140">
        <f t="shared" si="217"/>
        <v>268763643.69999999</v>
      </c>
      <c r="P390" s="86">
        <v>268763643.69999999</v>
      </c>
      <c r="Q390" s="108">
        <f t="shared" si="221"/>
        <v>0</v>
      </c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86"/>
      <c r="AT390" s="86"/>
      <c r="AU390" s="86"/>
      <c r="AV390" s="86"/>
      <c r="AW390" s="86"/>
      <c r="AX390" s="86"/>
      <c r="AY390" s="86"/>
      <c r="AZ390" s="86"/>
      <c r="BA390" s="86"/>
      <c r="BB390" s="86"/>
      <c r="BC390" s="86"/>
      <c r="BD390" s="86"/>
      <c r="BE390" s="86"/>
      <c r="BF390" s="86"/>
      <c r="BG390" s="86"/>
      <c r="BH390" s="86"/>
      <c r="BI390" s="86"/>
      <c r="BJ390" s="86"/>
      <c r="BK390" s="86"/>
      <c r="BL390" s="86"/>
      <c r="BM390" s="86"/>
      <c r="BN390" s="86"/>
      <c r="BO390" s="86"/>
      <c r="BP390" s="86"/>
      <c r="BQ390" s="86"/>
      <c r="BR390" s="86"/>
      <c r="BS390" s="86"/>
      <c r="BT390" s="86"/>
      <c r="BU390" s="86"/>
      <c r="BV390" s="86"/>
    </row>
    <row r="391" spans="1:74" s="87" customFormat="1" ht="28.5" x14ac:dyDescent="0.2">
      <c r="A391" s="76" t="s">
        <v>1340</v>
      </c>
      <c r="B391" s="77" t="s">
        <v>1341</v>
      </c>
      <c r="C391" s="41"/>
      <c r="D391" s="41"/>
      <c r="E391" s="41"/>
      <c r="F391" s="41"/>
      <c r="G391" s="41">
        <v>40305269</v>
      </c>
      <c r="H391" s="41"/>
      <c r="I391" s="41"/>
      <c r="J391" s="41"/>
      <c r="K391" s="41"/>
      <c r="L391" s="41"/>
      <c r="M391" s="41"/>
      <c r="N391" s="41"/>
      <c r="O391" s="140">
        <f t="shared" si="217"/>
        <v>40305269</v>
      </c>
      <c r="P391" s="86">
        <v>40305269</v>
      </c>
      <c r="Q391" s="108">
        <f t="shared" si="221"/>
        <v>0</v>
      </c>
      <c r="R391" s="86"/>
      <c r="S391" s="86"/>
      <c r="T391" s="86"/>
      <c r="U391" s="86"/>
      <c r="V391" s="86"/>
      <c r="W391" s="86"/>
      <c r="X391" s="86"/>
      <c r="Y391" s="86"/>
      <c r="Z391" s="86"/>
      <c r="AA391" s="86"/>
      <c r="AB391" s="86"/>
      <c r="AC391" s="86"/>
      <c r="AD391" s="86"/>
      <c r="AE391" s="86"/>
      <c r="AF391" s="86"/>
      <c r="AG391" s="86"/>
      <c r="AH391" s="86"/>
      <c r="AI391" s="86"/>
      <c r="AJ391" s="86"/>
      <c r="AK391" s="86"/>
      <c r="AL391" s="86"/>
      <c r="AM391" s="86"/>
      <c r="AN391" s="86"/>
      <c r="AO391" s="86"/>
      <c r="AP391" s="86"/>
      <c r="AQ391" s="86"/>
      <c r="AR391" s="86"/>
      <c r="AS391" s="86"/>
      <c r="AT391" s="86"/>
      <c r="AU391" s="86"/>
      <c r="AV391" s="86"/>
      <c r="AW391" s="86"/>
      <c r="AX391" s="86"/>
      <c r="AY391" s="86"/>
      <c r="AZ391" s="86"/>
      <c r="BA391" s="86"/>
      <c r="BB391" s="86"/>
      <c r="BC391" s="86"/>
      <c r="BD391" s="86"/>
      <c r="BE391" s="86"/>
      <c r="BF391" s="86"/>
      <c r="BG391" s="86"/>
      <c r="BH391" s="86"/>
      <c r="BI391" s="86"/>
      <c r="BJ391" s="86"/>
      <c r="BK391" s="86"/>
      <c r="BL391" s="86"/>
      <c r="BM391" s="86"/>
      <c r="BN391" s="86"/>
      <c r="BO391" s="86"/>
      <c r="BP391" s="86"/>
      <c r="BQ391" s="86"/>
      <c r="BR391" s="86"/>
      <c r="BS391" s="86"/>
      <c r="BT391" s="86"/>
      <c r="BU391" s="86"/>
      <c r="BV391" s="86"/>
    </row>
    <row r="392" spans="1:74" s="87" customFormat="1" ht="28.5" x14ac:dyDescent="0.2">
      <c r="A392" s="76" t="s">
        <v>1342</v>
      </c>
      <c r="B392" s="77" t="s">
        <v>1343</v>
      </c>
      <c r="C392" s="41"/>
      <c r="D392" s="41"/>
      <c r="E392" s="41"/>
      <c r="F392" s="41"/>
      <c r="G392" s="41">
        <v>58229838</v>
      </c>
      <c r="H392" s="41"/>
      <c r="I392" s="41"/>
      <c r="J392" s="41"/>
      <c r="K392" s="41"/>
      <c r="L392" s="41"/>
      <c r="M392" s="41"/>
      <c r="N392" s="41"/>
      <c r="O392" s="140">
        <f t="shared" si="217"/>
        <v>58229838</v>
      </c>
      <c r="P392" s="86">
        <v>58229838</v>
      </c>
      <c r="Q392" s="108">
        <f t="shared" si="221"/>
        <v>0</v>
      </c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86"/>
      <c r="AT392" s="86"/>
      <c r="AU392" s="86"/>
      <c r="AV392" s="86"/>
      <c r="AW392" s="86"/>
      <c r="AX392" s="86"/>
      <c r="AY392" s="86"/>
      <c r="AZ392" s="86"/>
      <c r="BA392" s="86"/>
      <c r="BB392" s="86"/>
      <c r="BC392" s="86"/>
      <c r="BD392" s="86"/>
      <c r="BE392" s="86"/>
      <c r="BF392" s="86"/>
      <c r="BG392" s="86"/>
      <c r="BH392" s="86"/>
      <c r="BI392" s="86"/>
      <c r="BJ392" s="86"/>
      <c r="BK392" s="86"/>
      <c r="BL392" s="86"/>
      <c r="BM392" s="86"/>
      <c r="BN392" s="86"/>
      <c r="BO392" s="86"/>
      <c r="BP392" s="86"/>
      <c r="BQ392" s="86"/>
      <c r="BR392" s="86"/>
      <c r="BS392" s="86"/>
      <c r="BT392" s="86"/>
      <c r="BU392" s="86"/>
      <c r="BV392" s="86"/>
    </row>
    <row r="393" spans="1:74" s="87" customFormat="1" ht="28.5" x14ac:dyDescent="0.2">
      <c r="A393" s="76" t="s">
        <v>1344</v>
      </c>
      <c r="B393" s="77" t="s">
        <v>1345</v>
      </c>
      <c r="C393" s="41"/>
      <c r="D393" s="41"/>
      <c r="E393" s="41"/>
      <c r="F393" s="41"/>
      <c r="G393" s="41">
        <v>444246350.97000003</v>
      </c>
      <c r="H393" s="41"/>
      <c r="I393" s="41"/>
      <c r="J393" s="41"/>
      <c r="K393" s="41"/>
      <c r="L393" s="41"/>
      <c r="M393" s="41"/>
      <c r="N393" s="41"/>
      <c r="O393" s="140">
        <f t="shared" si="217"/>
        <v>444246350.97000003</v>
      </c>
      <c r="P393" s="86">
        <v>444246350.97000003</v>
      </c>
      <c r="Q393" s="108">
        <f t="shared" si="221"/>
        <v>0</v>
      </c>
      <c r="R393" s="86"/>
      <c r="S393" s="86"/>
      <c r="T393" s="86"/>
      <c r="U393" s="86"/>
      <c r="V393" s="86"/>
      <c r="W393" s="86"/>
      <c r="X393" s="86"/>
      <c r="Y393" s="86"/>
      <c r="Z393" s="86"/>
      <c r="AA393" s="86"/>
      <c r="AB393" s="86"/>
      <c r="AC393" s="86"/>
      <c r="AD393" s="86"/>
      <c r="AE393" s="86"/>
      <c r="AF393" s="86"/>
      <c r="AG393" s="86"/>
      <c r="AH393" s="86"/>
      <c r="AI393" s="86"/>
      <c r="AJ393" s="86"/>
      <c r="AK393" s="86"/>
      <c r="AL393" s="86"/>
      <c r="AM393" s="86"/>
      <c r="AN393" s="86"/>
      <c r="AO393" s="86"/>
      <c r="AP393" s="86"/>
      <c r="AQ393" s="86"/>
      <c r="AR393" s="86"/>
      <c r="AS393" s="86"/>
      <c r="AT393" s="86"/>
      <c r="AU393" s="86"/>
      <c r="AV393" s="86"/>
      <c r="AW393" s="86"/>
      <c r="AX393" s="86"/>
      <c r="AY393" s="86"/>
      <c r="AZ393" s="86"/>
      <c r="BA393" s="86"/>
      <c r="BB393" s="86"/>
      <c r="BC393" s="86"/>
      <c r="BD393" s="86"/>
      <c r="BE393" s="86"/>
      <c r="BF393" s="86"/>
      <c r="BG393" s="86"/>
      <c r="BH393" s="86"/>
      <c r="BI393" s="86"/>
      <c r="BJ393" s="86"/>
      <c r="BK393" s="86"/>
      <c r="BL393" s="86"/>
      <c r="BM393" s="86"/>
      <c r="BN393" s="86"/>
      <c r="BO393" s="86"/>
      <c r="BP393" s="86"/>
      <c r="BQ393" s="86"/>
      <c r="BR393" s="86"/>
      <c r="BS393" s="86"/>
      <c r="BT393" s="86"/>
      <c r="BU393" s="86"/>
      <c r="BV393" s="86"/>
    </row>
    <row r="394" spans="1:74" s="87" customFormat="1" ht="28.5" x14ac:dyDescent="0.2">
      <c r="A394" s="76" t="s">
        <v>1346</v>
      </c>
      <c r="B394" s="77" t="s">
        <v>1347</v>
      </c>
      <c r="C394" s="41"/>
      <c r="D394" s="41"/>
      <c r="E394" s="41"/>
      <c r="F394" s="41"/>
      <c r="G394" s="41">
        <v>32415997.789999999</v>
      </c>
      <c r="H394" s="41"/>
      <c r="I394" s="41"/>
      <c r="J394" s="41"/>
      <c r="K394" s="41"/>
      <c r="L394" s="41"/>
      <c r="M394" s="41"/>
      <c r="N394" s="41"/>
      <c r="O394" s="140">
        <f t="shared" si="217"/>
        <v>32415997.789999999</v>
      </c>
      <c r="P394" s="86">
        <v>32415997.789999999</v>
      </c>
      <c r="Q394" s="108">
        <f t="shared" si="221"/>
        <v>0</v>
      </c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86"/>
      <c r="AT394" s="86"/>
      <c r="AU394" s="86"/>
      <c r="AV394" s="86"/>
      <c r="AW394" s="86"/>
      <c r="AX394" s="86"/>
      <c r="AY394" s="86"/>
      <c r="AZ394" s="86"/>
      <c r="BA394" s="86"/>
      <c r="BB394" s="86"/>
      <c r="BC394" s="86"/>
      <c r="BD394" s="86"/>
      <c r="BE394" s="86"/>
      <c r="BF394" s="86"/>
      <c r="BG394" s="86"/>
      <c r="BH394" s="86"/>
      <c r="BI394" s="86"/>
      <c r="BJ394" s="86"/>
      <c r="BK394" s="86"/>
      <c r="BL394" s="86"/>
      <c r="BM394" s="86"/>
      <c r="BN394" s="86"/>
      <c r="BO394" s="86"/>
      <c r="BP394" s="86"/>
      <c r="BQ394" s="86"/>
      <c r="BR394" s="86"/>
      <c r="BS394" s="86"/>
      <c r="BT394" s="86"/>
      <c r="BU394" s="86"/>
      <c r="BV394" s="86"/>
    </row>
    <row r="395" spans="1:74" s="87" customFormat="1" ht="28.5" x14ac:dyDescent="0.2">
      <c r="A395" s="76" t="s">
        <v>1348</v>
      </c>
      <c r="B395" s="77" t="s">
        <v>1349</v>
      </c>
      <c r="C395" s="41"/>
      <c r="D395" s="41"/>
      <c r="E395" s="41"/>
      <c r="F395" s="41"/>
      <c r="G395" s="41">
        <v>44617201.549999997</v>
      </c>
      <c r="H395" s="41"/>
      <c r="I395" s="41"/>
      <c r="J395" s="41"/>
      <c r="K395" s="41"/>
      <c r="L395" s="41"/>
      <c r="M395" s="41"/>
      <c r="N395" s="41"/>
      <c r="O395" s="140">
        <f t="shared" si="217"/>
        <v>44617201.549999997</v>
      </c>
      <c r="P395" s="86">
        <v>44617201.549999997</v>
      </c>
      <c r="Q395" s="108">
        <f t="shared" si="221"/>
        <v>0</v>
      </c>
      <c r="R395" s="86"/>
      <c r="S395" s="86"/>
      <c r="T395" s="86"/>
      <c r="U395" s="86"/>
      <c r="V395" s="86"/>
      <c r="W395" s="86"/>
      <c r="X395" s="86"/>
      <c r="Y395" s="86"/>
      <c r="Z395" s="86"/>
      <c r="AA395" s="86"/>
      <c r="AB395" s="86"/>
      <c r="AC395" s="86"/>
      <c r="AD395" s="86"/>
      <c r="AE395" s="86"/>
      <c r="AF395" s="86"/>
      <c r="AG395" s="86"/>
      <c r="AH395" s="86"/>
      <c r="AI395" s="86"/>
      <c r="AJ395" s="86"/>
      <c r="AK395" s="86"/>
      <c r="AL395" s="86"/>
      <c r="AM395" s="86"/>
      <c r="AN395" s="86"/>
      <c r="AO395" s="86"/>
      <c r="AP395" s="86"/>
      <c r="AQ395" s="86"/>
      <c r="AR395" s="86"/>
      <c r="AS395" s="86"/>
      <c r="AT395" s="86"/>
      <c r="AU395" s="86"/>
      <c r="AV395" s="86"/>
      <c r="AW395" s="86"/>
      <c r="AX395" s="86"/>
      <c r="AY395" s="86"/>
      <c r="AZ395" s="86"/>
      <c r="BA395" s="86"/>
      <c r="BB395" s="86"/>
      <c r="BC395" s="86"/>
      <c r="BD395" s="86"/>
      <c r="BE395" s="86"/>
      <c r="BF395" s="86"/>
      <c r="BG395" s="86"/>
      <c r="BH395" s="86"/>
      <c r="BI395" s="86"/>
      <c r="BJ395" s="86"/>
      <c r="BK395" s="86"/>
      <c r="BL395" s="86"/>
      <c r="BM395" s="86"/>
      <c r="BN395" s="86"/>
      <c r="BO395" s="86"/>
      <c r="BP395" s="86"/>
      <c r="BQ395" s="86"/>
      <c r="BR395" s="86"/>
      <c r="BS395" s="86"/>
      <c r="BT395" s="86"/>
      <c r="BU395" s="86"/>
      <c r="BV395" s="86"/>
    </row>
    <row r="396" spans="1:74" s="87" customFormat="1" ht="28.5" x14ac:dyDescent="0.2">
      <c r="A396" s="76" t="s">
        <v>1350</v>
      </c>
      <c r="B396" s="77" t="s">
        <v>1351</v>
      </c>
      <c r="C396" s="41"/>
      <c r="D396" s="41"/>
      <c r="E396" s="41"/>
      <c r="F396" s="41"/>
      <c r="G396" s="41">
        <v>36269653.659999996</v>
      </c>
      <c r="H396" s="41"/>
      <c r="I396" s="41"/>
      <c r="J396" s="41"/>
      <c r="K396" s="41"/>
      <c r="L396" s="41"/>
      <c r="M396" s="41"/>
      <c r="N396" s="41"/>
      <c r="O396" s="140">
        <f t="shared" si="217"/>
        <v>36269653.659999996</v>
      </c>
      <c r="P396" s="86">
        <v>36269653.659999996</v>
      </c>
      <c r="Q396" s="108">
        <f t="shared" si="221"/>
        <v>0</v>
      </c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86"/>
      <c r="AT396" s="86"/>
      <c r="AU396" s="86"/>
      <c r="AV396" s="86"/>
      <c r="AW396" s="86"/>
      <c r="AX396" s="86"/>
      <c r="AY396" s="86"/>
      <c r="AZ396" s="86"/>
      <c r="BA396" s="86"/>
      <c r="BB396" s="86"/>
      <c r="BC396" s="86"/>
      <c r="BD396" s="86"/>
      <c r="BE396" s="86"/>
      <c r="BF396" s="86"/>
      <c r="BG396" s="86"/>
      <c r="BH396" s="86"/>
      <c r="BI396" s="86"/>
      <c r="BJ396" s="86"/>
      <c r="BK396" s="86"/>
      <c r="BL396" s="86"/>
      <c r="BM396" s="86"/>
      <c r="BN396" s="86"/>
      <c r="BO396" s="86"/>
      <c r="BP396" s="86"/>
      <c r="BQ396" s="86"/>
      <c r="BR396" s="86"/>
      <c r="BS396" s="86"/>
      <c r="BT396" s="86"/>
      <c r="BU396" s="86"/>
      <c r="BV396" s="86"/>
    </row>
    <row r="397" spans="1:74" s="87" customFormat="1" ht="42.75" x14ac:dyDescent="0.2">
      <c r="A397" s="76" t="s">
        <v>1352</v>
      </c>
      <c r="B397" s="77" t="s">
        <v>1353</v>
      </c>
      <c r="C397" s="41"/>
      <c r="D397" s="41"/>
      <c r="E397" s="41"/>
      <c r="F397" s="41"/>
      <c r="G397" s="41">
        <v>14895643.09</v>
      </c>
      <c r="H397" s="41"/>
      <c r="I397" s="41"/>
      <c r="J397" s="41"/>
      <c r="K397" s="41"/>
      <c r="L397" s="41"/>
      <c r="M397" s="41"/>
      <c r="N397" s="41"/>
      <c r="O397" s="140">
        <f t="shared" si="217"/>
        <v>14895643.09</v>
      </c>
      <c r="P397" s="86">
        <v>14895643.09</v>
      </c>
      <c r="Q397" s="108">
        <f t="shared" si="221"/>
        <v>0</v>
      </c>
      <c r="R397" s="86"/>
      <c r="S397" s="86"/>
      <c r="T397" s="86"/>
      <c r="U397" s="86"/>
      <c r="V397" s="86"/>
      <c r="W397" s="86"/>
      <c r="X397" s="86"/>
      <c r="Y397" s="86"/>
      <c r="Z397" s="86"/>
      <c r="AA397" s="86"/>
      <c r="AB397" s="86"/>
      <c r="AC397" s="86"/>
      <c r="AD397" s="86"/>
      <c r="AE397" s="86"/>
      <c r="AF397" s="86"/>
      <c r="AG397" s="86"/>
      <c r="AH397" s="86"/>
      <c r="AI397" s="86"/>
      <c r="AJ397" s="86"/>
      <c r="AK397" s="86"/>
      <c r="AL397" s="86"/>
      <c r="AM397" s="86"/>
      <c r="AN397" s="86"/>
      <c r="AO397" s="86"/>
      <c r="AP397" s="86"/>
      <c r="AQ397" s="86"/>
      <c r="AR397" s="86"/>
      <c r="AS397" s="86"/>
      <c r="AT397" s="86"/>
      <c r="AU397" s="86"/>
      <c r="AV397" s="86"/>
      <c r="AW397" s="86"/>
      <c r="AX397" s="86"/>
      <c r="AY397" s="86"/>
      <c r="AZ397" s="86"/>
      <c r="BA397" s="86"/>
      <c r="BB397" s="86"/>
      <c r="BC397" s="86"/>
      <c r="BD397" s="86"/>
      <c r="BE397" s="86"/>
      <c r="BF397" s="86"/>
      <c r="BG397" s="86"/>
      <c r="BH397" s="86"/>
      <c r="BI397" s="86"/>
      <c r="BJ397" s="86"/>
      <c r="BK397" s="86"/>
      <c r="BL397" s="86"/>
      <c r="BM397" s="86"/>
      <c r="BN397" s="86"/>
      <c r="BO397" s="86"/>
      <c r="BP397" s="86"/>
      <c r="BQ397" s="86"/>
      <c r="BR397" s="86"/>
      <c r="BS397" s="86"/>
      <c r="BT397" s="86"/>
      <c r="BU397" s="86"/>
      <c r="BV397" s="86"/>
    </row>
    <row r="398" spans="1:74" s="87" customFormat="1" ht="42.75" x14ac:dyDescent="0.2">
      <c r="A398" s="76" t="s">
        <v>1354</v>
      </c>
      <c r="B398" s="77" t="s">
        <v>1355</v>
      </c>
      <c r="C398" s="41"/>
      <c r="D398" s="41"/>
      <c r="E398" s="41"/>
      <c r="F398" s="41"/>
      <c r="G398" s="41">
        <v>25901939.120000001</v>
      </c>
      <c r="H398" s="41"/>
      <c r="I398" s="41"/>
      <c r="J398" s="41"/>
      <c r="K398" s="41"/>
      <c r="L398" s="41"/>
      <c r="M398" s="41"/>
      <c r="N398" s="41"/>
      <c r="O398" s="140">
        <f t="shared" si="217"/>
        <v>25901939.120000001</v>
      </c>
      <c r="P398" s="86">
        <v>25901939.120000001</v>
      </c>
      <c r="Q398" s="108">
        <f t="shared" si="221"/>
        <v>0</v>
      </c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86"/>
      <c r="AT398" s="86"/>
      <c r="AU398" s="86"/>
      <c r="AV398" s="86"/>
      <c r="AW398" s="86"/>
      <c r="AX398" s="86"/>
      <c r="AY398" s="86"/>
      <c r="AZ398" s="86"/>
      <c r="BA398" s="86"/>
      <c r="BB398" s="86"/>
      <c r="BC398" s="86"/>
      <c r="BD398" s="86"/>
      <c r="BE398" s="86"/>
      <c r="BF398" s="86"/>
      <c r="BG398" s="86"/>
      <c r="BH398" s="86"/>
      <c r="BI398" s="86"/>
      <c r="BJ398" s="86"/>
      <c r="BK398" s="86"/>
      <c r="BL398" s="86"/>
      <c r="BM398" s="86"/>
      <c r="BN398" s="86"/>
      <c r="BO398" s="86"/>
      <c r="BP398" s="86"/>
      <c r="BQ398" s="86"/>
      <c r="BR398" s="86"/>
      <c r="BS398" s="86"/>
      <c r="BT398" s="86"/>
      <c r="BU398" s="86"/>
      <c r="BV398" s="86"/>
    </row>
    <row r="399" spans="1:74" s="87" customFormat="1" ht="28.5" x14ac:dyDescent="0.2">
      <c r="A399" s="76" t="s">
        <v>1356</v>
      </c>
      <c r="B399" s="77" t="s">
        <v>1357</v>
      </c>
      <c r="C399" s="41"/>
      <c r="D399" s="41"/>
      <c r="E399" s="41"/>
      <c r="F399" s="41"/>
      <c r="G399" s="41">
        <v>18769435.469999999</v>
      </c>
      <c r="H399" s="41"/>
      <c r="I399" s="41"/>
      <c r="J399" s="41"/>
      <c r="K399" s="41"/>
      <c r="L399" s="41"/>
      <c r="M399" s="41"/>
      <c r="N399" s="41"/>
      <c r="O399" s="140">
        <f t="shared" si="217"/>
        <v>18769435.469999999</v>
      </c>
      <c r="P399" s="86">
        <v>18769435.469999999</v>
      </c>
      <c r="Q399" s="108">
        <f t="shared" si="221"/>
        <v>0</v>
      </c>
      <c r="R399" s="86"/>
      <c r="S399" s="86"/>
      <c r="T399" s="86"/>
      <c r="U399" s="86"/>
      <c r="V399" s="86"/>
      <c r="W399" s="86"/>
      <c r="X399" s="86"/>
      <c r="Y399" s="86"/>
      <c r="Z399" s="86"/>
      <c r="AA399" s="86"/>
      <c r="AB399" s="86"/>
      <c r="AC399" s="86"/>
      <c r="AD399" s="86"/>
      <c r="AE399" s="86"/>
      <c r="AF399" s="86"/>
      <c r="AG399" s="86"/>
      <c r="AH399" s="86"/>
      <c r="AI399" s="86"/>
      <c r="AJ399" s="86"/>
      <c r="AK399" s="86"/>
      <c r="AL399" s="86"/>
      <c r="AM399" s="86"/>
      <c r="AN399" s="86"/>
      <c r="AO399" s="86"/>
      <c r="AP399" s="86"/>
      <c r="AQ399" s="86"/>
      <c r="AR399" s="86"/>
      <c r="AS399" s="86"/>
      <c r="AT399" s="86"/>
      <c r="AU399" s="86"/>
      <c r="AV399" s="86"/>
      <c r="AW399" s="86"/>
      <c r="AX399" s="86"/>
      <c r="AY399" s="86"/>
      <c r="AZ399" s="86"/>
      <c r="BA399" s="86"/>
      <c r="BB399" s="86"/>
      <c r="BC399" s="86"/>
      <c r="BD399" s="86"/>
      <c r="BE399" s="86"/>
      <c r="BF399" s="86"/>
      <c r="BG399" s="86"/>
      <c r="BH399" s="86"/>
      <c r="BI399" s="86"/>
      <c r="BJ399" s="86"/>
      <c r="BK399" s="86"/>
      <c r="BL399" s="86"/>
      <c r="BM399" s="86"/>
      <c r="BN399" s="86"/>
      <c r="BO399" s="86"/>
      <c r="BP399" s="86"/>
      <c r="BQ399" s="86"/>
      <c r="BR399" s="86"/>
      <c r="BS399" s="86"/>
      <c r="BT399" s="86"/>
      <c r="BU399" s="86"/>
      <c r="BV399" s="86"/>
    </row>
    <row r="400" spans="1:74" s="87" customFormat="1" ht="15.75" x14ac:dyDescent="0.2">
      <c r="A400" s="81" t="s">
        <v>1218</v>
      </c>
      <c r="B400" s="79" t="s">
        <v>1219</v>
      </c>
      <c r="C400" s="78">
        <f>+C402+C401</f>
        <v>0</v>
      </c>
      <c r="D400" s="78">
        <f t="shared" ref="D400:N400" si="232">+D402+D401</f>
        <v>0</v>
      </c>
      <c r="E400" s="78">
        <f t="shared" si="232"/>
        <v>1101210837</v>
      </c>
      <c r="F400" s="78">
        <f t="shared" si="232"/>
        <v>0</v>
      </c>
      <c r="G400" s="78">
        <f>+G402+G401</f>
        <v>41585805014.779999</v>
      </c>
      <c r="H400" s="78">
        <f t="shared" si="232"/>
        <v>0</v>
      </c>
      <c r="I400" s="78">
        <f t="shared" si="232"/>
        <v>0</v>
      </c>
      <c r="J400" s="78">
        <f t="shared" si="232"/>
        <v>0</v>
      </c>
      <c r="K400" s="78">
        <f t="shared" si="232"/>
        <v>0</v>
      </c>
      <c r="L400" s="78">
        <f t="shared" si="232"/>
        <v>0</v>
      </c>
      <c r="M400" s="78">
        <f t="shared" si="232"/>
        <v>0</v>
      </c>
      <c r="N400" s="78">
        <f t="shared" si="232"/>
        <v>0</v>
      </c>
      <c r="O400" s="140">
        <f t="shared" si="217"/>
        <v>42687015851.779999</v>
      </c>
      <c r="P400" s="86">
        <v>42687015851.779999</v>
      </c>
      <c r="Q400" s="108">
        <f t="shared" si="221"/>
        <v>0</v>
      </c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86"/>
      <c r="AT400" s="86"/>
      <c r="AU400" s="86"/>
      <c r="AV400" s="86"/>
      <c r="AW400" s="86"/>
      <c r="AX400" s="86"/>
      <c r="AY400" s="86"/>
      <c r="AZ400" s="86"/>
      <c r="BA400" s="86"/>
      <c r="BB400" s="86"/>
      <c r="BC400" s="86"/>
      <c r="BD400" s="86"/>
      <c r="BE400" s="86"/>
      <c r="BF400" s="86"/>
      <c r="BG400" s="86"/>
      <c r="BH400" s="86"/>
      <c r="BI400" s="86"/>
      <c r="BJ400" s="86"/>
      <c r="BK400" s="86"/>
      <c r="BL400" s="86"/>
      <c r="BM400" s="86"/>
      <c r="BN400" s="86"/>
      <c r="BO400" s="86"/>
      <c r="BP400" s="86"/>
      <c r="BQ400" s="86"/>
      <c r="BR400" s="86"/>
      <c r="BS400" s="86"/>
      <c r="BT400" s="86"/>
      <c r="BU400" s="86"/>
      <c r="BV400" s="86"/>
    </row>
    <row r="401" spans="1:74" s="87" customFormat="1" ht="19.5" x14ac:dyDescent="0.2">
      <c r="A401" s="76" t="s">
        <v>1220</v>
      </c>
      <c r="B401" s="77" t="s">
        <v>1219</v>
      </c>
      <c r="C401" s="162"/>
      <c r="D401" s="162"/>
      <c r="E401" s="162"/>
      <c r="F401" s="162"/>
      <c r="G401" s="126">
        <v>41585805014.779999</v>
      </c>
      <c r="H401" s="162"/>
      <c r="I401" s="162"/>
      <c r="J401" s="162"/>
      <c r="K401" s="162"/>
      <c r="L401" s="162"/>
      <c r="M401" s="162"/>
      <c r="N401" s="162"/>
      <c r="O401" s="140">
        <f t="shared" si="217"/>
        <v>41585805014.779999</v>
      </c>
      <c r="P401" s="86">
        <v>41585805014.779999</v>
      </c>
      <c r="Q401" s="108">
        <f t="shared" si="221"/>
        <v>0</v>
      </c>
      <c r="R401" s="86"/>
      <c r="S401" s="86"/>
      <c r="T401" s="86"/>
      <c r="U401" s="86"/>
      <c r="V401" s="86"/>
      <c r="W401" s="86"/>
      <c r="X401" s="86"/>
      <c r="Y401" s="86"/>
      <c r="Z401" s="86"/>
      <c r="AA401" s="86"/>
      <c r="AB401" s="86"/>
      <c r="AC401" s="86"/>
      <c r="AD401" s="86"/>
      <c r="AE401" s="86"/>
      <c r="AF401" s="86"/>
      <c r="AG401" s="86"/>
      <c r="AH401" s="86"/>
      <c r="AI401" s="86"/>
      <c r="AJ401" s="86"/>
      <c r="AK401" s="86"/>
      <c r="AL401" s="86"/>
      <c r="AM401" s="86"/>
      <c r="AN401" s="86"/>
      <c r="AO401" s="86"/>
      <c r="AP401" s="86"/>
      <c r="AQ401" s="86"/>
      <c r="AR401" s="86"/>
      <c r="AS401" s="86"/>
      <c r="AT401" s="86"/>
      <c r="AU401" s="86"/>
      <c r="AV401" s="86"/>
      <c r="AW401" s="86"/>
      <c r="AX401" s="86"/>
      <c r="AY401" s="86"/>
      <c r="AZ401" s="86"/>
      <c r="BA401" s="86"/>
      <c r="BB401" s="86"/>
      <c r="BC401" s="86"/>
      <c r="BD401" s="86"/>
      <c r="BE401" s="86"/>
      <c r="BF401" s="86"/>
      <c r="BG401" s="86"/>
      <c r="BH401" s="86"/>
      <c r="BI401" s="86"/>
      <c r="BJ401" s="86"/>
      <c r="BK401" s="86"/>
      <c r="BL401" s="86"/>
      <c r="BM401" s="86"/>
      <c r="BN401" s="86"/>
      <c r="BO401" s="86"/>
      <c r="BP401" s="86"/>
      <c r="BQ401" s="86"/>
      <c r="BR401" s="86"/>
      <c r="BS401" s="86"/>
      <c r="BT401" s="86"/>
      <c r="BU401" s="86"/>
      <c r="BV401" s="86"/>
    </row>
    <row r="402" spans="1:74" s="87" customFormat="1" ht="14.25" x14ac:dyDescent="0.2">
      <c r="A402" s="76" t="s">
        <v>1220</v>
      </c>
      <c r="B402" s="77" t="s">
        <v>1219</v>
      </c>
      <c r="C402" s="41"/>
      <c r="D402" s="41"/>
      <c r="E402" s="41">
        <v>1101210837</v>
      </c>
      <c r="F402" s="41"/>
      <c r="G402" s="41"/>
      <c r="H402" s="41"/>
      <c r="I402" s="41"/>
      <c r="J402" s="41"/>
      <c r="K402" s="41"/>
      <c r="L402" s="41"/>
      <c r="M402" s="41"/>
      <c r="N402" s="41"/>
      <c r="O402" s="140">
        <f t="shared" si="217"/>
        <v>1101210837</v>
      </c>
      <c r="P402" s="86">
        <v>1101210837</v>
      </c>
      <c r="Q402" s="108">
        <f t="shared" ref="Q402:Q465" si="233">+P402-O402</f>
        <v>0</v>
      </c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86"/>
      <c r="AT402" s="86"/>
      <c r="AU402" s="86"/>
      <c r="AV402" s="86"/>
      <c r="AW402" s="86"/>
      <c r="AX402" s="86"/>
      <c r="AY402" s="86"/>
      <c r="AZ402" s="86"/>
      <c r="BA402" s="86"/>
      <c r="BB402" s="86"/>
      <c r="BC402" s="86"/>
      <c r="BD402" s="86"/>
      <c r="BE402" s="86"/>
      <c r="BF402" s="86"/>
      <c r="BG402" s="86"/>
      <c r="BH402" s="86"/>
      <c r="BI402" s="86"/>
      <c r="BJ402" s="86"/>
      <c r="BK402" s="86"/>
      <c r="BL402" s="86"/>
      <c r="BM402" s="86"/>
      <c r="BN402" s="86"/>
      <c r="BO402" s="86"/>
      <c r="BP402" s="86"/>
      <c r="BQ402" s="86"/>
      <c r="BR402" s="86"/>
      <c r="BS402" s="86"/>
      <c r="BT402" s="86"/>
      <c r="BU402" s="86"/>
      <c r="BV402" s="86"/>
    </row>
    <row r="403" spans="1:74" s="87" customFormat="1" ht="31.5" x14ac:dyDescent="0.2">
      <c r="A403" s="81" t="s">
        <v>1221</v>
      </c>
      <c r="B403" s="79" t="s">
        <v>1222</v>
      </c>
      <c r="C403" s="78">
        <f>+C405+C404</f>
        <v>0</v>
      </c>
      <c r="D403" s="78">
        <f t="shared" ref="D403:N403" si="234">+D405+D404</f>
        <v>0</v>
      </c>
      <c r="E403" s="78">
        <f t="shared" si="234"/>
        <v>1716442500</v>
      </c>
      <c r="F403" s="78">
        <f t="shared" si="234"/>
        <v>0</v>
      </c>
      <c r="G403" s="78">
        <f>+G405+G404</f>
        <v>997499585.67999995</v>
      </c>
      <c r="H403" s="78">
        <f t="shared" si="234"/>
        <v>0</v>
      </c>
      <c r="I403" s="78">
        <f t="shared" si="234"/>
        <v>0</v>
      </c>
      <c r="J403" s="78">
        <f t="shared" si="234"/>
        <v>0</v>
      </c>
      <c r="K403" s="78">
        <f t="shared" si="234"/>
        <v>0</v>
      </c>
      <c r="L403" s="78">
        <f t="shared" si="234"/>
        <v>0</v>
      </c>
      <c r="M403" s="78">
        <f t="shared" si="234"/>
        <v>0</v>
      </c>
      <c r="N403" s="78">
        <f t="shared" si="234"/>
        <v>0</v>
      </c>
      <c r="O403" s="140">
        <f t="shared" si="217"/>
        <v>2713942085.6799998</v>
      </c>
      <c r="P403" s="86">
        <v>2713942085.6799998</v>
      </c>
      <c r="Q403" s="108">
        <f t="shared" si="233"/>
        <v>0</v>
      </c>
      <c r="R403" s="86"/>
      <c r="S403" s="86"/>
      <c r="T403" s="86"/>
      <c r="U403" s="86"/>
      <c r="V403" s="86"/>
      <c r="W403" s="86"/>
      <c r="X403" s="86"/>
      <c r="Y403" s="86"/>
      <c r="Z403" s="86"/>
      <c r="AA403" s="86"/>
      <c r="AB403" s="86"/>
      <c r="AC403" s="86"/>
      <c r="AD403" s="86"/>
      <c r="AE403" s="86"/>
      <c r="AF403" s="86"/>
      <c r="AG403" s="86"/>
      <c r="AH403" s="86"/>
      <c r="AI403" s="86"/>
      <c r="AJ403" s="86"/>
      <c r="AK403" s="86"/>
      <c r="AL403" s="86"/>
      <c r="AM403" s="86"/>
      <c r="AN403" s="86"/>
      <c r="AO403" s="86"/>
      <c r="AP403" s="86"/>
      <c r="AQ403" s="86"/>
      <c r="AR403" s="86"/>
      <c r="AS403" s="86"/>
      <c r="AT403" s="86"/>
      <c r="AU403" s="86"/>
      <c r="AV403" s="86"/>
      <c r="AW403" s="86"/>
      <c r="AX403" s="86"/>
      <c r="AY403" s="86"/>
      <c r="AZ403" s="86"/>
      <c r="BA403" s="86"/>
      <c r="BB403" s="86"/>
      <c r="BC403" s="86"/>
      <c r="BD403" s="86"/>
      <c r="BE403" s="86"/>
      <c r="BF403" s="86"/>
      <c r="BG403" s="86"/>
      <c r="BH403" s="86"/>
      <c r="BI403" s="86"/>
      <c r="BJ403" s="86"/>
      <c r="BK403" s="86"/>
      <c r="BL403" s="86"/>
      <c r="BM403" s="86"/>
      <c r="BN403" s="86"/>
      <c r="BO403" s="86"/>
      <c r="BP403" s="86"/>
      <c r="BQ403" s="86"/>
      <c r="BR403" s="86"/>
      <c r="BS403" s="86"/>
      <c r="BT403" s="86"/>
      <c r="BU403" s="86"/>
      <c r="BV403" s="86"/>
    </row>
    <row r="404" spans="1:74" s="110" customFormat="1" ht="15" x14ac:dyDescent="0.2">
      <c r="A404" s="76" t="s">
        <v>1223</v>
      </c>
      <c r="B404" s="77" t="s">
        <v>1222</v>
      </c>
      <c r="C404" s="126"/>
      <c r="D404" s="126"/>
      <c r="E404" s="126"/>
      <c r="F404" s="126"/>
      <c r="G404" s="126">
        <v>997499585.67999995</v>
      </c>
      <c r="H404" s="126"/>
      <c r="I404" s="126"/>
      <c r="J404" s="126"/>
      <c r="K404" s="126"/>
      <c r="L404" s="126"/>
      <c r="M404" s="126"/>
      <c r="N404" s="126"/>
      <c r="O404" s="198">
        <f t="shared" si="217"/>
        <v>997499585.67999995</v>
      </c>
      <c r="P404" s="86">
        <v>997499585.67999995</v>
      </c>
      <c r="Q404" s="108">
        <f t="shared" si="233"/>
        <v>0</v>
      </c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</row>
    <row r="405" spans="1:74" s="110" customFormat="1" ht="14.25" x14ac:dyDescent="0.2">
      <c r="A405" s="76" t="s">
        <v>1223</v>
      </c>
      <c r="B405" s="77" t="s">
        <v>1222</v>
      </c>
      <c r="C405" s="41"/>
      <c r="D405" s="41"/>
      <c r="E405" s="41">
        <v>1716442500</v>
      </c>
      <c r="F405" s="41"/>
      <c r="G405" s="41"/>
      <c r="H405" s="41"/>
      <c r="I405" s="41"/>
      <c r="J405" s="41"/>
      <c r="K405" s="41"/>
      <c r="L405" s="41"/>
      <c r="M405" s="41"/>
      <c r="N405" s="41"/>
      <c r="O405" s="198">
        <f t="shared" si="217"/>
        <v>1716442500</v>
      </c>
      <c r="P405" s="86">
        <v>1716442500</v>
      </c>
      <c r="Q405" s="108">
        <f t="shared" si="233"/>
        <v>0</v>
      </c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</row>
    <row r="406" spans="1:74" s="87" customFormat="1" ht="31.5" x14ac:dyDescent="0.2">
      <c r="A406" s="81" t="s">
        <v>1224</v>
      </c>
      <c r="B406" s="79" t="s">
        <v>1225</v>
      </c>
      <c r="C406" s="162">
        <f>SUM(C407:C413)</f>
        <v>0</v>
      </c>
      <c r="D406" s="162">
        <f t="shared" ref="D406:N406" si="235">SUM(D407:D413)</f>
        <v>0</v>
      </c>
      <c r="E406" s="162">
        <f t="shared" si="235"/>
        <v>2715154060.6700001</v>
      </c>
      <c r="F406" s="162">
        <f t="shared" si="235"/>
        <v>0</v>
      </c>
      <c r="G406" s="162">
        <f>SUM(G407:G413)</f>
        <v>7293701458.1300001</v>
      </c>
      <c r="H406" s="162">
        <f t="shared" si="235"/>
        <v>0</v>
      </c>
      <c r="I406" s="162">
        <f t="shared" si="235"/>
        <v>0</v>
      </c>
      <c r="J406" s="162">
        <f t="shared" si="235"/>
        <v>0</v>
      </c>
      <c r="K406" s="162">
        <f t="shared" si="235"/>
        <v>0</v>
      </c>
      <c r="L406" s="162">
        <f t="shared" si="235"/>
        <v>0</v>
      </c>
      <c r="M406" s="162">
        <f t="shared" si="235"/>
        <v>0</v>
      </c>
      <c r="N406" s="162">
        <f t="shared" si="235"/>
        <v>0</v>
      </c>
      <c r="O406" s="140">
        <f t="shared" si="217"/>
        <v>10008855518.799999</v>
      </c>
      <c r="P406" s="86">
        <v>10008855518.799999</v>
      </c>
      <c r="Q406" s="108">
        <f t="shared" si="233"/>
        <v>0</v>
      </c>
      <c r="R406" s="86"/>
      <c r="S406" s="86"/>
      <c r="T406" s="86"/>
      <c r="U406" s="86"/>
      <c r="V406" s="86"/>
      <c r="W406" s="86"/>
      <c r="X406" s="86"/>
      <c r="Y406" s="86"/>
      <c r="Z406" s="86"/>
      <c r="AA406" s="86"/>
      <c r="AB406" s="86"/>
      <c r="AC406" s="86"/>
      <c r="AD406" s="86"/>
      <c r="AE406" s="86"/>
      <c r="AF406" s="86"/>
      <c r="AG406" s="86"/>
      <c r="AH406" s="86"/>
      <c r="AI406" s="86"/>
      <c r="AJ406" s="86"/>
      <c r="AK406" s="86"/>
      <c r="AL406" s="86"/>
      <c r="AM406" s="86"/>
      <c r="AN406" s="86"/>
      <c r="AO406" s="86"/>
      <c r="AP406" s="86"/>
      <c r="AQ406" s="86"/>
      <c r="AR406" s="86"/>
      <c r="AS406" s="86"/>
      <c r="AT406" s="86"/>
      <c r="AU406" s="86"/>
      <c r="AV406" s="86"/>
      <c r="AW406" s="86"/>
      <c r="AX406" s="86"/>
      <c r="AY406" s="86"/>
      <c r="AZ406" s="86"/>
      <c r="BA406" s="86"/>
      <c r="BB406" s="86"/>
      <c r="BC406" s="86"/>
      <c r="BD406" s="86"/>
      <c r="BE406" s="86"/>
      <c r="BF406" s="86"/>
      <c r="BG406" s="86"/>
      <c r="BH406" s="86"/>
      <c r="BI406" s="86"/>
      <c r="BJ406" s="86"/>
      <c r="BK406" s="86"/>
      <c r="BL406" s="86"/>
      <c r="BM406" s="86"/>
      <c r="BN406" s="86"/>
      <c r="BO406" s="86"/>
      <c r="BP406" s="86"/>
      <c r="BQ406" s="86"/>
      <c r="BR406" s="86"/>
      <c r="BS406" s="86"/>
      <c r="BT406" s="86"/>
      <c r="BU406" s="86"/>
      <c r="BV406" s="86"/>
    </row>
    <row r="407" spans="1:74" s="87" customFormat="1" ht="42.75" x14ac:dyDescent="0.2">
      <c r="A407" s="76" t="s">
        <v>1226</v>
      </c>
      <c r="B407" s="77" t="s">
        <v>1227</v>
      </c>
      <c r="C407" s="41"/>
      <c r="D407" s="41"/>
      <c r="E407" s="41">
        <v>627750443.66999996</v>
      </c>
      <c r="F407" s="41"/>
      <c r="G407" s="41"/>
      <c r="H407" s="41"/>
      <c r="I407" s="41"/>
      <c r="J407" s="41"/>
      <c r="K407" s="41"/>
      <c r="L407" s="41"/>
      <c r="M407" s="41"/>
      <c r="N407" s="41"/>
      <c r="O407" s="140">
        <f t="shared" si="217"/>
        <v>627750443.66999996</v>
      </c>
      <c r="P407" s="86">
        <v>627750443.66999996</v>
      </c>
      <c r="Q407" s="108">
        <f t="shared" si="233"/>
        <v>0</v>
      </c>
      <c r="R407" s="86"/>
      <c r="S407" s="86"/>
      <c r="T407" s="86"/>
      <c r="U407" s="86"/>
      <c r="V407" s="86"/>
      <c r="W407" s="86"/>
      <c r="X407" s="86"/>
      <c r="Y407" s="86"/>
      <c r="Z407" s="86"/>
      <c r="AA407" s="86"/>
      <c r="AB407" s="86"/>
      <c r="AC407" s="86"/>
      <c r="AD407" s="86"/>
      <c r="AE407" s="86"/>
      <c r="AF407" s="86"/>
      <c r="AG407" s="86"/>
      <c r="AH407" s="86"/>
      <c r="AI407" s="86"/>
      <c r="AJ407" s="86"/>
      <c r="AK407" s="86"/>
      <c r="AL407" s="86"/>
      <c r="AM407" s="86"/>
      <c r="AN407" s="86"/>
      <c r="AO407" s="86"/>
      <c r="AP407" s="86"/>
      <c r="AQ407" s="86"/>
      <c r="AR407" s="86"/>
      <c r="AS407" s="86"/>
      <c r="AT407" s="86"/>
      <c r="AU407" s="86"/>
      <c r="AV407" s="86"/>
      <c r="AW407" s="86"/>
      <c r="AX407" s="86"/>
      <c r="AY407" s="86"/>
      <c r="AZ407" s="86"/>
      <c r="BA407" s="86"/>
      <c r="BB407" s="86"/>
      <c r="BC407" s="86"/>
      <c r="BD407" s="86"/>
      <c r="BE407" s="86"/>
      <c r="BF407" s="86"/>
      <c r="BG407" s="86"/>
      <c r="BH407" s="86"/>
      <c r="BI407" s="86"/>
      <c r="BJ407" s="86"/>
      <c r="BK407" s="86"/>
      <c r="BL407" s="86"/>
      <c r="BM407" s="86"/>
      <c r="BN407" s="86"/>
      <c r="BO407" s="86"/>
      <c r="BP407" s="86"/>
      <c r="BQ407" s="86"/>
      <c r="BR407" s="86"/>
      <c r="BS407" s="86"/>
      <c r="BT407" s="86"/>
      <c r="BU407" s="86"/>
      <c r="BV407" s="86"/>
    </row>
    <row r="408" spans="1:74" s="87" customFormat="1" ht="28.5" x14ac:dyDescent="0.2">
      <c r="A408" s="76" t="s">
        <v>1228</v>
      </c>
      <c r="B408" s="77" t="s">
        <v>1229</v>
      </c>
      <c r="C408" s="41"/>
      <c r="D408" s="41"/>
      <c r="E408" s="41">
        <v>373443000</v>
      </c>
      <c r="F408" s="41"/>
      <c r="G408" s="41"/>
      <c r="H408" s="41"/>
      <c r="I408" s="41"/>
      <c r="J408" s="41"/>
      <c r="K408" s="41"/>
      <c r="L408" s="41"/>
      <c r="M408" s="41"/>
      <c r="N408" s="41"/>
      <c r="O408" s="140">
        <f t="shared" si="217"/>
        <v>373443000</v>
      </c>
      <c r="P408" s="86">
        <v>373443000</v>
      </c>
      <c r="Q408" s="108">
        <f t="shared" si="233"/>
        <v>0</v>
      </c>
      <c r="R408" s="86"/>
      <c r="S408" s="86"/>
      <c r="T408" s="86"/>
      <c r="U408" s="86"/>
      <c r="V408" s="86"/>
      <c r="W408" s="86"/>
      <c r="X408" s="86"/>
      <c r="Y408" s="86"/>
      <c r="Z408" s="86"/>
      <c r="AA408" s="86"/>
      <c r="AB408" s="86"/>
      <c r="AC408" s="86"/>
      <c r="AD408" s="86"/>
      <c r="AE408" s="86"/>
      <c r="AF408" s="86"/>
      <c r="AG408" s="86"/>
      <c r="AH408" s="86"/>
      <c r="AI408" s="86"/>
      <c r="AJ408" s="86"/>
      <c r="AK408" s="86"/>
      <c r="AL408" s="86"/>
      <c r="AM408" s="86"/>
      <c r="AN408" s="86"/>
      <c r="AO408" s="86"/>
      <c r="AP408" s="86"/>
      <c r="AQ408" s="86"/>
      <c r="AR408" s="86"/>
      <c r="AS408" s="86"/>
      <c r="AT408" s="86"/>
      <c r="AU408" s="86"/>
      <c r="AV408" s="86"/>
      <c r="AW408" s="86"/>
      <c r="AX408" s="86"/>
      <c r="AY408" s="86"/>
      <c r="AZ408" s="86"/>
      <c r="BA408" s="86"/>
      <c r="BB408" s="86"/>
      <c r="BC408" s="86"/>
      <c r="BD408" s="86"/>
      <c r="BE408" s="86"/>
      <c r="BF408" s="86"/>
      <c r="BG408" s="86"/>
      <c r="BH408" s="86"/>
      <c r="BI408" s="86"/>
      <c r="BJ408" s="86"/>
      <c r="BK408" s="86"/>
      <c r="BL408" s="86"/>
      <c r="BM408" s="86"/>
      <c r="BN408" s="86"/>
      <c r="BO408" s="86"/>
      <c r="BP408" s="86"/>
      <c r="BQ408" s="86"/>
      <c r="BR408" s="86"/>
      <c r="BS408" s="86"/>
      <c r="BT408" s="86"/>
      <c r="BU408" s="86"/>
      <c r="BV408" s="86"/>
    </row>
    <row r="409" spans="1:74" s="87" customFormat="1" ht="28.5" x14ac:dyDescent="0.2">
      <c r="A409" s="76" t="s">
        <v>1230</v>
      </c>
      <c r="B409" s="77" t="s">
        <v>1231</v>
      </c>
      <c r="C409" s="41"/>
      <c r="D409" s="41"/>
      <c r="E409" s="41">
        <v>626557000</v>
      </c>
      <c r="F409" s="41"/>
      <c r="G409" s="41"/>
      <c r="H409" s="41"/>
      <c r="I409" s="41"/>
      <c r="J409" s="41"/>
      <c r="K409" s="41"/>
      <c r="L409" s="41"/>
      <c r="M409" s="41"/>
      <c r="N409" s="41"/>
      <c r="O409" s="140">
        <f t="shared" si="217"/>
        <v>626557000</v>
      </c>
      <c r="P409" s="86">
        <v>626557000</v>
      </c>
      <c r="Q409" s="108">
        <f t="shared" si="233"/>
        <v>0</v>
      </c>
      <c r="R409" s="86"/>
      <c r="S409" s="86"/>
      <c r="T409" s="86"/>
      <c r="U409" s="86"/>
      <c r="V409" s="86"/>
      <c r="W409" s="86"/>
      <c r="X409" s="86"/>
      <c r="Y409" s="86"/>
      <c r="Z409" s="86"/>
      <c r="AA409" s="86"/>
      <c r="AB409" s="86"/>
      <c r="AC409" s="86"/>
      <c r="AD409" s="86"/>
      <c r="AE409" s="86"/>
      <c r="AF409" s="86"/>
      <c r="AG409" s="86"/>
      <c r="AH409" s="86"/>
      <c r="AI409" s="86"/>
      <c r="AJ409" s="86"/>
      <c r="AK409" s="86"/>
      <c r="AL409" s="86"/>
      <c r="AM409" s="86"/>
      <c r="AN409" s="86"/>
      <c r="AO409" s="86"/>
      <c r="AP409" s="86"/>
      <c r="AQ409" s="86"/>
      <c r="AR409" s="86"/>
      <c r="AS409" s="86"/>
      <c r="AT409" s="86"/>
      <c r="AU409" s="86"/>
      <c r="AV409" s="86"/>
      <c r="AW409" s="86"/>
      <c r="AX409" s="86"/>
      <c r="AY409" s="86"/>
      <c r="AZ409" s="86"/>
      <c r="BA409" s="86"/>
      <c r="BB409" s="86"/>
      <c r="BC409" s="86"/>
      <c r="BD409" s="86"/>
      <c r="BE409" s="86"/>
      <c r="BF409" s="86"/>
      <c r="BG409" s="86"/>
      <c r="BH409" s="86"/>
      <c r="BI409" s="86"/>
      <c r="BJ409" s="86"/>
      <c r="BK409" s="86"/>
      <c r="BL409" s="86"/>
      <c r="BM409" s="86"/>
      <c r="BN409" s="86"/>
      <c r="BO409" s="86"/>
      <c r="BP409" s="86"/>
      <c r="BQ409" s="86"/>
      <c r="BR409" s="86"/>
      <c r="BS409" s="86"/>
      <c r="BT409" s="86"/>
      <c r="BU409" s="86"/>
      <c r="BV409" s="86"/>
    </row>
    <row r="410" spans="1:74" s="87" customFormat="1" ht="28.5" x14ac:dyDescent="0.2">
      <c r="A410" s="76" t="s">
        <v>1232</v>
      </c>
      <c r="B410" s="77" t="s">
        <v>1233</v>
      </c>
      <c r="C410" s="41"/>
      <c r="D410" s="41"/>
      <c r="E410" s="41">
        <v>322809000</v>
      </c>
      <c r="F410" s="41"/>
      <c r="G410" s="41"/>
      <c r="H410" s="41"/>
      <c r="I410" s="41"/>
      <c r="J410" s="41"/>
      <c r="K410" s="41"/>
      <c r="L410" s="41"/>
      <c r="M410" s="41"/>
      <c r="N410" s="41"/>
      <c r="O410" s="140">
        <f t="shared" si="217"/>
        <v>322809000</v>
      </c>
      <c r="P410" s="86">
        <v>322809000</v>
      </c>
      <c r="Q410" s="108">
        <f t="shared" si="233"/>
        <v>0</v>
      </c>
      <c r="R410" s="86"/>
      <c r="S410" s="86"/>
      <c r="T410" s="86"/>
      <c r="U410" s="86"/>
      <c r="V410" s="86"/>
      <c r="W410" s="86"/>
      <c r="X410" s="86"/>
      <c r="Y410" s="86"/>
      <c r="Z410" s="86"/>
      <c r="AA410" s="86"/>
      <c r="AB410" s="86"/>
      <c r="AC410" s="86"/>
      <c r="AD410" s="86"/>
      <c r="AE410" s="86"/>
      <c r="AF410" s="86"/>
      <c r="AG410" s="86"/>
      <c r="AH410" s="86"/>
      <c r="AI410" s="86"/>
      <c r="AJ410" s="86"/>
      <c r="AK410" s="86"/>
      <c r="AL410" s="86"/>
      <c r="AM410" s="86"/>
      <c r="AN410" s="86"/>
      <c r="AO410" s="86"/>
      <c r="AP410" s="86"/>
      <c r="AQ410" s="86"/>
      <c r="AR410" s="86"/>
      <c r="AS410" s="86"/>
      <c r="AT410" s="86"/>
      <c r="AU410" s="86"/>
      <c r="AV410" s="86"/>
      <c r="AW410" s="86"/>
      <c r="AX410" s="86"/>
      <c r="AY410" s="86"/>
      <c r="AZ410" s="86"/>
      <c r="BA410" s="86"/>
      <c r="BB410" s="86"/>
      <c r="BC410" s="86"/>
      <c r="BD410" s="86"/>
      <c r="BE410" s="86"/>
      <c r="BF410" s="86"/>
      <c r="BG410" s="86"/>
      <c r="BH410" s="86"/>
      <c r="BI410" s="86"/>
      <c r="BJ410" s="86"/>
      <c r="BK410" s="86"/>
      <c r="BL410" s="86"/>
      <c r="BM410" s="86"/>
      <c r="BN410" s="86"/>
      <c r="BO410" s="86"/>
      <c r="BP410" s="86"/>
      <c r="BQ410" s="86"/>
      <c r="BR410" s="86"/>
      <c r="BS410" s="86"/>
      <c r="BT410" s="86"/>
      <c r="BU410" s="86"/>
      <c r="BV410" s="86"/>
    </row>
    <row r="411" spans="1:74" s="87" customFormat="1" ht="42.75" x14ac:dyDescent="0.2">
      <c r="A411" s="76" t="s">
        <v>1234</v>
      </c>
      <c r="B411" s="77" t="s">
        <v>1235</v>
      </c>
      <c r="C411" s="41"/>
      <c r="D411" s="41"/>
      <c r="E411" s="41">
        <v>270394617</v>
      </c>
      <c r="F411" s="41"/>
      <c r="G411" s="41"/>
      <c r="H411" s="41"/>
      <c r="I411" s="41"/>
      <c r="J411" s="41"/>
      <c r="K411" s="41"/>
      <c r="L411" s="41"/>
      <c r="M411" s="41"/>
      <c r="N411" s="41"/>
      <c r="O411" s="140">
        <f t="shared" si="217"/>
        <v>270394617</v>
      </c>
      <c r="P411" s="86">
        <v>270394617</v>
      </c>
      <c r="Q411" s="108">
        <f t="shared" si="233"/>
        <v>0</v>
      </c>
      <c r="R411" s="86"/>
      <c r="S411" s="86"/>
      <c r="T411" s="86"/>
      <c r="U411" s="86"/>
      <c r="V411" s="86"/>
      <c r="W411" s="86"/>
      <c r="X411" s="86"/>
      <c r="Y411" s="86"/>
      <c r="Z411" s="86"/>
      <c r="AA411" s="86"/>
      <c r="AB411" s="86"/>
      <c r="AC411" s="86"/>
      <c r="AD411" s="86"/>
      <c r="AE411" s="86"/>
      <c r="AF411" s="86"/>
      <c r="AG411" s="86"/>
      <c r="AH411" s="86"/>
      <c r="AI411" s="86"/>
      <c r="AJ411" s="86"/>
      <c r="AK411" s="86"/>
      <c r="AL411" s="86"/>
      <c r="AM411" s="86"/>
      <c r="AN411" s="86"/>
      <c r="AO411" s="86"/>
      <c r="AP411" s="86"/>
      <c r="AQ411" s="86"/>
      <c r="AR411" s="86"/>
      <c r="AS411" s="86"/>
      <c r="AT411" s="86"/>
      <c r="AU411" s="86"/>
      <c r="AV411" s="86"/>
      <c r="AW411" s="86"/>
      <c r="AX411" s="86"/>
      <c r="AY411" s="86"/>
      <c r="AZ411" s="86"/>
      <c r="BA411" s="86"/>
      <c r="BB411" s="86"/>
      <c r="BC411" s="86"/>
      <c r="BD411" s="86"/>
      <c r="BE411" s="86"/>
      <c r="BF411" s="86"/>
      <c r="BG411" s="86"/>
      <c r="BH411" s="86"/>
      <c r="BI411" s="86"/>
      <c r="BJ411" s="86"/>
      <c r="BK411" s="86"/>
      <c r="BL411" s="86"/>
      <c r="BM411" s="86"/>
      <c r="BN411" s="86"/>
      <c r="BO411" s="86"/>
      <c r="BP411" s="86"/>
      <c r="BQ411" s="86"/>
      <c r="BR411" s="86"/>
      <c r="BS411" s="86"/>
      <c r="BT411" s="86"/>
      <c r="BU411" s="86"/>
      <c r="BV411" s="86"/>
    </row>
    <row r="412" spans="1:74" s="87" customFormat="1" ht="42.75" x14ac:dyDescent="0.2">
      <c r="A412" s="76" t="s">
        <v>1236</v>
      </c>
      <c r="B412" s="77" t="s">
        <v>1237</v>
      </c>
      <c r="C412" s="41"/>
      <c r="D412" s="41"/>
      <c r="E412" s="41">
        <v>494200000</v>
      </c>
      <c r="F412" s="41"/>
      <c r="G412" s="41"/>
      <c r="H412" s="41"/>
      <c r="I412" s="41"/>
      <c r="J412" s="41"/>
      <c r="K412" s="41"/>
      <c r="L412" s="41"/>
      <c r="M412" s="41"/>
      <c r="N412" s="41"/>
      <c r="O412" s="140">
        <f t="shared" si="217"/>
        <v>494200000</v>
      </c>
      <c r="P412" s="86">
        <v>494200000</v>
      </c>
      <c r="Q412" s="108">
        <f t="shared" si="233"/>
        <v>0</v>
      </c>
      <c r="R412" s="86"/>
      <c r="S412" s="86"/>
      <c r="T412" s="86"/>
      <c r="U412" s="86"/>
      <c r="V412" s="86"/>
      <c r="W412" s="86"/>
      <c r="X412" s="86"/>
      <c r="Y412" s="86"/>
      <c r="Z412" s="86"/>
      <c r="AA412" s="86"/>
      <c r="AB412" s="86"/>
      <c r="AC412" s="86"/>
      <c r="AD412" s="86"/>
      <c r="AE412" s="86"/>
      <c r="AF412" s="86"/>
      <c r="AG412" s="86"/>
      <c r="AH412" s="86"/>
      <c r="AI412" s="86"/>
      <c r="AJ412" s="86"/>
      <c r="AK412" s="86"/>
      <c r="AL412" s="86"/>
      <c r="AM412" s="86"/>
      <c r="AN412" s="86"/>
      <c r="AO412" s="86"/>
      <c r="AP412" s="86"/>
      <c r="AQ412" s="86"/>
      <c r="AR412" s="86"/>
      <c r="AS412" s="86"/>
      <c r="AT412" s="86"/>
      <c r="AU412" s="86"/>
      <c r="AV412" s="86"/>
      <c r="AW412" s="86"/>
      <c r="AX412" s="86"/>
      <c r="AY412" s="86"/>
      <c r="AZ412" s="86"/>
      <c r="BA412" s="86"/>
      <c r="BB412" s="86"/>
      <c r="BC412" s="86"/>
      <c r="BD412" s="86"/>
      <c r="BE412" s="86"/>
      <c r="BF412" s="86"/>
      <c r="BG412" s="86"/>
      <c r="BH412" s="86"/>
      <c r="BI412" s="86"/>
      <c r="BJ412" s="86"/>
      <c r="BK412" s="86"/>
      <c r="BL412" s="86"/>
      <c r="BM412" s="86"/>
      <c r="BN412" s="86"/>
      <c r="BO412" s="86"/>
      <c r="BP412" s="86"/>
      <c r="BQ412" s="86"/>
      <c r="BR412" s="86"/>
      <c r="BS412" s="86"/>
      <c r="BT412" s="86"/>
      <c r="BU412" s="86"/>
      <c r="BV412" s="86"/>
    </row>
    <row r="413" spans="1:74" s="87" customFormat="1" ht="28.5" x14ac:dyDescent="0.2">
      <c r="A413" s="76" t="s">
        <v>1358</v>
      </c>
      <c r="B413" s="77" t="s">
        <v>1359</v>
      </c>
      <c r="C413" s="41"/>
      <c r="D413" s="41"/>
      <c r="E413" s="41"/>
      <c r="F413" s="41"/>
      <c r="G413" s="41">
        <v>7293701458.1300001</v>
      </c>
      <c r="H413" s="41"/>
      <c r="I413" s="41"/>
      <c r="J413" s="41"/>
      <c r="K413" s="41"/>
      <c r="L413" s="41"/>
      <c r="M413" s="41"/>
      <c r="N413" s="41"/>
      <c r="O413" s="140">
        <f t="shared" si="217"/>
        <v>7293701458.1300001</v>
      </c>
      <c r="P413" s="86">
        <v>7293701458.1300001</v>
      </c>
      <c r="Q413" s="108">
        <f t="shared" si="233"/>
        <v>0</v>
      </c>
      <c r="R413" s="86"/>
      <c r="S413" s="86"/>
      <c r="T413" s="86"/>
      <c r="U413" s="86"/>
      <c r="V413" s="86"/>
      <c r="W413" s="86"/>
      <c r="X413" s="86"/>
      <c r="Y413" s="86"/>
      <c r="Z413" s="86"/>
      <c r="AA413" s="86"/>
      <c r="AB413" s="86"/>
      <c r="AC413" s="86"/>
      <c r="AD413" s="86"/>
      <c r="AE413" s="86"/>
      <c r="AF413" s="86"/>
      <c r="AG413" s="86"/>
      <c r="AH413" s="86"/>
      <c r="AI413" s="86"/>
      <c r="AJ413" s="86"/>
      <c r="AK413" s="86"/>
      <c r="AL413" s="86"/>
      <c r="AM413" s="86"/>
      <c r="AN413" s="86"/>
      <c r="AO413" s="86"/>
      <c r="AP413" s="86"/>
      <c r="AQ413" s="86"/>
      <c r="AR413" s="86"/>
      <c r="AS413" s="86"/>
      <c r="AT413" s="86"/>
      <c r="AU413" s="86"/>
      <c r="AV413" s="86"/>
      <c r="AW413" s="86"/>
      <c r="AX413" s="86"/>
      <c r="AY413" s="86"/>
      <c r="AZ413" s="86"/>
      <c r="BA413" s="86"/>
      <c r="BB413" s="86"/>
      <c r="BC413" s="86"/>
      <c r="BD413" s="86"/>
      <c r="BE413" s="86"/>
      <c r="BF413" s="86"/>
      <c r="BG413" s="86"/>
      <c r="BH413" s="86"/>
      <c r="BI413" s="86"/>
      <c r="BJ413" s="86"/>
      <c r="BK413" s="86"/>
      <c r="BL413" s="86"/>
      <c r="BM413" s="86"/>
      <c r="BN413" s="86"/>
      <c r="BO413" s="86"/>
      <c r="BP413" s="86"/>
      <c r="BQ413" s="86"/>
      <c r="BR413" s="86"/>
      <c r="BS413" s="86"/>
      <c r="BT413" s="86"/>
      <c r="BU413" s="86"/>
      <c r="BV413" s="86"/>
    </row>
    <row r="414" spans="1:74" s="87" customFormat="1" ht="31.5" x14ac:dyDescent="0.2">
      <c r="A414" s="81" t="s">
        <v>1238</v>
      </c>
      <c r="B414" s="79" t="s">
        <v>1239</v>
      </c>
      <c r="C414" s="162">
        <f>SUM(C415:C454)</f>
        <v>0</v>
      </c>
      <c r="D414" s="162">
        <f>SUM(D415:D454)</f>
        <v>0</v>
      </c>
      <c r="E414" s="162">
        <f>SUM(E415:E454)</f>
        <v>13381639410.690001</v>
      </c>
      <c r="F414" s="162">
        <f t="shared" ref="F414:N414" si="236">SUM(F415:F454)</f>
        <v>0</v>
      </c>
      <c r="G414" s="162">
        <f>SUM(G415:G454)</f>
        <v>2996902494.6599998</v>
      </c>
      <c r="H414" s="162">
        <f t="shared" si="236"/>
        <v>0</v>
      </c>
      <c r="I414" s="162">
        <f t="shared" si="236"/>
        <v>0</v>
      </c>
      <c r="J414" s="162">
        <f t="shared" si="236"/>
        <v>0</v>
      </c>
      <c r="K414" s="162">
        <f t="shared" si="236"/>
        <v>0</v>
      </c>
      <c r="L414" s="162">
        <f t="shared" si="236"/>
        <v>0</v>
      </c>
      <c r="M414" s="162">
        <f t="shared" si="236"/>
        <v>0</v>
      </c>
      <c r="N414" s="162">
        <f t="shared" si="236"/>
        <v>0</v>
      </c>
      <c r="O414" s="140">
        <f t="shared" si="217"/>
        <v>16378541905.35</v>
      </c>
      <c r="P414" s="86">
        <v>16378541905.35</v>
      </c>
      <c r="Q414" s="108">
        <f t="shared" si="233"/>
        <v>0</v>
      </c>
      <c r="R414" s="86"/>
      <c r="S414" s="86"/>
      <c r="T414" s="86"/>
      <c r="U414" s="86"/>
      <c r="V414" s="86"/>
      <c r="W414" s="86"/>
      <c r="X414" s="86"/>
      <c r="Y414" s="86"/>
      <c r="Z414" s="86"/>
      <c r="AA414" s="86"/>
      <c r="AB414" s="86"/>
      <c r="AC414" s="86"/>
      <c r="AD414" s="86"/>
      <c r="AE414" s="86"/>
      <c r="AF414" s="86"/>
      <c r="AG414" s="86"/>
      <c r="AH414" s="86"/>
      <c r="AI414" s="86"/>
      <c r="AJ414" s="86"/>
      <c r="AK414" s="86"/>
      <c r="AL414" s="86"/>
      <c r="AM414" s="86"/>
      <c r="AN414" s="86"/>
      <c r="AO414" s="86"/>
      <c r="AP414" s="86"/>
      <c r="AQ414" s="86"/>
      <c r="AR414" s="86"/>
      <c r="AS414" s="86"/>
      <c r="AT414" s="86"/>
      <c r="AU414" s="86"/>
      <c r="AV414" s="86"/>
      <c r="AW414" s="86"/>
      <c r="AX414" s="86"/>
      <c r="AY414" s="86"/>
      <c r="AZ414" s="86"/>
      <c r="BA414" s="86"/>
      <c r="BB414" s="86"/>
      <c r="BC414" s="86"/>
      <c r="BD414" s="86"/>
      <c r="BE414" s="86"/>
      <c r="BF414" s="86"/>
      <c r="BG414" s="86"/>
      <c r="BH414" s="86"/>
      <c r="BI414" s="86"/>
      <c r="BJ414" s="86"/>
      <c r="BK414" s="86"/>
      <c r="BL414" s="86"/>
      <c r="BM414" s="86"/>
      <c r="BN414" s="86"/>
      <c r="BO414" s="86"/>
      <c r="BP414" s="86"/>
      <c r="BQ414" s="86"/>
      <c r="BR414" s="86"/>
      <c r="BS414" s="86"/>
      <c r="BT414" s="86"/>
      <c r="BU414" s="86"/>
      <c r="BV414" s="86"/>
    </row>
    <row r="415" spans="1:74" s="87" customFormat="1" ht="42.75" x14ac:dyDescent="0.2">
      <c r="A415" s="76" t="s">
        <v>1240</v>
      </c>
      <c r="B415" s="77" t="s">
        <v>1241</v>
      </c>
      <c r="C415" s="41"/>
      <c r="D415" s="41"/>
      <c r="E415" s="41">
        <v>13381639410.690001</v>
      </c>
      <c r="F415" s="41"/>
      <c r="G415" s="41"/>
      <c r="H415" s="41"/>
      <c r="I415" s="41"/>
      <c r="J415" s="41"/>
      <c r="K415" s="41"/>
      <c r="L415" s="41"/>
      <c r="M415" s="41"/>
      <c r="N415" s="41"/>
      <c r="O415" s="140">
        <f t="shared" si="217"/>
        <v>13381639410.690001</v>
      </c>
      <c r="P415" s="86">
        <v>13381639410.690001</v>
      </c>
      <c r="Q415" s="108">
        <f t="shared" si="233"/>
        <v>0</v>
      </c>
      <c r="R415" s="86"/>
      <c r="S415" s="86"/>
      <c r="T415" s="86"/>
      <c r="U415" s="86"/>
      <c r="V415" s="86"/>
      <c r="W415" s="86"/>
      <c r="X415" s="86"/>
      <c r="Y415" s="86"/>
      <c r="Z415" s="86"/>
      <c r="AA415" s="86"/>
      <c r="AB415" s="86"/>
      <c r="AC415" s="86"/>
      <c r="AD415" s="86"/>
      <c r="AE415" s="86"/>
      <c r="AF415" s="86"/>
      <c r="AG415" s="86"/>
      <c r="AH415" s="86"/>
      <c r="AI415" s="86"/>
      <c r="AJ415" s="86"/>
      <c r="AK415" s="86"/>
      <c r="AL415" s="86"/>
      <c r="AM415" s="86"/>
      <c r="AN415" s="86"/>
      <c r="AO415" s="86"/>
      <c r="AP415" s="86"/>
      <c r="AQ415" s="86"/>
      <c r="AR415" s="86"/>
      <c r="AS415" s="86"/>
      <c r="AT415" s="86"/>
      <c r="AU415" s="86"/>
      <c r="AV415" s="86"/>
      <c r="AW415" s="86"/>
      <c r="AX415" s="86"/>
      <c r="AY415" s="86"/>
      <c r="AZ415" s="86"/>
      <c r="BA415" s="86"/>
      <c r="BB415" s="86"/>
      <c r="BC415" s="86"/>
      <c r="BD415" s="86"/>
      <c r="BE415" s="86"/>
      <c r="BF415" s="86"/>
      <c r="BG415" s="86"/>
      <c r="BH415" s="86"/>
      <c r="BI415" s="86"/>
      <c r="BJ415" s="86"/>
      <c r="BK415" s="86"/>
      <c r="BL415" s="86"/>
      <c r="BM415" s="86"/>
      <c r="BN415" s="86"/>
      <c r="BO415" s="86"/>
      <c r="BP415" s="86"/>
      <c r="BQ415" s="86"/>
      <c r="BR415" s="86"/>
      <c r="BS415" s="86"/>
      <c r="BT415" s="86"/>
      <c r="BU415" s="86"/>
      <c r="BV415" s="86"/>
    </row>
    <row r="416" spans="1:74" s="87" customFormat="1" ht="71.25" x14ac:dyDescent="0.2">
      <c r="A416" s="319" t="s">
        <v>1360</v>
      </c>
      <c r="B416" s="77" t="s">
        <v>1361</v>
      </c>
      <c r="C416" s="41"/>
      <c r="D416" s="41"/>
      <c r="E416" s="41"/>
      <c r="F416" s="41"/>
      <c r="G416" s="357">
        <v>33000646.48</v>
      </c>
      <c r="H416" s="41"/>
      <c r="I416" s="41"/>
      <c r="J416" s="41"/>
      <c r="K416" s="41"/>
      <c r="L416" s="41"/>
      <c r="M416" s="41"/>
      <c r="N416" s="41"/>
      <c r="O416" s="140">
        <f t="shared" si="217"/>
        <v>33000646.48</v>
      </c>
      <c r="P416" s="86">
        <v>33000646.48</v>
      </c>
      <c r="Q416" s="108">
        <f t="shared" si="233"/>
        <v>0</v>
      </c>
      <c r="R416" s="86"/>
      <c r="S416" s="86"/>
      <c r="T416" s="86"/>
      <c r="U416" s="86"/>
      <c r="V416" s="86"/>
      <c r="W416" s="86"/>
      <c r="X416" s="86"/>
      <c r="Y416" s="86"/>
      <c r="Z416" s="86"/>
      <c r="AA416" s="86"/>
      <c r="AB416" s="86"/>
      <c r="AC416" s="86"/>
      <c r="AD416" s="86"/>
      <c r="AE416" s="86"/>
      <c r="AF416" s="86"/>
      <c r="AG416" s="86"/>
      <c r="AH416" s="86"/>
      <c r="AI416" s="86"/>
      <c r="AJ416" s="86"/>
      <c r="AK416" s="86"/>
      <c r="AL416" s="86"/>
      <c r="AM416" s="86"/>
      <c r="AN416" s="86"/>
      <c r="AO416" s="86"/>
      <c r="AP416" s="86"/>
      <c r="AQ416" s="86"/>
      <c r="AR416" s="86"/>
      <c r="AS416" s="86"/>
      <c r="AT416" s="86"/>
      <c r="AU416" s="86"/>
      <c r="AV416" s="86"/>
      <c r="AW416" s="86"/>
      <c r="AX416" s="86"/>
      <c r="AY416" s="86"/>
      <c r="AZ416" s="86"/>
      <c r="BA416" s="86"/>
      <c r="BB416" s="86"/>
      <c r="BC416" s="86"/>
      <c r="BD416" s="86"/>
      <c r="BE416" s="86"/>
      <c r="BF416" s="86"/>
      <c r="BG416" s="86"/>
      <c r="BH416" s="86"/>
      <c r="BI416" s="86"/>
      <c r="BJ416" s="86"/>
      <c r="BK416" s="86"/>
      <c r="BL416" s="86"/>
      <c r="BM416" s="86"/>
      <c r="BN416" s="86"/>
      <c r="BO416" s="86"/>
      <c r="BP416" s="86"/>
      <c r="BQ416" s="86"/>
      <c r="BR416" s="86"/>
      <c r="BS416" s="86"/>
      <c r="BT416" s="86"/>
      <c r="BU416" s="86"/>
      <c r="BV416" s="86"/>
    </row>
    <row r="417" spans="1:74" s="87" customFormat="1" ht="42.75" x14ac:dyDescent="0.2">
      <c r="A417" s="76" t="s">
        <v>1362</v>
      </c>
      <c r="B417" s="77" t="s">
        <v>1363</v>
      </c>
      <c r="C417" s="41"/>
      <c r="D417" s="41"/>
      <c r="E417" s="41"/>
      <c r="F417" s="41"/>
      <c r="G417" s="357">
        <v>58614890.990000002</v>
      </c>
      <c r="H417" s="41"/>
      <c r="I417" s="41"/>
      <c r="J417" s="41"/>
      <c r="K417" s="41"/>
      <c r="L417" s="41"/>
      <c r="M417" s="41"/>
      <c r="N417" s="41"/>
      <c r="O417" s="140">
        <f t="shared" si="217"/>
        <v>58614890.990000002</v>
      </c>
      <c r="P417" s="86">
        <v>58614890.990000002</v>
      </c>
      <c r="Q417" s="108">
        <f t="shared" si="233"/>
        <v>0</v>
      </c>
      <c r="R417" s="86"/>
      <c r="S417" s="86"/>
      <c r="T417" s="86"/>
      <c r="U417" s="86"/>
      <c r="V417" s="86"/>
      <c r="W417" s="86"/>
      <c r="X417" s="86"/>
      <c r="Y417" s="86"/>
      <c r="Z417" s="86"/>
      <c r="AA417" s="86"/>
      <c r="AB417" s="86"/>
      <c r="AC417" s="86"/>
      <c r="AD417" s="86"/>
      <c r="AE417" s="86"/>
      <c r="AF417" s="86"/>
      <c r="AG417" s="86"/>
      <c r="AH417" s="86"/>
      <c r="AI417" s="86"/>
      <c r="AJ417" s="86"/>
      <c r="AK417" s="86"/>
      <c r="AL417" s="86"/>
      <c r="AM417" s="86"/>
      <c r="AN417" s="86"/>
      <c r="AO417" s="86"/>
      <c r="AP417" s="86"/>
      <c r="AQ417" s="86"/>
      <c r="AR417" s="86"/>
      <c r="AS417" s="86"/>
      <c r="AT417" s="86"/>
      <c r="AU417" s="86"/>
      <c r="AV417" s="86"/>
      <c r="AW417" s="86"/>
      <c r="AX417" s="86"/>
      <c r="AY417" s="86"/>
      <c r="AZ417" s="86"/>
      <c r="BA417" s="86"/>
      <c r="BB417" s="86"/>
      <c r="BC417" s="86"/>
      <c r="BD417" s="86"/>
      <c r="BE417" s="86"/>
      <c r="BF417" s="86"/>
      <c r="BG417" s="86"/>
      <c r="BH417" s="86"/>
      <c r="BI417" s="86"/>
      <c r="BJ417" s="86"/>
      <c r="BK417" s="86"/>
      <c r="BL417" s="86"/>
      <c r="BM417" s="86"/>
      <c r="BN417" s="86"/>
      <c r="BO417" s="86"/>
      <c r="BP417" s="86"/>
      <c r="BQ417" s="86"/>
      <c r="BR417" s="86"/>
      <c r="BS417" s="86"/>
      <c r="BT417" s="86"/>
      <c r="BU417" s="86"/>
      <c r="BV417" s="86"/>
    </row>
    <row r="418" spans="1:74" s="87" customFormat="1" ht="42.75" x14ac:dyDescent="0.2">
      <c r="A418" s="76" t="s">
        <v>1364</v>
      </c>
      <c r="B418" s="77" t="s">
        <v>1365</v>
      </c>
      <c r="C418" s="41"/>
      <c r="D418" s="41"/>
      <c r="E418" s="41"/>
      <c r="F418" s="41"/>
      <c r="G418" s="357">
        <v>904400</v>
      </c>
      <c r="H418" s="41"/>
      <c r="I418" s="41"/>
      <c r="J418" s="41"/>
      <c r="K418" s="41"/>
      <c r="L418" s="41"/>
      <c r="M418" s="41"/>
      <c r="N418" s="41"/>
      <c r="O418" s="140">
        <f t="shared" si="217"/>
        <v>904400</v>
      </c>
      <c r="P418" s="86">
        <v>904400</v>
      </c>
      <c r="Q418" s="108">
        <f t="shared" si="233"/>
        <v>0</v>
      </c>
      <c r="R418" s="86"/>
      <c r="S418" s="86"/>
      <c r="T418" s="86"/>
      <c r="U418" s="86"/>
      <c r="V418" s="86"/>
      <c r="W418" s="86"/>
      <c r="X418" s="86"/>
      <c r="Y418" s="86"/>
      <c r="Z418" s="86"/>
      <c r="AA418" s="86"/>
      <c r="AB418" s="86"/>
      <c r="AC418" s="86"/>
      <c r="AD418" s="86"/>
      <c r="AE418" s="86"/>
      <c r="AF418" s="86"/>
      <c r="AG418" s="86"/>
      <c r="AH418" s="86"/>
      <c r="AI418" s="86"/>
      <c r="AJ418" s="86"/>
      <c r="AK418" s="86"/>
      <c r="AL418" s="86"/>
      <c r="AM418" s="86"/>
      <c r="AN418" s="86"/>
      <c r="AO418" s="86"/>
      <c r="AP418" s="86"/>
      <c r="AQ418" s="86"/>
      <c r="AR418" s="86"/>
      <c r="AS418" s="86"/>
      <c r="AT418" s="86"/>
      <c r="AU418" s="86"/>
      <c r="AV418" s="86"/>
      <c r="AW418" s="86"/>
      <c r="AX418" s="86"/>
      <c r="AY418" s="86"/>
      <c r="AZ418" s="86"/>
      <c r="BA418" s="86"/>
      <c r="BB418" s="86"/>
      <c r="BC418" s="86"/>
      <c r="BD418" s="86"/>
      <c r="BE418" s="86"/>
      <c r="BF418" s="86"/>
      <c r="BG418" s="86"/>
      <c r="BH418" s="86"/>
      <c r="BI418" s="86"/>
      <c r="BJ418" s="86"/>
      <c r="BK418" s="86"/>
      <c r="BL418" s="86"/>
      <c r="BM418" s="86"/>
      <c r="BN418" s="86"/>
      <c r="BO418" s="86"/>
      <c r="BP418" s="86"/>
      <c r="BQ418" s="86"/>
      <c r="BR418" s="86"/>
      <c r="BS418" s="86"/>
      <c r="BT418" s="86"/>
      <c r="BU418" s="86"/>
      <c r="BV418" s="86"/>
    </row>
    <row r="419" spans="1:74" s="87" customFormat="1" ht="71.25" x14ac:dyDescent="0.2">
      <c r="A419" s="76" t="s">
        <v>1366</v>
      </c>
      <c r="B419" s="77" t="s">
        <v>1367</v>
      </c>
      <c r="C419" s="41"/>
      <c r="D419" s="41"/>
      <c r="E419" s="41"/>
      <c r="F419" s="41"/>
      <c r="G419" s="357">
        <v>61823651.520000003</v>
      </c>
      <c r="H419" s="41"/>
      <c r="I419" s="41"/>
      <c r="J419" s="41"/>
      <c r="K419" s="41"/>
      <c r="L419" s="41"/>
      <c r="M419" s="41"/>
      <c r="N419" s="41"/>
      <c r="O419" s="140">
        <f t="shared" si="217"/>
        <v>61823651.520000003</v>
      </c>
      <c r="P419" s="86">
        <v>61823651.520000003</v>
      </c>
      <c r="Q419" s="108">
        <f t="shared" si="233"/>
        <v>0</v>
      </c>
      <c r="R419" s="86"/>
      <c r="S419" s="86"/>
      <c r="T419" s="86"/>
      <c r="U419" s="86"/>
      <c r="V419" s="86"/>
      <c r="W419" s="86"/>
      <c r="X419" s="86"/>
      <c r="Y419" s="86"/>
      <c r="Z419" s="86"/>
      <c r="AA419" s="86"/>
      <c r="AB419" s="86"/>
      <c r="AC419" s="86"/>
      <c r="AD419" s="86"/>
      <c r="AE419" s="86"/>
      <c r="AF419" s="86"/>
      <c r="AG419" s="86"/>
      <c r="AH419" s="86"/>
      <c r="AI419" s="86"/>
      <c r="AJ419" s="86"/>
      <c r="AK419" s="86"/>
      <c r="AL419" s="86"/>
      <c r="AM419" s="86"/>
      <c r="AN419" s="86"/>
      <c r="AO419" s="86"/>
      <c r="AP419" s="86"/>
      <c r="AQ419" s="86"/>
      <c r="AR419" s="86"/>
      <c r="AS419" s="86"/>
      <c r="AT419" s="86"/>
      <c r="AU419" s="86"/>
      <c r="AV419" s="86"/>
      <c r="AW419" s="86"/>
      <c r="AX419" s="86"/>
      <c r="AY419" s="86"/>
      <c r="AZ419" s="86"/>
      <c r="BA419" s="86"/>
      <c r="BB419" s="86"/>
      <c r="BC419" s="86"/>
      <c r="BD419" s="86"/>
      <c r="BE419" s="86"/>
      <c r="BF419" s="86"/>
      <c r="BG419" s="86"/>
      <c r="BH419" s="86"/>
      <c r="BI419" s="86"/>
      <c r="BJ419" s="86"/>
      <c r="BK419" s="86"/>
      <c r="BL419" s="86"/>
      <c r="BM419" s="86"/>
      <c r="BN419" s="86"/>
      <c r="BO419" s="86"/>
      <c r="BP419" s="86"/>
      <c r="BQ419" s="86"/>
      <c r="BR419" s="86"/>
      <c r="BS419" s="86"/>
      <c r="BT419" s="86"/>
      <c r="BU419" s="86"/>
      <c r="BV419" s="86"/>
    </row>
    <row r="420" spans="1:74" s="87" customFormat="1" ht="71.25" x14ac:dyDescent="0.2">
      <c r="A420" s="76" t="s">
        <v>1368</v>
      </c>
      <c r="B420" s="77" t="s">
        <v>1369</v>
      </c>
      <c r="C420" s="41"/>
      <c r="D420" s="41"/>
      <c r="E420" s="41"/>
      <c r="F420" s="41"/>
      <c r="G420" s="357">
        <v>30584154.91</v>
      </c>
      <c r="H420" s="41"/>
      <c r="I420" s="41"/>
      <c r="J420" s="41"/>
      <c r="K420" s="41"/>
      <c r="L420" s="41"/>
      <c r="M420" s="41"/>
      <c r="N420" s="41"/>
      <c r="O420" s="140">
        <f t="shared" si="217"/>
        <v>30584154.91</v>
      </c>
      <c r="P420" s="86">
        <v>30584154.91</v>
      </c>
      <c r="Q420" s="108">
        <f t="shared" si="233"/>
        <v>0</v>
      </c>
      <c r="R420" s="86"/>
      <c r="S420" s="86"/>
      <c r="T420" s="86"/>
      <c r="U420" s="86"/>
      <c r="V420" s="86"/>
      <c r="W420" s="86"/>
      <c r="X420" s="86"/>
      <c r="Y420" s="86"/>
      <c r="Z420" s="86"/>
      <c r="AA420" s="86"/>
      <c r="AB420" s="86"/>
      <c r="AC420" s="86"/>
      <c r="AD420" s="86"/>
      <c r="AE420" s="86"/>
      <c r="AF420" s="86"/>
      <c r="AG420" s="86"/>
      <c r="AH420" s="86"/>
      <c r="AI420" s="86"/>
      <c r="AJ420" s="86"/>
      <c r="AK420" s="86"/>
      <c r="AL420" s="86"/>
      <c r="AM420" s="86"/>
      <c r="AN420" s="86"/>
      <c r="AO420" s="86"/>
      <c r="AP420" s="86"/>
      <c r="AQ420" s="86"/>
      <c r="AR420" s="86"/>
      <c r="AS420" s="86"/>
      <c r="AT420" s="86"/>
      <c r="AU420" s="86"/>
      <c r="AV420" s="86"/>
      <c r="AW420" s="86"/>
      <c r="AX420" s="86"/>
      <c r="AY420" s="86"/>
      <c r="AZ420" s="86"/>
      <c r="BA420" s="86"/>
      <c r="BB420" s="86"/>
      <c r="BC420" s="86"/>
      <c r="BD420" s="86"/>
      <c r="BE420" s="86"/>
      <c r="BF420" s="86"/>
      <c r="BG420" s="86"/>
      <c r="BH420" s="86"/>
      <c r="BI420" s="86"/>
      <c r="BJ420" s="86"/>
      <c r="BK420" s="86"/>
      <c r="BL420" s="86"/>
      <c r="BM420" s="86"/>
      <c r="BN420" s="86"/>
      <c r="BO420" s="86"/>
      <c r="BP420" s="86"/>
      <c r="BQ420" s="86"/>
      <c r="BR420" s="86"/>
      <c r="BS420" s="86"/>
      <c r="BT420" s="86"/>
      <c r="BU420" s="86"/>
      <c r="BV420" s="86"/>
    </row>
    <row r="421" spans="1:74" s="87" customFormat="1" ht="71.25" x14ac:dyDescent="0.2">
      <c r="A421" s="76" t="s">
        <v>1370</v>
      </c>
      <c r="B421" s="77" t="s">
        <v>1371</v>
      </c>
      <c r="C421" s="41"/>
      <c r="D421" s="41"/>
      <c r="E421" s="41"/>
      <c r="F421" s="41"/>
      <c r="G421" s="357">
        <v>33558609</v>
      </c>
      <c r="H421" s="41"/>
      <c r="I421" s="41"/>
      <c r="J421" s="41"/>
      <c r="K421" s="41"/>
      <c r="L421" s="41"/>
      <c r="M421" s="41"/>
      <c r="N421" s="41"/>
      <c r="O421" s="140">
        <f t="shared" si="217"/>
        <v>33558609</v>
      </c>
      <c r="P421" s="86">
        <v>33558609</v>
      </c>
      <c r="Q421" s="108">
        <f t="shared" si="233"/>
        <v>0</v>
      </c>
      <c r="R421" s="86"/>
      <c r="S421" s="86"/>
      <c r="T421" s="86"/>
      <c r="U421" s="86"/>
      <c r="V421" s="86"/>
      <c r="W421" s="86"/>
      <c r="X421" s="86"/>
      <c r="Y421" s="86"/>
      <c r="Z421" s="86"/>
      <c r="AA421" s="86"/>
      <c r="AB421" s="86"/>
      <c r="AC421" s="86"/>
      <c r="AD421" s="86"/>
      <c r="AE421" s="86"/>
      <c r="AF421" s="86"/>
      <c r="AG421" s="86"/>
      <c r="AH421" s="86"/>
      <c r="AI421" s="86"/>
      <c r="AJ421" s="86"/>
      <c r="AK421" s="86"/>
      <c r="AL421" s="86"/>
      <c r="AM421" s="86"/>
      <c r="AN421" s="86"/>
      <c r="AO421" s="86"/>
      <c r="AP421" s="86"/>
      <c r="AQ421" s="86"/>
      <c r="AR421" s="86"/>
      <c r="AS421" s="86"/>
      <c r="AT421" s="86"/>
      <c r="AU421" s="86"/>
      <c r="AV421" s="86"/>
      <c r="AW421" s="86"/>
      <c r="AX421" s="86"/>
      <c r="AY421" s="86"/>
      <c r="AZ421" s="86"/>
      <c r="BA421" s="86"/>
      <c r="BB421" s="86"/>
      <c r="BC421" s="86"/>
      <c r="BD421" s="86"/>
      <c r="BE421" s="86"/>
      <c r="BF421" s="86"/>
      <c r="BG421" s="86"/>
      <c r="BH421" s="86"/>
      <c r="BI421" s="86"/>
      <c r="BJ421" s="86"/>
      <c r="BK421" s="86"/>
      <c r="BL421" s="86"/>
      <c r="BM421" s="86"/>
      <c r="BN421" s="86"/>
      <c r="BO421" s="86"/>
      <c r="BP421" s="86"/>
      <c r="BQ421" s="86"/>
      <c r="BR421" s="86"/>
      <c r="BS421" s="86"/>
      <c r="BT421" s="86"/>
      <c r="BU421" s="86"/>
      <c r="BV421" s="86"/>
    </row>
    <row r="422" spans="1:74" s="87" customFormat="1" ht="71.25" x14ac:dyDescent="0.2">
      <c r="A422" s="76" t="s">
        <v>1372</v>
      </c>
      <c r="B422" s="77" t="s">
        <v>1373</v>
      </c>
      <c r="C422" s="41"/>
      <c r="D422" s="41"/>
      <c r="E422" s="41"/>
      <c r="F422" s="41"/>
      <c r="G422" s="357">
        <v>22027527.539999999</v>
      </c>
      <c r="H422" s="41"/>
      <c r="I422" s="41"/>
      <c r="J422" s="41"/>
      <c r="K422" s="41"/>
      <c r="L422" s="41"/>
      <c r="M422" s="41"/>
      <c r="N422" s="41"/>
      <c r="O422" s="140">
        <f t="shared" si="217"/>
        <v>22027527.539999999</v>
      </c>
      <c r="P422" s="111">
        <v>22027527.539999999</v>
      </c>
      <c r="Q422" s="108">
        <f t="shared" si="233"/>
        <v>0</v>
      </c>
      <c r="R422" s="86"/>
      <c r="S422" s="86"/>
      <c r="T422" s="86"/>
      <c r="U422" s="86"/>
      <c r="V422" s="86"/>
      <c r="W422" s="86"/>
      <c r="X422" s="86"/>
      <c r="Y422" s="86"/>
      <c r="Z422" s="86"/>
      <c r="AA422" s="86"/>
      <c r="AB422" s="86"/>
      <c r="AC422" s="86"/>
      <c r="AD422" s="86"/>
      <c r="AE422" s="86"/>
      <c r="AF422" s="86"/>
      <c r="AG422" s="86"/>
      <c r="AH422" s="86"/>
      <c r="AI422" s="86"/>
      <c r="AJ422" s="86"/>
      <c r="AK422" s="86"/>
      <c r="AL422" s="86"/>
      <c r="AM422" s="86"/>
      <c r="AN422" s="86"/>
      <c r="AO422" s="86"/>
      <c r="AP422" s="86"/>
      <c r="AQ422" s="86"/>
      <c r="AR422" s="86"/>
      <c r="AS422" s="86"/>
      <c r="AT422" s="86"/>
      <c r="AU422" s="86"/>
      <c r="AV422" s="86"/>
      <c r="AW422" s="86"/>
      <c r="AX422" s="86"/>
      <c r="AY422" s="86"/>
      <c r="AZ422" s="86"/>
      <c r="BA422" s="86"/>
      <c r="BB422" s="86"/>
      <c r="BC422" s="86"/>
      <c r="BD422" s="86"/>
      <c r="BE422" s="86"/>
      <c r="BF422" s="86"/>
      <c r="BG422" s="86"/>
      <c r="BH422" s="86"/>
      <c r="BI422" s="86"/>
      <c r="BJ422" s="86"/>
      <c r="BK422" s="86"/>
      <c r="BL422" s="86"/>
      <c r="BM422" s="86"/>
      <c r="BN422" s="86"/>
      <c r="BO422" s="86"/>
      <c r="BP422" s="86"/>
      <c r="BQ422" s="86"/>
      <c r="BR422" s="86"/>
      <c r="BS422" s="86"/>
      <c r="BT422" s="86"/>
      <c r="BU422" s="86"/>
      <c r="BV422" s="86"/>
    </row>
    <row r="423" spans="1:74" s="87" customFormat="1" ht="42.75" x14ac:dyDescent="0.2">
      <c r="A423" s="76" t="s">
        <v>1374</v>
      </c>
      <c r="B423" s="77" t="s">
        <v>1375</v>
      </c>
      <c r="C423" s="41"/>
      <c r="D423" s="41"/>
      <c r="E423" s="41"/>
      <c r="F423" s="41"/>
      <c r="G423" s="357">
        <v>1000000</v>
      </c>
      <c r="H423" s="41"/>
      <c r="I423" s="41"/>
      <c r="J423" s="41"/>
      <c r="K423" s="41"/>
      <c r="L423" s="41"/>
      <c r="M423" s="41"/>
      <c r="N423" s="41"/>
      <c r="O423" s="140">
        <f t="shared" si="217"/>
        <v>1000000</v>
      </c>
      <c r="P423" s="86">
        <v>1000000</v>
      </c>
      <c r="Q423" s="108">
        <f t="shared" si="233"/>
        <v>0</v>
      </c>
      <c r="R423" s="86"/>
      <c r="S423" s="86"/>
      <c r="T423" s="86"/>
      <c r="U423" s="86"/>
      <c r="V423" s="86"/>
      <c r="W423" s="86"/>
      <c r="X423" s="86"/>
      <c r="Y423" s="86"/>
      <c r="Z423" s="86"/>
      <c r="AA423" s="86"/>
      <c r="AB423" s="86"/>
      <c r="AC423" s="86"/>
      <c r="AD423" s="86"/>
      <c r="AE423" s="86"/>
      <c r="AF423" s="86"/>
      <c r="AG423" s="86"/>
      <c r="AH423" s="86"/>
      <c r="AI423" s="86"/>
      <c r="AJ423" s="86"/>
      <c r="AK423" s="86"/>
      <c r="AL423" s="86"/>
      <c r="AM423" s="86"/>
      <c r="AN423" s="86"/>
      <c r="AO423" s="86"/>
      <c r="AP423" s="86"/>
      <c r="AQ423" s="86"/>
      <c r="AR423" s="86"/>
      <c r="AS423" s="86"/>
      <c r="AT423" s="86"/>
      <c r="AU423" s="86"/>
      <c r="AV423" s="86"/>
      <c r="AW423" s="86"/>
      <c r="AX423" s="86"/>
      <c r="AY423" s="86"/>
      <c r="AZ423" s="86"/>
      <c r="BA423" s="86"/>
      <c r="BB423" s="86"/>
      <c r="BC423" s="86"/>
      <c r="BD423" s="86"/>
      <c r="BE423" s="86"/>
      <c r="BF423" s="86"/>
      <c r="BG423" s="86"/>
      <c r="BH423" s="86"/>
      <c r="BI423" s="86"/>
      <c r="BJ423" s="86"/>
      <c r="BK423" s="86"/>
      <c r="BL423" s="86"/>
      <c r="BM423" s="86"/>
      <c r="BN423" s="86"/>
      <c r="BO423" s="86"/>
      <c r="BP423" s="86"/>
      <c r="BQ423" s="86"/>
      <c r="BR423" s="86"/>
      <c r="BS423" s="86"/>
      <c r="BT423" s="86"/>
      <c r="BU423" s="86"/>
      <c r="BV423" s="86"/>
    </row>
    <row r="424" spans="1:74" s="87" customFormat="1" ht="42.75" x14ac:dyDescent="0.2">
      <c r="A424" s="76" t="s">
        <v>1376</v>
      </c>
      <c r="B424" s="77" t="s">
        <v>1377</v>
      </c>
      <c r="C424" s="41"/>
      <c r="D424" s="41"/>
      <c r="E424" s="41"/>
      <c r="F424" s="41"/>
      <c r="G424" s="357">
        <v>39345</v>
      </c>
      <c r="H424" s="41"/>
      <c r="I424" s="41"/>
      <c r="J424" s="41"/>
      <c r="K424" s="41"/>
      <c r="L424" s="41"/>
      <c r="M424" s="41"/>
      <c r="N424" s="41"/>
      <c r="O424" s="140">
        <f t="shared" si="217"/>
        <v>39345</v>
      </c>
      <c r="P424" s="86">
        <v>39345</v>
      </c>
      <c r="Q424" s="108">
        <f t="shared" si="233"/>
        <v>0</v>
      </c>
      <c r="R424" s="86"/>
      <c r="S424" s="86"/>
      <c r="T424" s="86"/>
      <c r="U424" s="86"/>
      <c r="V424" s="86"/>
      <c r="W424" s="86"/>
      <c r="X424" s="86"/>
      <c r="Y424" s="86"/>
      <c r="Z424" s="86"/>
      <c r="AA424" s="86"/>
      <c r="AB424" s="86"/>
      <c r="AC424" s="86"/>
      <c r="AD424" s="86"/>
      <c r="AE424" s="86"/>
      <c r="AF424" s="86"/>
      <c r="AG424" s="86"/>
      <c r="AH424" s="86"/>
      <c r="AI424" s="86"/>
      <c r="AJ424" s="86"/>
      <c r="AK424" s="86"/>
      <c r="AL424" s="86"/>
      <c r="AM424" s="86"/>
      <c r="AN424" s="86"/>
      <c r="AO424" s="86"/>
      <c r="AP424" s="86"/>
      <c r="AQ424" s="86"/>
      <c r="AR424" s="86"/>
      <c r="AS424" s="86"/>
      <c r="AT424" s="86"/>
      <c r="AU424" s="86"/>
      <c r="AV424" s="86"/>
      <c r="AW424" s="86"/>
      <c r="AX424" s="86"/>
      <c r="AY424" s="86"/>
      <c r="AZ424" s="86"/>
      <c r="BA424" s="86"/>
      <c r="BB424" s="86"/>
      <c r="BC424" s="86"/>
      <c r="BD424" s="86"/>
      <c r="BE424" s="86"/>
      <c r="BF424" s="86"/>
      <c r="BG424" s="86"/>
      <c r="BH424" s="86"/>
      <c r="BI424" s="86"/>
      <c r="BJ424" s="86"/>
      <c r="BK424" s="86"/>
      <c r="BL424" s="86"/>
      <c r="BM424" s="86"/>
      <c r="BN424" s="86"/>
      <c r="BO424" s="86"/>
      <c r="BP424" s="86"/>
      <c r="BQ424" s="86"/>
      <c r="BR424" s="86"/>
      <c r="BS424" s="86"/>
      <c r="BT424" s="86"/>
      <c r="BU424" s="86"/>
      <c r="BV424" s="86"/>
    </row>
    <row r="425" spans="1:74" s="87" customFormat="1" ht="42.75" x14ac:dyDescent="0.2">
      <c r="A425" s="76" t="s">
        <v>1378</v>
      </c>
      <c r="B425" s="77" t="s">
        <v>1379</v>
      </c>
      <c r="C425" s="41"/>
      <c r="D425" s="41"/>
      <c r="E425" s="41"/>
      <c r="F425" s="41"/>
      <c r="G425" s="357">
        <v>5000000</v>
      </c>
      <c r="H425" s="41"/>
      <c r="I425" s="41"/>
      <c r="J425" s="41"/>
      <c r="K425" s="41"/>
      <c r="L425" s="41"/>
      <c r="M425" s="41"/>
      <c r="N425" s="41"/>
      <c r="O425" s="140">
        <f t="shared" si="217"/>
        <v>5000000</v>
      </c>
      <c r="P425" s="86">
        <v>5000000</v>
      </c>
      <c r="Q425" s="108">
        <f t="shared" si="233"/>
        <v>0</v>
      </c>
      <c r="R425" s="86"/>
      <c r="S425" s="86"/>
      <c r="T425" s="86"/>
      <c r="U425" s="86"/>
      <c r="V425" s="86"/>
      <c r="W425" s="86"/>
      <c r="X425" s="86"/>
      <c r="Y425" s="86"/>
      <c r="Z425" s="86"/>
      <c r="AA425" s="86"/>
      <c r="AB425" s="86"/>
      <c r="AC425" s="86"/>
      <c r="AD425" s="86"/>
      <c r="AE425" s="86"/>
      <c r="AF425" s="86"/>
      <c r="AG425" s="86"/>
      <c r="AH425" s="86"/>
      <c r="AI425" s="86"/>
      <c r="AJ425" s="86"/>
      <c r="AK425" s="86"/>
      <c r="AL425" s="86"/>
      <c r="AM425" s="86"/>
      <c r="AN425" s="86"/>
      <c r="AO425" s="86"/>
      <c r="AP425" s="86"/>
      <c r="AQ425" s="86"/>
      <c r="AR425" s="86"/>
      <c r="AS425" s="86"/>
      <c r="AT425" s="86"/>
      <c r="AU425" s="86"/>
      <c r="AV425" s="86"/>
      <c r="AW425" s="86"/>
      <c r="AX425" s="86"/>
      <c r="AY425" s="86"/>
      <c r="AZ425" s="86"/>
      <c r="BA425" s="86"/>
      <c r="BB425" s="86"/>
      <c r="BC425" s="86"/>
      <c r="BD425" s="86"/>
      <c r="BE425" s="86"/>
      <c r="BF425" s="86"/>
      <c r="BG425" s="86"/>
      <c r="BH425" s="86"/>
      <c r="BI425" s="86"/>
      <c r="BJ425" s="86"/>
      <c r="BK425" s="86"/>
      <c r="BL425" s="86"/>
      <c r="BM425" s="86"/>
      <c r="BN425" s="86"/>
      <c r="BO425" s="86"/>
      <c r="BP425" s="86"/>
      <c r="BQ425" s="86"/>
      <c r="BR425" s="86"/>
      <c r="BS425" s="86"/>
      <c r="BT425" s="86"/>
      <c r="BU425" s="86"/>
      <c r="BV425" s="86"/>
    </row>
    <row r="426" spans="1:74" s="87" customFormat="1" ht="57" x14ac:dyDescent="0.2">
      <c r="A426" s="76" t="s">
        <v>1380</v>
      </c>
      <c r="B426" s="77" t="s">
        <v>1381</v>
      </c>
      <c r="C426" s="41"/>
      <c r="D426" s="41"/>
      <c r="E426" s="41"/>
      <c r="F426" s="41"/>
      <c r="G426" s="357">
        <v>73806183.269999996</v>
      </c>
      <c r="H426" s="41"/>
      <c r="I426" s="41"/>
      <c r="J426" s="41"/>
      <c r="K426" s="41"/>
      <c r="L426" s="41"/>
      <c r="M426" s="41"/>
      <c r="N426" s="41"/>
      <c r="O426" s="140">
        <f t="shared" si="217"/>
        <v>73806183.269999996</v>
      </c>
      <c r="P426" s="86">
        <v>73806183.269999996</v>
      </c>
      <c r="Q426" s="108">
        <f t="shared" si="233"/>
        <v>0</v>
      </c>
      <c r="R426" s="86"/>
      <c r="S426" s="86"/>
      <c r="T426" s="86"/>
      <c r="U426" s="86"/>
      <c r="V426" s="86"/>
      <c r="W426" s="86"/>
      <c r="X426" s="86"/>
      <c r="Y426" s="86"/>
      <c r="Z426" s="86"/>
      <c r="AA426" s="86"/>
      <c r="AB426" s="86"/>
      <c r="AC426" s="86"/>
      <c r="AD426" s="86"/>
      <c r="AE426" s="86"/>
      <c r="AF426" s="86"/>
      <c r="AG426" s="86"/>
      <c r="AH426" s="86"/>
      <c r="AI426" s="86"/>
      <c r="AJ426" s="86"/>
      <c r="AK426" s="86"/>
      <c r="AL426" s="86"/>
      <c r="AM426" s="86"/>
      <c r="AN426" s="86"/>
      <c r="AO426" s="86"/>
      <c r="AP426" s="86"/>
      <c r="AQ426" s="86"/>
      <c r="AR426" s="86"/>
      <c r="AS426" s="86"/>
      <c r="AT426" s="86"/>
      <c r="AU426" s="86"/>
      <c r="AV426" s="86"/>
      <c r="AW426" s="86"/>
      <c r="AX426" s="86"/>
      <c r="AY426" s="86"/>
      <c r="AZ426" s="86"/>
      <c r="BA426" s="86"/>
      <c r="BB426" s="86"/>
      <c r="BC426" s="86"/>
      <c r="BD426" s="86"/>
      <c r="BE426" s="86"/>
      <c r="BF426" s="86"/>
      <c r="BG426" s="86"/>
      <c r="BH426" s="86"/>
      <c r="BI426" s="86"/>
      <c r="BJ426" s="86"/>
      <c r="BK426" s="86"/>
      <c r="BL426" s="86"/>
      <c r="BM426" s="86"/>
      <c r="BN426" s="86"/>
      <c r="BO426" s="86"/>
      <c r="BP426" s="86"/>
      <c r="BQ426" s="86"/>
      <c r="BR426" s="86"/>
      <c r="BS426" s="86"/>
      <c r="BT426" s="86"/>
      <c r="BU426" s="86"/>
      <c r="BV426" s="86"/>
    </row>
    <row r="427" spans="1:74" s="87" customFormat="1" ht="57" x14ac:dyDescent="0.2">
      <c r="A427" s="76" t="s">
        <v>1382</v>
      </c>
      <c r="B427" s="77" t="s">
        <v>1383</v>
      </c>
      <c r="C427" s="41"/>
      <c r="D427" s="41"/>
      <c r="E427" s="41"/>
      <c r="F427" s="41"/>
      <c r="G427" s="357">
        <v>71598144.590000004</v>
      </c>
      <c r="H427" s="41"/>
      <c r="I427" s="41"/>
      <c r="J427" s="41"/>
      <c r="K427" s="41"/>
      <c r="L427" s="41"/>
      <c r="M427" s="41"/>
      <c r="N427" s="41"/>
      <c r="O427" s="140">
        <f t="shared" si="217"/>
        <v>71598144.590000004</v>
      </c>
      <c r="P427" s="86">
        <v>71598144.590000004</v>
      </c>
      <c r="Q427" s="108">
        <f t="shared" si="233"/>
        <v>0</v>
      </c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  <c r="AK427" s="86"/>
      <c r="AL427" s="86"/>
      <c r="AM427" s="86"/>
      <c r="AN427" s="86"/>
      <c r="AO427" s="86"/>
      <c r="AP427" s="86"/>
      <c r="AQ427" s="86"/>
      <c r="AR427" s="86"/>
      <c r="AS427" s="86"/>
      <c r="AT427" s="86"/>
      <c r="AU427" s="86"/>
      <c r="AV427" s="86"/>
      <c r="AW427" s="86"/>
      <c r="AX427" s="86"/>
      <c r="AY427" s="86"/>
      <c r="AZ427" s="86"/>
      <c r="BA427" s="86"/>
      <c r="BB427" s="86"/>
      <c r="BC427" s="86"/>
      <c r="BD427" s="86"/>
      <c r="BE427" s="86"/>
      <c r="BF427" s="86"/>
      <c r="BG427" s="86"/>
      <c r="BH427" s="86"/>
      <c r="BI427" s="86"/>
      <c r="BJ427" s="86"/>
      <c r="BK427" s="86"/>
      <c r="BL427" s="86"/>
      <c r="BM427" s="86"/>
      <c r="BN427" s="86"/>
      <c r="BO427" s="86"/>
      <c r="BP427" s="86"/>
      <c r="BQ427" s="86"/>
      <c r="BR427" s="86"/>
      <c r="BS427" s="86"/>
      <c r="BT427" s="86"/>
      <c r="BU427" s="86"/>
      <c r="BV427" s="86"/>
    </row>
    <row r="428" spans="1:74" s="87" customFormat="1" ht="57" x14ac:dyDescent="0.2">
      <c r="A428" s="76" t="s">
        <v>1384</v>
      </c>
      <c r="B428" s="77" t="s">
        <v>1385</v>
      </c>
      <c r="C428" s="41"/>
      <c r="D428" s="41"/>
      <c r="E428" s="41"/>
      <c r="F428" s="41"/>
      <c r="G428" s="357">
        <v>189005952.12</v>
      </c>
      <c r="H428" s="41"/>
      <c r="I428" s="41"/>
      <c r="J428" s="41"/>
      <c r="K428" s="41"/>
      <c r="L428" s="41"/>
      <c r="M428" s="41"/>
      <c r="N428" s="41"/>
      <c r="O428" s="140">
        <f t="shared" si="217"/>
        <v>189005952.12</v>
      </c>
      <c r="P428" s="111">
        <v>189005952.12</v>
      </c>
      <c r="Q428" s="108">
        <f t="shared" si="233"/>
        <v>0</v>
      </c>
      <c r="R428" s="86"/>
      <c r="S428" s="86"/>
      <c r="T428" s="86"/>
      <c r="U428" s="86"/>
      <c r="V428" s="86"/>
      <c r="W428" s="86"/>
      <c r="X428" s="86"/>
      <c r="Y428" s="86"/>
      <c r="Z428" s="86"/>
      <c r="AA428" s="86"/>
      <c r="AB428" s="86"/>
      <c r="AC428" s="86"/>
      <c r="AD428" s="86"/>
      <c r="AE428" s="86"/>
      <c r="AF428" s="86"/>
      <c r="AG428" s="86"/>
      <c r="AH428" s="86"/>
      <c r="AI428" s="86"/>
      <c r="AJ428" s="86"/>
      <c r="AK428" s="86"/>
      <c r="AL428" s="86"/>
      <c r="AM428" s="86"/>
      <c r="AN428" s="86"/>
      <c r="AO428" s="86"/>
      <c r="AP428" s="86"/>
      <c r="AQ428" s="86"/>
      <c r="AR428" s="86"/>
      <c r="AS428" s="86"/>
      <c r="AT428" s="86"/>
      <c r="AU428" s="86"/>
      <c r="AV428" s="86"/>
      <c r="AW428" s="86"/>
      <c r="AX428" s="86"/>
      <c r="AY428" s="86"/>
      <c r="AZ428" s="86"/>
      <c r="BA428" s="86"/>
      <c r="BB428" s="86"/>
      <c r="BC428" s="86"/>
      <c r="BD428" s="86"/>
      <c r="BE428" s="86"/>
      <c r="BF428" s="86"/>
      <c r="BG428" s="86"/>
      <c r="BH428" s="86"/>
      <c r="BI428" s="86"/>
      <c r="BJ428" s="86"/>
      <c r="BK428" s="86"/>
      <c r="BL428" s="86"/>
      <c r="BM428" s="86"/>
      <c r="BN428" s="86"/>
      <c r="BO428" s="86"/>
      <c r="BP428" s="86"/>
      <c r="BQ428" s="86"/>
      <c r="BR428" s="86"/>
      <c r="BS428" s="86"/>
      <c r="BT428" s="86"/>
      <c r="BU428" s="86"/>
      <c r="BV428" s="86"/>
    </row>
    <row r="429" spans="1:74" s="87" customFormat="1" ht="57" x14ac:dyDescent="0.2">
      <c r="A429" s="76" t="s">
        <v>1386</v>
      </c>
      <c r="B429" s="77" t="s">
        <v>1387</v>
      </c>
      <c r="C429" s="41"/>
      <c r="D429" s="41"/>
      <c r="E429" s="41"/>
      <c r="F429" s="41"/>
      <c r="G429" s="357">
        <v>34422031.479999997</v>
      </c>
      <c r="H429" s="41"/>
      <c r="I429" s="41"/>
      <c r="J429" s="41"/>
      <c r="K429" s="41"/>
      <c r="L429" s="41"/>
      <c r="M429" s="41"/>
      <c r="N429" s="41"/>
      <c r="O429" s="140">
        <f t="shared" si="217"/>
        <v>34422031.479999997</v>
      </c>
      <c r="P429" s="111">
        <v>34422031.479999997</v>
      </c>
      <c r="Q429" s="108">
        <f t="shared" si="233"/>
        <v>0</v>
      </c>
      <c r="R429" s="86"/>
      <c r="S429" s="86"/>
      <c r="T429" s="86"/>
      <c r="U429" s="86"/>
      <c r="V429" s="86"/>
      <c r="W429" s="86"/>
      <c r="X429" s="86"/>
      <c r="Y429" s="86"/>
      <c r="Z429" s="86"/>
      <c r="AA429" s="86"/>
      <c r="AB429" s="86"/>
      <c r="AC429" s="86"/>
      <c r="AD429" s="86"/>
      <c r="AE429" s="86"/>
      <c r="AF429" s="86"/>
      <c r="AG429" s="86"/>
      <c r="AH429" s="86"/>
      <c r="AI429" s="86"/>
      <c r="AJ429" s="86"/>
      <c r="AK429" s="86"/>
      <c r="AL429" s="86"/>
      <c r="AM429" s="86"/>
      <c r="AN429" s="86"/>
      <c r="AO429" s="86"/>
      <c r="AP429" s="86"/>
      <c r="AQ429" s="86"/>
      <c r="AR429" s="86"/>
      <c r="AS429" s="86"/>
      <c r="AT429" s="86"/>
      <c r="AU429" s="86"/>
      <c r="AV429" s="86"/>
      <c r="AW429" s="86"/>
      <c r="AX429" s="86"/>
      <c r="AY429" s="86"/>
      <c r="AZ429" s="86"/>
      <c r="BA429" s="86"/>
      <c r="BB429" s="86"/>
      <c r="BC429" s="86"/>
      <c r="BD429" s="86"/>
      <c r="BE429" s="86"/>
      <c r="BF429" s="86"/>
      <c r="BG429" s="86"/>
      <c r="BH429" s="86"/>
      <c r="BI429" s="86"/>
      <c r="BJ429" s="86"/>
      <c r="BK429" s="86"/>
      <c r="BL429" s="86"/>
      <c r="BM429" s="86"/>
      <c r="BN429" s="86"/>
      <c r="BO429" s="86"/>
      <c r="BP429" s="86"/>
      <c r="BQ429" s="86"/>
      <c r="BR429" s="86"/>
      <c r="BS429" s="86"/>
      <c r="BT429" s="86"/>
      <c r="BU429" s="86"/>
      <c r="BV429" s="86"/>
    </row>
    <row r="430" spans="1:74" s="87" customFormat="1" ht="57" x14ac:dyDescent="0.2">
      <c r="A430" s="76" t="s">
        <v>1388</v>
      </c>
      <c r="B430" s="77" t="s">
        <v>1389</v>
      </c>
      <c r="C430" s="41"/>
      <c r="D430" s="41"/>
      <c r="E430" s="41"/>
      <c r="F430" s="41"/>
      <c r="G430" s="357">
        <v>72427111</v>
      </c>
      <c r="H430" s="41"/>
      <c r="I430" s="41"/>
      <c r="J430" s="41"/>
      <c r="K430" s="41"/>
      <c r="L430" s="41"/>
      <c r="M430" s="41"/>
      <c r="N430" s="41"/>
      <c r="O430" s="140">
        <f t="shared" si="217"/>
        <v>72427111</v>
      </c>
      <c r="P430" s="86">
        <v>72427111</v>
      </c>
      <c r="Q430" s="108">
        <f t="shared" si="233"/>
        <v>0</v>
      </c>
      <c r="R430" s="86"/>
      <c r="S430" s="86"/>
      <c r="T430" s="86"/>
      <c r="U430" s="86"/>
      <c r="V430" s="86"/>
      <c r="W430" s="86"/>
      <c r="X430" s="86"/>
      <c r="Y430" s="86"/>
      <c r="Z430" s="86"/>
      <c r="AA430" s="86"/>
      <c r="AB430" s="86"/>
      <c r="AC430" s="86"/>
      <c r="AD430" s="86"/>
      <c r="AE430" s="86"/>
      <c r="AF430" s="86"/>
      <c r="AG430" s="86"/>
      <c r="AH430" s="86"/>
      <c r="AI430" s="86"/>
      <c r="AJ430" s="86"/>
      <c r="AK430" s="86"/>
      <c r="AL430" s="86"/>
      <c r="AM430" s="86"/>
      <c r="AN430" s="86"/>
      <c r="AO430" s="86"/>
      <c r="AP430" s="86"/>
      <c r="AQ430" s="86"/>
      <c r="AR430" s="86"/>
      <c r="AS430" s="86"/>
      <c r="AT430" s="86"/>
      <c r="AU430" s="86"/>
      <c r="AV430" s="86"/>
      <c r="AW430" s="86"/>
      <c r="AX430" s="86"/>
      <c r="AY430" s="86"/>
      <c r="AZ430" s="86"/>
      <c r="BA430" s="86"/>
      <c r="BB430" s="86"/>
      <c r="BC430" s="86"/>
      <c r="BD430" s="86"/>
      <c r="BE430" s="86"/>
      <c r="BF430" s="86"/>
      <c r="BG430" s="86"/>
      <c r="BH430" s="86"/>
      <c r="BI430" s="86"/>
      <c r="BJ430" s="86"/>
      <c r="BK430" s="86"/>
      <c r="BL430" s="86"/>
      <c r="BM430" s="86"/>
      <c r="BN430" s="86"/>
      <c r="BO430" s="86"/>
      <c r="BP430" s="86"/>
      <c r="BQ430" s="86"/>
      <c r="BR430" s="86"/>
      <c r="BS430" s="86"/>
      <c r="BT430" s="86"/>
      <c r="BU430" s="86"/>
      <c r="BV430" s="86"/>
    </row>
    <row r="431" spans="1:74" s="87" customFormat="1" ht="57" x14ac:dyDescent="0.2">
      <c r="A431" s="76" t="s">
        <v>1390</v>
      </c>
      <c r="B431" s="77" t="s">
        <v>1391</v>
      </c>
      <c r="C431" s="41"/>
      <c r="D431" s="41"/>
      <c r="E431" s="41"/>
      <c r="F431" s="41"/>
      <c r="G431" s="357">
        <v>32342202.43</v>
      </c>
      <c r="H431" s="41"/>
      <c r="I431" s="41"/>
      <c r="J431" s="41"/>
      <c r="K431" s="41"/>
      <c r="L431" s="41"/>
      <c r="M431" s="41"/>
      <c r="N431" s="41"/>
      <c r="O431" s="140">
        <f t="shared" si="217"/>
        <v>32342202.43</v>
      </c>
      <c r="P431" s="111">
        <v>32342202.43</v>
      </c>
      <c r="Q431" s="108">
        <f t="shared" si="233"/>
        <v>0</v>
      </c>
      <c r="R431" s="86"/>
      <c r="S431" s="86"/>
      <c r="T431" s="86"/>
      <c r="U431" s="86"/>
      <c r="V431" s="86"/>
      <c r="W431" s="86"/>
      <c r="X431" s="86"/>
      <c r="Y431" s="86"/>
      <c r="Z431" s="86"/>
      <c r="AA431" s="86"/>
      <c r="AB431" s="86"/>
      <c r="AC431" s="86"/>
      <c r="AD431" s="86"/>
      <c r="AE431" s="86"/>
      <c r="AF431" s="86"/>
      <c r="AG431" s="86"/>
      <c r="AH431" s="86"/>
      <c r="AI431" s="86"/>
      <c r="AJ431" s="86"/>
      <c r="AK431" s="86"/>
      <c r="AL431" s="86"/>
      <c r="AM431" s="86"/>
      <c r="AN431" s="86"/>
      <c r="AO431" s="86"/>
      <c r="AP431" s="86"/>
      <c r="AQ431" s="86"/>
      <c r="AR431" s="86"/>
      <c r="AS431" s="86"/>
      <c r="AT431" s="86"/>
      <c r="AU431" s="86"/>
      <c r="AV431" s="86"/>
      <c r="AW431" s="86"/>
      <c r="AX431" s="86"/>
      <c r="AY431" s="86"/>
      <c r="AZ431" s="86"/>
      <c r="BA431" s="86"/>
      <c r="BB431" s="86"/>
      <c r="BC431" s="86"/>
      <c r="BD431" s="86"/>
      <c r="BE431" s="86"/>
      <c r="BF431" s="86"/>
      <c r="BG431" s="86"/>
      <c r="BH431" s="86"/>
      <c r="BI431" s="86"/>
      <c r="BJ431" s="86"/>
      <c r="BK431" s="86"/>
      <c r="BL431" s="86"/>
      <c r="BM431" s="86"/>
      <c r="BN431" s="86"/>
      <c r="BO431" s="86"/>
      <c r="BP431" s="86"/>
      <c r="BQ431" s="86"/>
      <c r="BR431" s="86"/>
      <c r="BS431" s="86"/>
      <c r="BT431" s="86"/>
      <c r="BU431" s="86"/>
      <c r="BV431" s="86"/>
    </row>
    <row r="432" spans="1:74" s="87" customFormat="1" ht="57" x14ac:dyDescent="0.2">
      <c r="A432" s="76" t="s">
        <v>1392</v>
      </c>
      <c r="B432" s="77" t="s">
        <v>1393</v>
      </c>
      <c r="C432" s="41"/>
      <c r="D432" s="41"/>
      <c r="E432" s="41"/>
      <c r="F432" s="41"/>
      <c r="G432" s="357">
        <v>33527630.84</v>
      </c>
      <c r="H432" s="41"/>
      <c r="I432" s="41"/>
      <c r="J432" s="41"/>
      <c r="K432" s="41"/>
      <c r="L432" s="41"/>
      <c r="M432" s="41"/>
      <c r="N432" s="41"/>
      <c r="O432" s="140">
        <f t="shared" si="217"/>
        <v>33527630.84</v>
      </c>
      <c r="P432" s="86">
        <v>33527630.84</v>
      </c>
      <c r="Q432" s="108">
        <f t="shared" si="233"/>
        <v>0</v>
      </c>
      <c r="R432" s="86"/>
      <c r="S432" s="86"/>
      <c r="T432" s="86"/>
      <c r="U432" s="86"/>
      <c r="V432" s="86"/>
      <c r="W432" s="86"/>
      <c r="X432" s="86"/>
      <c r="Y432" s="86"/>
      <c r="Z432" s="86"/>
      <c r="AA432" s="86"/>
      <c r="AB432" s="86"/>
      <c r="AC432" s="86"/>
      <c r="AD432" s="86"/>
      <c r="AE432" s="86"/>
      <c r="AF432" s="86"/>
      <c r="AG432" s="86"/>
      <c r="AH432" s="86"/>
      <c r="AI432" s="86"/>
      <c r="AJ432" s="86"/>
      <c r="AK432" s="86"/>
      <c r="AL432" s="86"/>
      <c r="AM432" s="86"/>
      <c r="AN432" s="86"/>
      <c r="AO432" s="86"/>
      <c r="AP432" s="86"/>
      <c r="AQ432" s="86"/>
      <c r="AR432" s="86"/>
      <c r="AS432" s="86"/>
      <c r="AT432" s="86"/>
      <c r="AU432" s="86"/>
      <c r="AV432" s="86"/>
      <c r="AW432" s="86"/>
      <c r="AX432" s="86"/>
      <c r="AY432" s="86"/>
      <c r="AZ432" s="86"/>
      <c r="BA432" s="86"/>
      <c r="BB432" s="86"/>
      <c r="BC432" s="86"/>
      <c r="BD432" s="86"/>
      <c r="BE432" s="86"/>
      <c r="BF432" s="86"/>
      <c r="BG432" s="86"/>
      <c r="BH432" s="86"/>
      <c r="BI432" s="86"/>
      <c r="BJ432" s="86"/>
      <c r="BK432" s="86"/>
      <c r="BL432" s="86"/>
      <c r="BM432" s="86"/>
      <c r="BN432" s="86"/>
      <c r="BO432" s="86"/>
      <c r="BP432" s="86"/>
      <c r="BQ432" s="86"/>
      <c r="BR432" s="86"/>
      <c r="BS432" s="86"/>
      <c r="BT432" s="86"/>
      <c r="BU432" s="86"/>
      <c r="BV432" s="86"/>
    </row>
    <row r="433" spans="1:74" s="87" customFormat="1" ht="57" x14ac:dyDescent="0.2">
      <c r="A433" s="76" t="s">
        <v>1394</v>
      </c>
      <c r="B433" s="77" t="s">
        <v>1395</v>
      </c>
      <c r="C433" s="41"/>
      <c r="D433" s="41"/>
      <c r="E433" s="41"/>
      <c r="F433" s="41"/>
      <c r="G433" s="357">
        <v>17525824</v>
      </c>
      <c r="H433" s="41"/>
      <c r="I433" s="41"/>
      <c r="J433" s="41"/>
      <c r="K433" s="41"/>
      <c r="L433" s="41"/>
      <c r="M433" s="41"/>
      <c r="N433" s="41"/>
      <c r="O433" s="140">
        <f t="shared" si="217"/>
        <v>17525824</v>
      </c>
      <c r="P433" s="86">
        <v>17525824</v>
      </c>
      <c r="Q433" s="108">
        <f t="shared" si="233"/>
        <v>0</v>
      </c>
      <c r="R433" s="86"/>
      <c r="S433" s="86"/>
      <c r="T433" s="86"/>
      <c r="U433" s="86"/>
      <c r="V433" s="86"/>
      <c r="W433" s="86"/>
      <c r="X433" s="86"/>
      <c r="Y433" s="86"/>
      <c r="Z433" s="86"/>
      <c r="AA433" s="86"/>
      <c r="AB433" s="86"/>
      <c r="AC433" s="86"/>
      <c r="AD433" s="86"/>
      <c r="AE433" s="86"/>
      <c r="AF433" s="86"/>
      <c r="AG433" s="86"/>
      <c r="AH433" s="86"/>
      <c r="AI433" s="86"/>
      <c r="AJ433" s="86"/>
      <c r="AK433" s="86"/>
      <c r="AL433" s="86"/>
      <c r="AM433" s="86"/>
      <c r="AN433" s="86"/>
      <c r="AO433" s="86"/>
      <c r="AP433" s="86"/>
      <c r="AQ433" s="86"/>
      <c r="AR433" s="86"/>
      <c r="AS433" s="86"/>
      <c r="AT433" s="86"/>
      <c r="AU433" s="86"/>
      <c r="AV433" s="86"/>
      <c r="AW433" s="86"/>
      <c r="AX433" s="86"/>
      <c r="AY433" s="86"/>
      <c r="AZ433" s="86"/>
      <c r="BA433" s="86"/>
      <c r="BB433" s="86"/>
      <c r="BC433" s="86"/>
      <c r="BD433" s="86"/>
      <c r="BE433" s="86"/>
      <c r="BF433" s="86"/>
      <c r="BG433" s="86"/>
      <c r="BH433" s="86"/>
      <c r="BI433" s="86"/>
      <c r="BJ433" s="86"/>
      <c r="BK433" s="86"/>
      <c r="BL433" s="86"/>
      <c r="BM433" s="86"/>
      <c r="BN433" s="86"/>
      <c r="BO433" s="86"/>
      <c r="BP433" s="86"/>
      <c r="BQ433" s="86"/>
      <c r="BR433" s="86"/>
      <c r="BS433" s="86"/>
      <c r="BT433" s="86"/>
      <c r="BU433" s="86"/>
      <c r="BV433" s="86"/>
    </row>
    <row r="434" spans="1:74" s="87" customFormat="1" ht="57" x14ac:dyDescent="0.2">
      <c r="A434" s="76" t="s">
        <v>1396</v>
      </c>
      <c r="B434" s="77" t="s">
        <v>1397</v>
      </c>
      <c r="C434" s="41"/>
      <c r="D434" s="41"/>
      <c r="E434" s="41"/>
      <c r="F434" s="41"/>
      <c r="G434" s="357">
        <v>85052927</v>
      </c>
      <c r="H434" s="41"/>
      <c r="I434" s="41"/>
      <c r="J434" s="41"/>
      <c r="K434" s="41"/>
      <c r="L434" s="41"/>
      <c r="M434" s="41"/>
      <c r="N434" s="41"/>
      <c r="O434" s="140">
        <f t="shared" si="217"/>
        <v>85052927</v>
      </c>
      <c r="P434" s="86">
        <v>85052927</v>
      </c>
      <c r="Q434" s="108">
        <f t="shared" si="233"/>
        <v>0</v>
      </c>
      <c r="R434" s="86"/>
      <c r="S434" s="86"/>
      <c r="T434" s="86"/>
      <c r="U434" s="86"/>
      <c r="V434" s="86"/>
      <c r="W434" s="86"/>
      <c r="X434" s="86"/>
      <c r="Y434" s="86"/>
      <c r="Z434" s="86"/>
      <c r="AA434" s="86"/>
      <c r="AB434" s="86"/>
      <c r="AC434" s="86"/>
      <c r="AD434" s="86"/>
      <c r="AE434" s="86"/>
      <c r="AF434" s="86"/>
      <c r="AG434" s="86"/>
      <c r="AH434" s="86"/>
      <c r="AI434" s="86"/>
      <c r="AJ434" s="86"/>
      <c r="AK434" s="86"/>
      <c r="AL434" s="86"/>
      <c r="AM434" s="86"/>
      <c r="AN434" s="86"/>
      <c r="AO434" s="86"/>
      <c r="AP434" s="86"/>
      <c r="AQ434" s="86"/>
      <c r="AR434" s="86"/>
      <c r="AS434" s="86"/>
      <c r="AT434" s="86"/>
      <c r="AU434" s="86"/>
      <c r="AV434" s="86"/>
      <c r="AW434" s="86"/>
      <c r="AX434" s="86"/>
      <c r="AY434" s="86"/>
      <c r="AZ434" s="86"/>
      <c r="BA434" s="86"/>
      <c r="BB434" s="86"/>
      <c r="BC434" s="86"/>
      <c r="BD434" s="86"/>
      <c r="BE434" s="86"/>
      <c r="BF434" s="86"/>
      <c r="BG434" s="86"/>
      <c r="BH434" s="86"/>
      <c r="BI434" s="86"/>
      <c r="BJ434" s="86"/>
      <c r="BK434" s="86"/>
      <c r="BL434" s="86"/>
      <c r="BM434" s="86"/>
      <c r="BN434" s="86"/>
      <c r="BO434" s="86"/>
      <c r="BP434" s="86"/>
      <c r="BQ434" s="86"/>
      <c r="BR434" s="86"/>
      <c r="BS434" s="86"/>
      <c r="BT434" s="86"/>
      <c r="BU434" s="86"/>
      <c r="BV434" s="86"/>
    </row>
    <row r="435" spans="1:74" s="87" customFormat="1" ht="57" x14ac:dyDescent="0.2">
      <c r="A435" s="76" t="s">
        <v>1398</v>
      </c>
      <c r="B435" s="77" t="s">
        <v>1399</v>
      </c>
      <c r="C435" s="41"/>
      <c r="D435" s="41"/>
      <c r="E435" s="41"/>
      <c r="F435" s="41"/>
      <c r="G435" s="357">
        <v>94636419.859999999</v>
      </c>
      <c r="H435" s="41"/>
      <c r="I435" s="41"/>
      <c r="J435" s="41"/>
      <c r="K435" s="41"/>
      <c r="L435" s="41"/>
      <c r="M435" s="41"/>
      <c r="N435" s="41"/>
      <c r="O435" s="140">
        <f t="shared" si="217"/>
        <v>94636419.859999999</v>
      </c>
      <c r="P435" s="111">
        <v>94636419.859999999</v>
      </c>
      <c r="Q435" s="108">
        <f t="shared" si="233"/>
        <v>0</v>
      </c>
      <c r="R435" s="86"/>
      <c r="S435" s="86"/>
      <c r="T435" s="86"/>
      <c r="U435" s="86"/>
      <c r="V435" s="86"/>
      <c r="W435" s="86"/>
      <c r="X435" s="86"/>
      <c r="Y435" s="86"/>
      <c r="Z435" s="86"/>
      <c r="AA435" s="86"/>
      <c r="AB435" s="86"/>
      <c r="AC435" s="86"/>
      <c r="AD435" s="86"/>
      <c r="AE435" s="86"/>
      <c r="AF435" s="86"/>
      <c r="AG435" s="86"/>
      <c r="AH435" s="86"/>
      <c r="AI435" s="86"/>
      <c r="AJ435" s="86"/>
      <c r="AK435" s="86"/>
      <c r="AL435" s="86"/>
      <c r="AM435" s="86"/>
      <c r="AN435" s="86"/>
      <c r="AO435" s="86"/>
      <c r="AP435" s="86"/>
      <c r="AQ435" s="86"/>
      <c r="AR435" s="86"/>
      <c r="AS435" s="86"/>
      <c r="AT435" s="86"/>
      <c r="AU435" s="86"/>
      <c r="AV435" s="86"/>
      <c r="AW435" s="86"/>
      <c r="AX435" s="86"/>
      <c r="AY435" s="86"/>
      <c r="AZ435" s="86"/>
      <c r="BA435" s="86"/>
      <c r="BB435" s="86"/>
      <c r="BC435" s="86"/>
      <c r="BD435" s="86"/>
      <c r="BE435" s="86"/>
      <c r="BF435" s="86"/>
      <c r="BG435" s="86"/>
      <c r="BH435" s="86"/>
      <c r="BI435" s="86"/>
      <c r="BJ435" s="86"/>
      <c r="BK435" s="86"/>
      <c r="BL435" s="86"/>
      <c r="BM435" s="86"/>
      <c r="BN435" s="86"/>
      <c r="BO435" s="86"/>
      <c r="BP435" s="86"/>
      <c r="BQ435" s="86"/>
      <c r="BR435" s="86"/>
      <c r="BS435" s="86"/>
      <c r="BT435" s="86"/>
      <c r="BU435" s="86"/>
      <c r="BV435" s="86"/>
    </row>
    <row r="436" spans="1:74" s="87" customFormat="1" ht="57" x14ac:dyDescent="0.2">
      <c r="A436" s="76" t="s">
        <v>1400</v>
      </c>
      <c r="B436" s="77" t="s">
        <v>1401</v>
      </c>
      <c r="C436" s="41"/>
      <c r="D436" s="41"/>
      <c r="E436" s="41"/>
      <c r="F436" s="41"/>
      <c r="G436" s="357">
        <v>25528495</v>
      </c>
      <c r="H436" s="41"/>
      <c r="I436" s="41"/>
      <c r="J436" s="41"/>
      <c r="K436" s="41"/>
      <c r="L436" s="41"/>
      <c r="M436" s="41"/>
      <c r="N436" s="41"/>
      <c r="O436" s="140">
        <f t="shared" si="217"/>
        <v>25528495</v>
      </c>
      <c r="P436" s="86">
        <v>25528495</v>
      </c>
      <c r="Q436" s="108">
        <f t="shared" si="233"/>
        <v>0</v>
      </c>
      <c r="R436" s="86"/>
      <c r="S436" s="86"/>
      <c r="T436" s="86"/>
      <c r="U436" s="86"/>
      <c r="V436" s="86"/>
      <c r="W436" s="86"/>
      <c r="X436" s="86"/>
      <c r="Y436" s="86"/>
      <c r="Z436" s="86"/>
      <c r="AA436" s="86"/>
      <c r="AB436" s="86"/>
      <c r="AC436" s="86"/>
      <c r="AD436" s="86"/>
      <c r="AE436" s="86"/>
      <c r="AF436" s="86"/>
      <c r="AG436" s="86"/>
      <c r="AH436" s="86"/>
      <c r="AI436" s="86"/>
      <c r="AJ436" s="86"/>
      <c r="AK436" s="86"/>
      <c r="AL436" s="86"/>
      <c r="AM436" s="86"/>
      <c r="AN436" s="86"/>
      <c r="AO436" s="86"/>
      <c r="AP436" s="86"/>
      <c r="AQ436" s="86"/>
      <c r="AR436" s="86"/>
      <c r="AS436" s="86"/>
      <c r="AT436" s="86"/>
      <c r="AU436" s="86"/>
      <c r="AV436" s="86"/>
      <c r="AW436" s="86"/>
      <c r="AX436" s="86"/>
      <c r="AY436" s="86"/>
      <c r="AZ436" s="86"/>
      <c r="BA436" s="86"/>
      <c r="BB436" s="86"/>
      <c r="BC436" s="86"/>
      <c r="BD436" s="86"/>
      <c r="BE436" s="86"/>
      <c r="BF436" s="86"/>
      <c r="BG436" s="86"/>
      <c r="BH436" s="86"/>
      <c r="BI436" s="86"/>
      <c r="BJ436" s="86"/>
      <c r="BK436" s="86"/>
      <c r="BL436" s="86"/>
      <c r="BM436" s="86"/>
      <c r="BN436" s="86"/>
      <c r="BO436" s="86"/>
      <c r="BP436" s="86"/>
      <c r="BQ436" s="86"/>
      <c r="BR436" s="86"/>
      <c r="BS436" s="86"/>
      <c r="BT436" s="86"/>
      <c r="BU436" s="86"/>
      <c r="BV436" s="86"/>
    </row>
    <row r="437" spans="1:74" s="87" customFormat="1" ht="57" x14ac:dyDescent="0.2">
      <c r="A437" s="76" t="s">
        <v>1402</v>
      </c>
      <c r="B437" s="77" t="s">
        <v>1403</v>
      </c>
      <c r="C437" s="41"/>
      <c r="D437" s="41"/>
      <c r="E437" s="41"/>
      <c r="F437" s="41"/>
      <c r="G437" s="357">
        <v>41780393.460000001</v>
      </c>
      <c r="H437" s="41"/>
      <c r="I437" s="41"/>
      <c r="J437" s="41"/>
      <c r="K437" s="41"/>
      <c r="L437" s="41"/>
      <c r="M437" s="41"/>
      <c r="N437" s="41"/>
      <c r="O437" s="140">
        <f t="shared" si="217"/>
        <v>41780393.460000001</v>
      </c>
      <c r="P437" s="86">
        <v>41780393.460000001</v>
      </c>
      <c r="Q437" s="108">
        <f t="shared" si="233"/>
        <v>0</v>
      </c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/>
      <c r="AY437" s="86"/>
      <c r="AZ437" s="86"/>
      <c r="BA437" s="86"/>
      <c r="BB437" s="86"/>
      <c r="BC437" s="86"/>
      <c r="BD437" s="86"/>
      <c r="BE437" s="86"/>
      <c r="BF437" s="86"/>
      <c r="BG437" s="86"/>
      <c r="BH437" s="86"/>
      <c r="BI437" s="86"/>
      <c r="BJ437" s="86"/>
      <c r="BK437" s="86"/>
      <c r="BL437" s="86"/>
      <c r="BM437" s="86"/>
      <c r="BN437" s="86"/>
      <c r="BO437" s="86"/>
      <c r="BP437" s="86"/>
      <c r="BQ437" s="86"/>
      <c r="BR437" s="86"/>
      <c r="BS437" s="86"/>
      <c r="BT437" s="86"/>
      <c r="BU437" s="86"/>
      <c r="BV437" s="86"/>
    </row>
    <row r="438" spans="1:74" s="87" customFormat="1" ht="57" x14ac:dyDescent="0.2">
      <c r="A438" s="76" t="s">
        <v>1404</v>
      </c>
      <c r="B438" s="77" t="s">
        <v>1405</v>
      </c>
      <c r="C438" s="41"/>
      <c r="D438" s="41"/>
      <c r="E438" s="41"/>
      <c r="F438" s="41"/>
      <c r="G438" s="357">
        <v>85319865.069999993</v>
      </c>
      <c r="H438" s="41"/>
      <c r="I438" s="41"/>
      <c r="J438" s="41"/>
      <c r="K438" s="41"/>
      <c r="L438" s="41"/>
      <c r="M438" s="41"/>
      <c r="N438" s="41"/>
      <c r="O438" s="140">
        <f t="shared" si="217"/>
        <v>85319865.069999993</v>
      </c>
      <c r="P438" s="111">
        <v>85319865.069999993</v>
      </c>
      <c r="Q438" s="108">
        <f t="shared" si="233"/>
        <v>0</v>
      </c>
      <c r="R438" s="86"/>
      <c r="S438" s="86"/>
      <c r="T438" s="86"/>
      <c r="U438" s="86"/>
      <c r="V438" s="86"/>
      <c r="W438" s="86"/>
      <c r="X438" s="86"/>
      <c r="Y438" s="86"/>
      <c r="Z438" s="86"/>
      <c r="AA438" s="86"/>
      <c r="AB438" s="86"/>
      <c r="AC438" s="86"/>
      <c r="AD438" s="86"/>
      <c r="AE438" s="86"/>
      <c r="AF438" s="86"/>
      <c r="AG438" s="86"/>
      <c r="AH438" s="86"/>
      <c r="AI438" s="86"/>
      <c r="AJ438" s="86"/>
      <c r="AK438" s="86"/>
      <c r="AL438" s="86"/>
      <c r="AM438" s="86"/>
      <c r="AN438" s="86"/>
      <c r="AO438" s="86"/>
      <c r="AP438" s="86"/>
      <c r="AQ438" s="86"/>
      <c r="AR438" s="86"/>
      <c r="AS438" s="86"/>
      <c r="AT438" s="86"/>
      <c r="AU438" s="86"/>
      <c r="AV438" s="86"/>
      <c r="AW438" s="86"/>
      <c r="AX438" s="86"/>
      <c r="AY438" s="86"/>
      <c r="AZ438" s="86"/>
      <c r="BA438" s="86"/>
      <c r="BB438" s="86"/>
      <c r="BC438" s="86"/>
      <c r="BD438" s="86"/>
      <c r="BE438" s="86"/>
      <c r="BF438" s="86"/>
      <c r="BG438" s="86"/>
      <c r="BH438" s="86"/>
      <c r="BI438" s="86"/>
      <c r="BJ438" s="86"/>
      <c r="BK438" s="86"/>
      <c r="BL438" s="86"/>
      <c r="BM438" s="86"/>
      <c r="BN438" s="86"/>
      <c r="BO438" s="86"/>
      <c r="BP438" s="86"/>
      <c r="BQ438" s="86"/>
      <c r="BR438" s="86"/>
      <c r="BS438" s="86"/>
      <c r="BT438" s="86"/>
      <c r="BU438" s="86"/>
      <c r="BV438" s="86"/>
    </row>
    <row r="439" spans="1:74" s="87" customFormat="1" ht="57" x14ac:dyDescent="0.2">
      <c r="A439" s="76" t="s">
        <v>1406</v>
      </c>
      <c r="B439" s="77" t="s">
        <v>1407</v>
      </c>
      <c r="C439" s="41"/>
      <c r="D439" s="41"/>
      <c r="E439" s="41"/>
      <c r="F439" s="41"/>
      <c r="G439" s="357">
        <v>60300003.909999996</v>
      </c>
      <c r="H439" s="41"/>
      <c r="I439" s="41"/>
      <c r="J439" s="41"/>
      <c r="K439" s="41"/>
      <c r="L439" s="41"/>
      <c r="M439" s="41"/>
      <c r="N439" s="41"/>
      <c r="O439" s="140">
        <f t="shared" si="217"/>
        <v>60300003.909999996</v>
      </c>
      <c r="P439" s="86">
        <v>60300003.909999996</v>
      </c>
      <c r="Q439" s="108">
        <f t="shared" si="233"/>
        <v>0</v>
      </c>
      <c r="R439" s="86"/>
      <c r="S439" s="86"/>
      <c r="T439" s="86"/>
      <c r="U439" s="86"/>
      <c r="V439" s="86"/>
      <c r="W439" s="86"/>
      <c r="X439" s="86"/>
      <c r="Y439" s="86"/>
      <c r="Z439" s="86"/>
      <c r="AA439" s="86"/>
      <c r="AB439" s="86"/>
      <c r="AC439" s="86"/>
      <c r="AD439" s="86"/>
      <c r="AE439" s="86"/>
      <c r="AF439" s="86"/>
      <c r="AG439" s="86"/>
      <c r="AH439" s="86"/>
      <c r="AI439" s="86"/>
      <c r="AJ439" s="86"/>
      <c r="AK439" s="86"/>
      <c r="AL439" s="86"/>
      <c r="AM439" s="86"/>
      <c r="AN439" s="86"/>
      <c r="AO439" s="86"/>
      <c r="AP439" s="86"/>
      <c r="AQ439" s="86"/>
      <c r="AR439" s="86"/>
      <c r="AS439" s="86"/>
      <c r="AT439" s="86"/>
      <c r="AU439" s="86"/>
      <c r="AV439" s="86"/>
      <c r="AW439" s="86"/>
      <c r="AX439" s="86"/>
      <c r="AY439" s="86"/>
      <c r="AZ439" s="86"/>
      <c r="BA439" s="86"/>
      <c r="BB439" s="86"/>
      <c r="BC439" s="86"/>
      <c r="BD439" s="86"/>
      <c r="BE439" s="86"/>
      <c r="BF439" s="86"/>
      <c r="BG439" s="86"/>
      <c r="BH439" s="86"/>
      <c r="BI439" s="86"/>
      <c r="BJ439" s="86"/>
      <c r="BK439" s="86"/>
      <c r="BL439" s="86"/>
      <c r="BM439" s="86"/>
      <c r="BN439" s="86"/>
      <c r="BO439" s="86"/>
      <c r="BP439" s="86"/>
      <c r="BQ439" s="86"/>
      <c r="BR439" s="86"/>
      <c r="BS439" s="86"/>
      <c r="BT439" s="86"/>
      <c r="BU439" s="86"/>
      <c r="BV439" s="86"/>
    </row>
    <row r="440" spans="1:74" s="87" customFormat="1" ht="57" x14ac:dyDescent="0.2">
      <c r="A440" s="76" t="s">
        <v>1408</v>
      </c>
      <c r="B440" s="77" t="s">
        <v>1409</v>
      </c>
      <c r="C440" s="41"/>
      <c r="D440" s="41"/>
      <c r="E440" s="41"/>
      <c r="F440" s="41"/>
      <c r="G440" s="357">
        <v>301199556.44</v>
      </c>
      <c r="H440" s="41"/>
      <c r="I440" s="41"/>
      <c r="J440" s="41"/>
      <c r="K440" s="41"/>
      <c r="L440" s="41"/>
      <c r="M440" s="41"/>
      <c r="N440" s="41"/>
      <c r="O440" s="140">
        <f t="shared" si="217"/>
        <v>301199556.44</v>
      </c>
      <c r="P440" s="86">
        <v>301199556.44</v>
      </c>
      <c r="Q440" s="108">
        <f t="shared" si="233"/>
        <v>0</v>
      </c>
      <c r="R440" s="86"/>
      <c r="S440" s="86"/>
      <c r="T440" s="86"/>
      <c r="U440" s="86"/>
      <c r="V440" s="86"/>
      <c r="W440" s="86"/>
      <c r="X440" s="86"/>
      <c r="Y440" s="86"/>
      <c r="Z440" s="86"/>
      <c r="AA440" s="86"/>
      <c r="AB440" s="86"/>
      <c r="AC440" s="86"/>
      <c r="AD440" s="86"/>
      <c r="AE440" s="86"/>
      <c r="AF440" s="86"/>
      <c r="AG440" s="86"/>
      <c r="AH440" s="86"/>
      <c r="AI440" s="86"/>
      <c r="AJ440" s="86"/>
      <c r="AK440" s="86"/>
      <c r="AL440" s="86"/>
      <c r="AM440" s="86"/>
      <c r="AN440" s="86"/>
      <c r="AO440" s="86"/>
      <c r="AP440" s="86"/>
      <c r="AQ440" s="86"/>
      <c r="AR440" s="86"/>
      <c r="AS440" s="86"/>
      <c r="AT440" s="86"/>
      <c r="AU440" s="86"/>
      <c r="AV440" s="86"/>
      <c r="AW440" s="86"/>
      <c r="AX440" s="86"/>
      <c r="AY440" s="86"/>
      <c r="AZ440" s="86"/>
      <c r="BA440" s="86"/>
      <c r="BB440" s="86"/>
      <c r="BC440" s="86"/>
      <c r="BD440" s="86"/>
      <c r="BE440" s="86"/>
      <c r="BF440" s="86"/>
      <c r="BG440" s="86"/>
      <c r="BH440" s="86"/>
      <c r="BI440" s="86"/>
      <c r="BJ440" s="86"/>
      <c r="BK440" s="86"/>
      <c r="BL440" s="86"/>
      <c r="BM440" s="86"/>
      <c r="BN440" s="86"/>
      <c r="BO440" s="86"/>
      <c r="BP440" s="86"/>
      <c r="BQ440" s="86"/>
      <c r="BR440" s="86"/>
      <c r="BS440" s="86"/>
      <c r="BT440" s="86"/>
      <c r="BU440" s="86"/>
      <c r="BV440" s="86"/>
    </row>
    <row r="441" spans="1:74" s="87" customFormat="1" ht="28.5" x14ac:dyDescent="0.2">
      <c r="A441" s="76" t="s">
        <v>1410</v>
      </c>
      <c r="B441" s="77" t="s">
        <v>1411</v>
      </c>
      <c r="C441" s="41"/>
      <c r="D441" s="41"/>
      <c r="E441" s="41"/>
      <c r="F441" s="41"/>
      <c r="G441" s="357">
        <v>3657.3</v>
      </c>
      <c r="H441" s="41"/>
      <c r="I441" s="41"/>
      <c r="J441" s="41"/>
      <c r="K441" s="41"/>
      <c r="L441" s="41"/>
      <c r="M441" s="41"/>
      <c r="N441" s="41"/>
      <c r="O441" s="140">
        <f t="shared" si="217"/>
        <v>3657.3</v>
      </c>
      <c r="P441" s="86">
        <v>3657.3</v>
      </c>
      <c r="Q441" s="108">
        <f t="shared" si="233"/>
        <v>0</v>
      </c>
      <c r="R441" s="86"/>
      <c r="S441" s="86"/>
      <c r="T441" s="86"/>
      <c r="U441" s="86"/>
      <c r="V441" s="86"/>
      <c r="W441" s="86"/>
      <c r="X441" s="86"/>
      <c r="Y441" s="86"/>
      <c r="Z441" s="86"/>
      <c r="AA441" s="86"/>
      <c r="AB441" s="86"/>
      <c r="AC441" s="86"/>
      <c r="AD441" s="86"/>
      <c r="AE441" s="86"/>
      <c r="AF441" s="86"/>
      <c r="AG441" s="86"/>
      <c r="AH441" s="86"/>
      <c r="AI441" s="86"/>
      <c r="AJ441" s="86"/>
      <c r="AK441" s="86"/>
      <c r="AL441" s="86"/>
      <c r="AM441" s="86"/>
      <c r="AN441" s="86"/>
      <c r="AO441" s="86"/>
      <c r="AP441" s="86"/>
      <c r="AQ441" s="86"/>
      <c r="AR441" s="86"/>
      <c r="AS441" s="86"/>
      <c r="AT441" s="86"/>
      <c r="AU441" s="86"/>
      <c r="AV441" s="86"/>
      <c r="AW441" s="86"/>
      <c r="AX441" s="86"/>
      <c r="AY441" s="86"/>
      <c r="AZ441" s="86"/>
      <c r="BA441" s="86"/>
      <c r="BB441" s="86"/>
      <c r="BC441" s="86"/>
      <c r="BD441" s="86"/>
      <c r="BE441" s="86"/>
      <c r="BF441" s="86"/>
      <c r="BG441" s="86"/>
      <c r="BH441" s="86"/>
      <c r="BI441" s="86"/>
      <c r="BJ441" s="86"/>
      <c r="BK441" s="86"/>
      <c r="BL441" s="86"/>
      <c r="BM441" s="86"/>
      <c r="BN441" s="86"/>
      <c r="BO441" s="86"/>
      <c r="BP441" s="86"/>
      <c r="BQ441" s="86"/>
      <c r="BR441" s="86"/>
      <c r="BS441" s="86"/>
      <c r="BT441" s="86"/>
      <c r="BU441" s="86"/>
      <c r="BV441" s="86"/>
    </row>
    <row r="442" spans="1:74" s="87" customFormat="1" ht="28.5" x14ac:dyDescent="0.2">
      <c r="A442" s="76" t="s">
        <v>1412</v>
      </c>
      <c r="B442" s="77" t="s">
        <v>1413</v>
      </c>
      <c r="C442" s="41"/>
      <c r="D442" s="41"/>
      <c r="E442" s="41"/>
      <c r="F442" s="41"/>
      <c r="G442" s="357">
        <v>12903.3</v>
      </c>
      <c r="H442" s="41"/>
      <c r="I442" s="41"/>
      <c r="J442" s="41"/>
      <c r="K442" s="41"/>
      <c r="L442" s="41"/>
      <c r="M442" s="41"/>
      <c r="N442" s="41"/>
      <c r="O442" s="140">
        <f t="shared" si="217"/>
        <v>12903.3</v>
      </c>
      <c r="P442" s="86">
        <v>12903.3</v>
      </c>
      <c r="Q442" s="108">
        <f t="shared" si="233"/>
        <v>0</v>
      </c>
      <c r="R442" s="86"/>
      <c r="S442" s="86"/>
      <c r="T442" s="86"/>
      <c r="U442" s="86"/>
      <c r="V442" s="86"/>
      <c r="W442" s="86"/>
      <c r="X442" s="86"/>
      <c r="Y442" s="86"/>
      <c r="Z442" s="86"/>
      <c r="AA442" s="86"/>
      <c r="AB442" s="86"/>
      <c r="AC442" s="86"/>
      <c r="AD442" s="86"/>
      <c r="AE442" s="86"/>
      <c r="AF442" s="86"/>
      <c r="AG442" s="86"/>
      <c r="AH442" s="86"/>
      <c r="AI442" s="86"/>
      <c r="AJ442" s="86"/>
      <c r="AK442" s="86"/>
      <c r="AL442" s="86"/>
      <c r="AM442" s="86"/>
      <c r="AN442" s="86"/>
      <c r="AO442" s="86"/>
      <c r="AP442" s="86"/>
      <c r="AQ442" s="86"/>
      <c r="AR442" s="86"/>
      <c r="AS442" s="86"/>
      <c r="AT442" s="86"/>
      <c r="AU442" s="86"/>
      <c r="AV442" s="86"/>
      <c r="AW442" s="86"/>
      <c r="AX442" s="86"/>
      <c r="AY442" s="86"/>
      <c r="AZ442" s="86"/>
      <c r="BA442" s="86"/>
      <c r="BB442" s="86"/>
      <c r="BC442" s="86"/>
      <c r="BD442" s="86"/>
      <c r="BE442" s="86"/>
      <c r="BF442" s="86"/>
      <c r="BG442" s="86"/>
      <c r="BH442" s="86"/>
      <c r="BI442" s="86"/>
      <c r="BJ442" s="86"/>
      <c r="BK442" s="86"/>
      <c r="BL442" s="86"/>
      <c r="BM442" s="86"/>
      <c r="BN442" s="86"/>
      <c r="BO442" s="86"/>
      <c r="BP442" s="86"/>
      <c r="BQ442" s="86"/>
      <c r="BR442" s="86"/>
      <c r="BS442" s="86"/>
      <c r="BT442" s="86"/>
      <c r="BU442" s="86"/>
      <c r="BV442" s="86"/>
    </row>
    <row r="443" spans="1:74" s="87" customFormat="1" ht="57" x14ac:dyDescent="0.2">
      <c r="A443" s="76" t="s">
        <v>1414</v>
      </c>
      <c r="B443" s="77" t="s">
        <v>1415</v>
      </c>
      <c r="C443" s="41"/>
      <c r="D443" s="41"/>
      <c r="E443" s="41"/>
      <c r="F443" s="41"/>
      <c r="G443" s="357">
        <v>22717903.440000001</v>
      </c>
      <c r="H443" s="41"/>
      <c r="I443" s="41"/>
      <c r="J443" s="41"/>
      <c r="K443" s="41"/>
      <c r="L443" s="41"/>
      <c r="M443" s="41"/>
      <c r="N443" s="41"/>
      <c r="O443" s="140">
        <f t="shared" si="217"/>
        <v>22717903.440000001</v>
      </c>
      <c r="P443" s="86">
        <v>22717903.440000001</v>
      </c>
      <c r="Q443" s="108">
        <f t="shared" si="233"/>
        <v>0</v>
      </c>
      <c r="R443" s="86"/>
      <c r="S443" s="86"/>
      <c r="T443" s="86"/>
      <c r="U443" s="86"/>
      <c r="V443" s="86"/>
      <c r="W443" s="86"/>
      <c r="X443" s="86"/>
      <c r="Y443" s="86"/>
      <c r="Z443" s="86"/>
      <c r="AA443" s="86"/>
      <c r="AB443" s="86"/>
      <c r="AC443" s="86"/>
      <c r="AD443" s="86"/>
      <c r="AE443" s="86"/>
      <c r="AF443" s="86"/>
      <c r="AG443" s="86"/>
      <c r="AH443" s="86"/>
      <c r="AI443" s="86"/>
      <c r="AJ443" s="86"/>
      <c r="AK443" s="86"/>
      <c r="AL443" s="86"/>
      <c r="AM443" s="86"/>
      <c r="AN443" s="86"/>
      <c r="AO443" s="86"/>
      <c r="AP443" s="86"/>
      <c r="AQ443" s="86"/>
      <c r="AR443" s="86"/>
      <c r="AS443" s="86"/>
      <c r="AT443" s="86"/>
      <c r="AU443" s="86"/>
      <c r="AV443" s="86"/>
      <c r="AW443" s="86"/>
      <c r="AX443" s="86"/>
      <c r="AY443" s="86"/>
      <c r="AZ443" s="86"/>
      <c r="BA443" s="86"/>
      <c r="BB443" s="86"/>
      <c r="BC443" s="86"/>
      <c r="BD443" s="86"/>
      <c r="BE443" s="86"/>
      <c r="BF443" s="86"/>
      <c r="BG443" s="86"/>
      <c r="BH443" s="86"/>
      <c r="BI443" s="86"/>
      <c r="BJ443" s="86"/>
      <c r="BK443" s="86"/>
      <c r="BL443" s="86"/>
      <c r="BM443" s="86"/>
      <c r="BN443" s="86"/>
      <c r="BO443" s="86"/>
      <c r="BP443" s="86"/>
      <c r="BQ443" s="86"/>
      <c r="BR443" s="86"/>
      <c r="BS443" s="86"/>
      <c r="BT443" s="86"/>
      <c r="BU443" s="86"/>
      <c r="BV443" s="86"/>
    </row>
    <row r="444" spans="1:74" s="87" customFormat="1" ht="42.75" x14ac:dyDescent="0.2">
      <c r="A444" s="76" t="s">
        <v>1416</v>
      </c>
      <c r="B444" s="77" t="s">
        <v>1417</v>
      </c>
      <c r="C444" s="41"/>
      <c r="D444" s="41"/>
      <c r="E444" s="41"/>
      <c r="F444" s="41"/>
      <c r="G444" s="357">
        <v>16455472</v>
      </c>
      <c r="H444" s="41"/>
      <c r="I444" s="41"/>
      <c r="J444" s="41"/>
      <c r="K444" s="41"/>
      <c r="L444" s="41"/>
      <c r="M444" s="41"/>
      <c r="N444" s="41"/>
      <c r="O444" s="140">
        <f t="shared" si="217"/>
        <v>16455472</v>
      </c>
      <c r="P444" s="111">
        <v>16455472</v>
      </c>
      <c r="Q444" s="108">
        <f t="shared" si="233"/>
        <v>0</v>
      </c>
      <c r="R444" s="86"/>
      <c r="S444" s="86"/>
      <c r="T444" s="86"/>
      <c r="U444" s="86"/>
      <c r="V444" s="86"/>
      <c r="W444" s="86"/>
      <c r="X444" s="86"/>
      <c r="Y444" s="86"/>
      <c r="Z444" s="86"/>
      <c r="AA444" s="86"/>
      <c r="AB444" s="86"/>
      <c r="AC444" s="86"/>
      <c r="AD444" s="86"/>
      <c r="AE444" s="86"/>
      <c r="AF444" s="86"/>
      <c r="AG444" s="86"/>
      <c r="AH444" s="86"/>
      <c r="AI444" s="86"/>
      <c r="AJ444" s="86"/>
      <c r="AK444" s="86"/>
      <c r="AL444" s="86"/>
      <c r="AM444" s="86"/>
      <c r="AN444" s="86"/>
      <c r="AO444" s="86"/>
      <c r="AP444" s="86"/>
      <c r="AQ444" s="86"/>
      <c r="AR444" s="86"/>
      <c r="AS444" s="86"/>
      <c r="AT444" s="86"/>
      <c r="AU444" s="86"/>
      <c r="AV444" s="86"/>
      <c r="AW444" s="86"/>
      <c r="AX444" s="86"/>
      <c r="AY444" s="86"/>
      <c r="AZ444" s="86"/>
      <c r="BA444" s="86"/>
      <c r="BB444" s="86"/>
      <c r="BC444" s="86"/>
      <c r="BD444" s="86"/>
      <c r="BE444" s="86"/>
      <c r="BF444" s="86"/>
      <c r="BG444" s="86"/>
      <c r="BH444" s="86"/>
      <c r="BI444" s="86"/>
      <c r="BJ444" s="86"/>
      <c r="BK444" s="86"/>
      <c r="BL444" s="86"/>
      <c r="BM444" s="86"/>
      <c r="BN444" s="86"/>
      <c r="BO444" s="86"/>
      <c r="BP444" s="86"/>
      <c r="BQ444" s="86"/>
      <c r="BR444" s="86"/>
      <c r="BS444" s="86"/>
      <c r="BT444" s="86"/>
      <c r="BU444" s="86"/>
      <c r="BV444" s="86"/>
    </row>
    <row r="445" spans="1:74" s="87" customFormat="1" ht="42.75" x14ac:dyDescent="0.2">
      <c r="A445" s="76" t="s">
        <v>1418</v>
      </c>
      <c r="B445" s="77" t="s">
        <v>1419</v>
      </c>
      <c r="C445" s="41"/>
      <c r="D445" s="41"/>
      <c r="E445" s="41"/>
      <c r="F445" s="41"/>
      <c r="G445" s="357">
        <v>47459103.359999999</v>
      </c>
      <c r="H445" s="41"/>
      <c r="I445" s="41"/>
      <c r="J445" s="41"/>
      <c r="K445" s="41"/>
      <c r="L445" s="41"/>
      <c r="M445" s="41"/>
      <c r="N445" s="41"/>
      <c r="O445" s="140">
        <f t="shared" si="217"/>
        <v>47459103.359999999</v>
      </c>
      <c r="P445" s="86">
        <v>47459103.359999999</v>
      </c>
      <c r="Q445" s="108">
        <f t="shared" si="233"/>
        <v>0</v>
      </c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  <c r="AK445" s="86"/>
      <c r="AL445" s="86"/>
      <c r="AM445" s="86"/>
      <c r="AN445" s="86"/>
      <c r="AO445" s="86"/>
      <c r="AP445" s="86"/>
      <c r="AQ445" s="86"/>
      <c r="AR445" s="86"/>
      <c r="AS445" s="86"/>
      <c r="AT445" s="86"/>
      <c r="AU445" s="86"/>
      <c r="AV445" s="86"/>
      <c r="AW445" s="86"/>
      <c r="AX445" s="86"/>
      <c r="AY445" s="86"/>
      <c r="AZ445" s="86"/>
      <c r="BA445" s="86"/>
      <c r="BB445" s="86"/>
      <c r="BC445" s="86"/>
      <c r="BD445" s="86"/>
      <c r="BE445" s="86"/>
      <c r="BF445" s="86"/>
      <c r="BG445" s="86"/>
      <c r="BH445" s="86"/>
      <c r="BI445" s="86"/>
      <c r="BJ445" s="86"/>
      <c r="BK445" s="86"/>
      <c r="BL445" s="86"/>
      <c r="BM445" s="86"/>
      <c r="BN445" s="86"/>
      <c r="BO445" s="86"/>
      <c r="BP445" s="86"/>
      <c r="BQ445" s="86"/>
      <c r="BR445" s="86"/>
      <c r="BS445" s="86"/>
      <c r="BT445" s="86"/>
      <c r="BU445" s="86"/>
      <c r="BV445" s="86"/>
    </row>
    <row r="446" spans="1:74" s="87" customFormat="1" ht="28.5" x14ac:dyDescent="0.2">
      <c r="A446" s="76" t="s">
        <v>1420</v>
      </c>
      <c r="B446" s="77" t="s">
        <v>1421</v>
      </c>
      <c r="C446" s="41"/>
      <c r="D446" s="41"/>
      <c r="E446" s="41"/>
      <c r="F446" s="41"/>
      <c r="G446" s="357">
        <v>6022349.8899999997</v>
      </c>
      <c r="H446" s="41"/>
      <c r="I446" s="41"/>
      <c r="J446" s="41"/>
      <c r="K446" s="41"/>
      <c r="L446" s="41"/>
      <c r="M446" s="41"/>
      <c r="N446" s="41"/>
      <c r="O446" s="140">
        <f t="shared" si="217"/>
        <v>6022349.8899999997</v>
      </c>
      <c r="P446" s="86">
        <v>6022349.8899999997</v>
      </c>
      <c r="Q446" s="108">
        <f t="shared" si="233"/>
        <v>0</v>
      </c>
      <c r="R446" s="86"/>
      <c r="S446" s="86"/>
      <c r="T446" s="86"/>
      <c r="U446" s="86"/>
      <c r="V446" s="86"/>
      <c r="W446" s="86"/>
      <c r="X446" s="86"/>
      <c r="Y446" s="86"/>
      <c r="Z446" s="86"/>
      <c r="AA446" s="86"/>
      <c r="AB446" s="86"/>
      <c r="AC446" s="86"/>
      <c r="AD446" s="86"/>
      <c r="AE446" s="86"/>
      <c r="AF446" s="86"/>
      <c r="AG446" s="86"/>
      <c r="AH446" s="86"/>
      <c r="AI446" s="86"/>
      <c r="AJ446" s="86"/>
      <c r="AK446" s="86"/>
      <c r="AL446" s="86"/>
      <c r="AM446" s="86"/>
      <c r="AN446" s="86"/>
      <c r="AO446" s="86"/>
      <c r="AP446" s="86"/>
      <c r="AQ446" s="86"/>
      <c r="AR446" s="86"/>
      <c r="AS446" s="86"/>
      <c r="AT446" s="86"/>
      <c r="AU446" s="86"/>
      <c r="AV446" s="86"/>
      <c r="AW446" s="86"/>
      <c r="AX446" s="86"/>
      <c r="AY446" s="86"/>
      <c r="AZ446" s="86"/>
      <c r="BA446" s="86"/>
      <c r="BB446" s="86"/>
      <c r="BC446" s="86"/>
      <c r="BD446" s="86"/>
      <c r="BE446" s="86"/>
      <c r="BF446" s="86"/>
      <c r="BG446" s="86"/>
      <c r="BH446" s="86"/>
      <c r="BI446" s="86"/>
      <c r="BJ446" s="86"/>
      <c r="BK446" s="86"/>
      <c r="BL446" s="86"/>
      <c r="BM446" s="86"/>
      <c r="BN446" s="86"/>
      <c r="BO446" s="86"/>
      <c r="BP446" s="86"/>
      <c r="BQ446" s="86"/>
      <c r="BR446" s="86"/>
      <c r="BS446" s="86"/>
      <c r="BT446" s="86"/>
      <c r="BU446" s="86"/>
      <c r="BV446" s="86"/>
    </row>
    <row r="447" spans="1:74" s="87" customFormat="1" ht="28.5" x14ac:dyDescent="0.2">
      <c r="A447" s="76" t="s">
        <v>1422</v>
      </c>
      <c r="B447" s="77" t="s">
        <v>1423</v>
      </c>
      <c r="C447" s="41"/>
      <c r="D447" s="41"/>
      <c r="E447" s="41"/>
      <c r="F447" s="41"/>
      <c r="G447" s="357">
        <v>57681818</v>
      </c>
      <c r="H447" s="41"/>
      <c r="I447" s="41"/>
      <c r="J447" s="41"/>
      <c r="K447" s="41"/>
      <c r="L447" s="41"/>
      <c r="M447" s="41"/>
      <c r="N447" s="41"/>
      <c r="O447" s="140">
        <f t="shared" si="217"/>
        <v>57681818</v>
      </c>
      <c r="P447" s="86">
        <v>57681818</v>
      </c>
      <c r="Q447" s="108">
        <f t="shared" si="233"/>
        <v>0</v>
      </c>
      <c r="R447" s="86"/>
      <c r="S447" s="86"/>
      <c r="T447" s="86"/>
      <c r="U447" s="86"/>
      <c r="V447" s="86"/>
      <c r="W447" s="86"/>
      <c r="X447" s="86"/>
      <c r="Y447" s="86"/>
      <c r="Z447" s="86"/>
      <c r="AA447" s="86"/>
      <c r="AB447" s="86"/>
      <c r="AC447" s="86"/>
      <c r="AD447" s="86"/>
      <c r="AE447" s="86"/>
      <c r="AF447" s="86"/>
      <c r="AG447" s="86"/>
      <c r="AH447" s="86"/>
      <c r="AI447" s="86"/>
      <c r="AJ447" s="86"/>
      <c r="AK447" s="86"/>
      <c r="AL447" s="86"/>
      <c r="AM447" s="86"/>
      <c r="AN447" s="86"/>
      <c r="AO447" s="86"/>
      <c r="AP447" s="86"/>
      <c r="AQ447" s="86"/>
      <c r="AR447" s="86"/>
      <c r="AS447" s="86"/>
      <c r="AT447" s="86"/>
      <c r="AU447" s="86"/>
      <c r="AV447" s="86"/>
      <c r="AW447" s="86"/>
      <c r="AX447" s="86"/>
      <c r="AY447" s="86"/>
      <c r="AZ447" s="86"/>
      <c r="BA447" s="86"/>
      <c r="BB447" s="86"/>
      <c r="BC447" s="86"/>
      <c r="BD447" s="86"/>
      <c r="BE447" s="86"/>
      <c r="BF447" s="86"/>
      <c r="BG447" s="86"/>
      <c r="BH447" s="86"/>
      <c r="BI447" s="86"/>
      <c r="BJ447" s="86"/>
      <c r="BK447" s="86"/>
      <c r="BL447" s="86"/>
      <c r="BM447" s="86"/>
      <c r="BN447" s="86"/>
      <c r="BO447" s="86"/>
      <c r="BP447" s="86"/>
      <c r="BQ447" s="86"/>
      <c r="BR447" s="86"/>
      <c r="BS447" s="86"/>
      <c r="BT447" s="86"/>
      <c r="BU447" s="86"/>
      <c r="BV447" s="86"/>
    </row>
    <row r="448" spans="1:74" s="87" customFormat="1" ht="42.75" x14ac:dyDescent="0.2">
      <c r="A448" s="76" t="s">
        <v>1424</v>
      </c>
      <c r="B448" s="77" t="s">
        <v>1425</v>
      </c>
      <c r="C448" s="41"/>
      <c r="D448" s="41"/>
      <c r="E448" s="41"/>
      <c r="F448" s="41"/>
      <c r="G448" s="357">
        <v>30448635</v>
      </c>
      <c r="H448" s="41"/>
      <c r="I448" s="41"/>
      <c r="J448" s="41"/>
      <c r="K448" s="41"/>
      <c r="L448" s="41"/>
      <c r="M448" s="41"/>
      <c r="N448" s="41"/>
      <c r="O448" s="140">
        <f t="shared" si="217"/>
        <v>30448635</v>
      </c>
      <c r="P448" s="86">
        <v>30448635</v>
      </c>
      <c r="Q448" s="108">
        <f t="shared" si="233"/>
        <v>0</v>
      </c>
      <c r="R448" s="86"/>
      <c r="S448" s="86"/>
      <c r="T448" s="86"/>
      <c r="U448" s="86"/>
      <c r="V448" s="86"/>
      <c r="W448" s="86"/>
      <c r="X448" s="86"/>
      <c r="Y448" s="86"/>
      <c r="Z448" s="86"/>
      <c r="AA448" s="86"/>
      <c r="AB448" s="86"/>
      <c r="AC448" s="86"/>
      <c r="AD448" s="86"/>
      <c r="AE448" s="86"/>
      <c r="AF448" s="86"/>
      <c r="AG448" s="86"/>
      <c r="AH448" s="86"/>
      <c r="AI448" s="86"/>
      <c r="AJ448" s="86"/>
      <c r="AK448" s="86"/>
      <c r="AL448" s="86"/>
      <c r="AM448" s="86"/>
      <c r="AN448" s="86"/>
      <c r="AO448" s="86"/>
      <c r="AP448" s="86"/>
      <c r="AQ448" s="86"/>
      <c r="AR448" s="86"/>
      <c r="AS448" s="86"/>
      <c r="AT448" s="86"/>
      <c r="AU448" s="86"/>
      <c r="AV448" s="86"/>
      <c r="AW448" s="86"/>
      <c r="AX448" s="86"/>
      <c r="AY448" s="86"/>
      <c r="AZ448" s="86"/>
      <c r="BA448" s="86"/>
      <c r="BB448" s="86"/>
      <c r="BC448" s="86"/>
      <c r="BD448" s="86"/>
      <c r="BE448" s="86"/>
      <c r="BF448" s="86"/>
      <c r="BG448" s="86"/>
      <c r="BH448" s="86"/>
      <c r="BI448" s="86"/>
      <c r="BJ448" s="86"/>
      <c r="BK448" s="86"/>
      <c r="BL448" s="86"/>
      <c r="BM448" s="86"/>
      <c r="BN448" s="86"/>
      <c r="BO448" s="86"/>
      <c r="BP448" s="86"/>
      <c r="BQ448" s="86"/>
      <c r="BR448" s="86"/>
      <c r="BS448" s="86"/>
      <c r="BT448" s="86"/>
      <c r="BU448" s="86"/>
      <c r="BV448" s="86"/>
    </row>
    <row r="449" spans="1:74" s="87" customFormat="1" ht="57" x14ac:dyDescent="0.2">
      <c r="A449" s="76" t="s">
        <v>1426</v>
      </c>
      <c r="B449" s="77" t="s">
        <v>1427</v>
      </c>
      <c r="C449" s="41"/>
      <c r="D449" s="41"/>
      <c r="E449" s="41"/>
      <c r="F449" s="41"/>
      <c r="G449" s="357">
        <v>222423558.34999999</v>
      </c>
      <c r="H449" s="41"/>
      <c r="I449" s="41"/>
      <c r="J449" s="41"/>
      <c r="K449" s="41"/>
      <c r="L449" s="41"/>
      <c r="M449" s="41"/>
      <c r="N449" s="41"/>
      <c r="O449" s="140">
        <f t="shared" si="217"/>
        <v>222423558.34999999</v>
      </c>
      <c r="P449" s="111">
        <v>222423558.34999999</v>
      </c>
      <c r="Q449" s="108">
        <f t="shared" si="233"/>
        <v>0</v>
      </c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  <c r="AK449" s="86"/>
      <c r="AL449" s="86"/>
      <c r="AM449" s="86"/>
      <c r="AN449" s="86"/>
      <c r="AO449" s="86"/>
      <c r="AP449" s="86"/>
      <c r="AQ449" s="86"/>
      <c r="AR449" s="86"/>
      <c r="AS449" s="86"/>
      <c r="AT449" s="86"/>
      <c r="AU449" s="86"/>
      <c r="AV449" s="86"/>
      <c r="AW449" s="86"/>
      <c r="AX449" s="86"/>
      <c r="AY449" s="86"/>
      <c r="AZ449" s="86"/>
      <c r="BA449" s="86"/>
      <c r="BB449" s="86"/>
      <c r="BC449" s="86"/>
      <c r="BD449" s="86"/>
      <c r="BE449" s="86"/>
      <c r="BF449" s="86"/>
      <c r="BG449" s="86"/>
      <c r="BH449" s="86"/>
      <c r="BI449" s="86"/>
      <c r="BJ449" s="86"/>
      <c r="BK449" s="86"/>
      <c r="BL449" s="86"/>
      <c r="BM449" s="86"/>
      <c r="BN449" s="86"/>
      <c r="BO449" s="86"/>
      <c r="BP449" s="86"/>
      <c r="BQ449" s="86"/>
      <c r="BR449" s="86"/>
      <c r="BS449" s="86"/>
      <c r="BT449" s="86"/>
      <c r="BU449" s="86"/>
      <c r="BV449" s="86"/>
    </row>
    <row r="450" spans="1:74" s="87" customFormat="1" ht="85.5" x14ac:dyDescent="0.2">
      <c r="A450" s="76" t="s">
        <v>1428</v>
      </c>
      <c r="B450" s="77" t="s">
        <v>1429</v>
      </c>
      <c r="C450" s="41"/>
      <c r="D450" s="41"/>
      <c r="E450" s="41"/>
      <c r="F450" s="41"/>
      <c r="G450" s="357">
        <v>12286772.68</v>
      </c>
      <c r="H450" s="41"/>
      <c r="I450" s="41"/>
      <c r="J450" s="41"/>
      <c r="K450" s="41"/>
      <c r="L450" s="41"/>
      <c r="M450" s="41"/>
      <c r="N450" s="41"/>
      <c r="O450" s="140">
        <f t="shared" si="217"/>
        <v>12286772.68</v>
      </c>
      <c r="P450" s="86">
        <v>12286772.68</v>
      </c>
      <c r="Q450" s="108">
        <f t="shared" si="233"/>
        <v>0</v>
      </c>
      <c r="R450" s="86"/>
      <c r="S450" s="86"/>
      <c r="T450" s="86"/>
      <c r="U450" s="86"/>
      <c r="V450" s="86"/>
      <c r="W450" s="86"/>
      <c r="X450" s="86"/>
      <c r="Y450" s="86"/>
      <c r="Z450" s="86"/>
      <c r="AA450" s="86"/>
      <c r="AB450" s="86"/>
      <c r="AC450" s="86"/>
      <c r="AD450" s="86"/>
      <c r="AE450" s="86"/>
      <c r="AF450" s="86"/>
      <c r="AG450" s="86"/>
      <c r="AH450" s="86"/>
      <c r="AI450" s="86"/>
      <c r="AJ450" s="86"/>
      <c r="AK450" s="86"/>
      <c r="AL450" s="86"/>
      <c r="AM450" s="86"/>
      <c r="AN450" s="86"/>
      <c r="AO450" s="86"/>
      <c r="AP450" s="86"/>
      <c r="AQ450" s="86"/>
      <c r="AR450" s="86"/>
      <c r="AS450" s="86"/>
      <c r="AT450" s="86"/>
      <c r="AU450" s="86"/>
      <c r="AV450" s="86"/>
      <c r="AW450" s="86"/>
      <c r="AX450" s="86"/>
      <c r="AY450" s="86"/>
      <c r="AZ450" s="86"/>
      <c r="BA450" s="86"/>
      <c r="BB450" s="86"/>
      <c r="BC450" s="86"/>
      <c r="BD450" s="86"/>
      <c r="BE450" s="86"/>
      <c r="BF450" s="86"/>
      <c r="BG450" s="86"/>
      <c r="BH450" s="86"/>
      <c r="BI450" s="86"/>
      <c r="BJ450" s="86"/>
      <c r="BK450" s="86"/>
      <c r="BL450" s="86"/>
      <c r="BM450" s="86"/>
      <c r="BN450" s="86"/>
      <c r="BO450" s="86"/>
      <c r="BP450" s="86"/>
      <c r="BQ450" s="86"/>
      <c r="BR450" s="86"/>
      <c r="BS450" s="86"/>
      <c r="BT450" s="86"/>
      <c r="BU450" s="86"/>
      <c r="BV450" s="86"/>
    </row>
    <row r="451" spans="1:74" s="87" customFormat="1" ht="42.75" x14ac:dyDescent="0.2">
      <c r="A451" s="76" t="s">
        <v>1430</v>
      </c>
      <c r="B451" s="77" t="s">
        <v>1431</v>
      </c>
      <c r="C451" s="41"/>
      <c r="D451" s="41"/>
      <c r="E451" s="41"/>
      <c r="F451" s="41"/>
      <c r="G451" s="357">
        <v>37760753.93</v>
      </c>
      <c r="H451" s="41"/>
      <c r="I451" s="41"/>
      <c r="J451" s="41"/>
      <c r="K451" s="41"/>
      <c r="L451" s="41"/>
      <c r="M451" s="41"/>
      <c r="N451" s="41"/>
      <c r="O451" s="140">
        <f t="shared" si="217"/>
        <v>37760753.93</v>
      </c>
      <c r="P451" s="86">
        <v>37760753.93</v>
      </c>
      <c r="Q451" s="108">
        <f t="shared" si="233"/>
        <v>0</v>
      </c>
      <c r="R451" s="86"/>
      <c r="S451" s="86"/>
      <c r="T451" s="86"/>
      <c r="U451" s="86"/>
      <c r="V451" s="86"/>
      <c r="W451" s="86"/>
      <c r="X451" s="86"/>
      <c r="Y451" s="86"/>
      <c r="Z451" s="86"/>
      <c r="AA451" s="86"/>
      <c r="AB451" s="86"/>
      <c r="AC451" s="86"/>
      <c r="AD451" s="86"/>
      <c r="AE451" s="86"/>
      <c r="AF451" s="86"/>
      <c r="AG451" s="86"/>
      <c r="AH451" s="86"/>
      <c r="AI451" s="86"/>
      <c r="AJ451" s="86"/>
      <c r="AK451" s="86"/>
      <c r="AL451" s="86"/>
      <c r="AM451" s="86"/>
      <c r="AN451" s="86"/>
      <c r="AO451" s="86"/>
      <c r="AP451" s="86"/>
      <c r="AQ451" s="86"/>
      <c r="AR451" s="86"/>
      <c r="AS451" s="86"/>
      <c r="AT451" s="86"/>
      <c r="AU451" s="86"/>
      <c r="AV451" s="86"/>
      <c r="AW451" s="86"/>
      <c r="AX451" s="86"/>
      <c r="AY451" s="86"/>
      <c r="AZ451" s="86"/>
      <c r="BA451" s="86"/>
      <c r="BB451" s="86"/>
      <c r="BC451" s="86"/>
      <c r="BD451" s="86"/>
      <c r="BE451" s="86"/>
      <c r="BF451" s="86"/>
      <c r="BG451" s="86"/>
      <c r="BH451" s="86"/>
      <c r="BI451" s="86"/>
      <c r="BJ451" s="86"/>
      <c r="BK451" s="86"/>
      <c r="BL451" s="86"/>
      <c r="BM451" s="86"/>
      <c r="BN451" s="86"/>
      <c r="BO451" s="86"/>
      <c r="BP451" s="86"/>
      <c r="BQ451" s="86"/>
      <c r="BR451" s="86"/>
      <c r="BS451" s="86"/>
      <c r="BT451" s="86"/>
      <c r="BU451" s="86"/>
      <c r="BV451" s="86"/>
    </row>
    <row r="452" spans="1:74" s="87" customFormat="1" ht="28.5" x14ac:dyDescent="0.2">
      <c r="A452" s="76" t="s">
        <v>1432</v>
      </c>
      <c r="B452" s="77" t="s">
        <v>1433</v>
      </c>
      <c r="C452" s="41"/>
      <c r="D452" s="41"/>
      <c r="E452" s="41"/>
      <c r="F452" s="41"/>
      <c r="G452" s="357">
        <v>352624209.5</v>
      </c>
      <c r="H452" s="41"/>
      <c r="I452" s="41"/>
      <c r="J452" s="41"/>
      <c r="K452" s="41"/>
      <c r="L452" s="41"/>
      <c r="M452" s="41"/>
      <c r="N452" s="41"/>
      <c r="O452" s="140">
        <f t="shared" si="217"/>
        <v>352624209.5</v>
      </c>
      <c r="P452" s="86">
        <v>352624209.5</v>
      </c>
      <c r="Q452" s="108">
        <f t="shared" si="233"/>
        <v>0</v>
      </c>
      <c r="R452" s="86"/>
      <c r="S452" s="86"/>
      <c r="T452" s="86"/>
      <c r="U452" s="86"/>
      <c r="V452" s="86"/>
      <c r="W452" s="86"/>
      <c r="X452" s="86"/>
      <c r="Y452" s="86"/>
      <c r="Z452" s="86"/>
      <c r="AA452" s="86"/>
      <c r="AB452" s="86"/>
      <c r="AC452" s="86"/>
      <c r="AD452" s="86"/>
      <c r="AE452" s="86"/>
      <c r="AF452" s="86"/>
      <c r="AG452" s="86"/>
      <c r="AH452" s="86"/>
      <c r="AI452" s="86"/>
      <c r="AJ452" s="86"/>
      <c r="AK452" s="86"/>
      <c r="AL452" s="86"/>
      <c r="AM452" s="86"/>
      <c r="AN452" s="86"/>
      <c r="AO452" s="86"/>
      <c r="AP452" s="86"/>
      <c r="AQ452" s="86"/>
      <c r="AR452" s="86"/>
      <c r="AS452" s="86"/>
      <c r="AT452" s="86"/>
      <c r="AU452" s="86"/>
      <c r="AV452" s="86"/>
      <c r="AW452" s="86"/>
      <c r="AX452" s="86"/>
      <c r="AY452" s="86"/>
      <c r="AZ452" s="86"/>
      <c r="BA452" s="86"/>
      <c r="BB452" s="86"/>
      <c r="BC452" s="86"/>
      <c r="BD452" s="86"/>
      <c r="BE452" s="86"/>
      <c r="BF452" s="86"/>
      <c r="BG452" s="86"/>
      <c r="BH452" s="86"/>
      <c r="BI452" s="86"/>
      <c r="BJ452" s="86"/>
      <c r="BK452" s="86"/>
      <c r="BL452" s="86"/>
      <c r="BM452" s="86"/>
      <c r="BN452" s="86"/>
      <c r="BO452" s="86"/>
      <c r="BP452" s="86"/>
      <c r="BQ452" s="86"/>
      <c r="BR452" s="86"/>
      <c r="BS452" s="86"/>
      <c r="BT452" s="86"/>
      <c r="BU452" s="86"/>
      <c r="BV452" s="86"/>
    </row>
    <row r="453" spans="1:74" s="87" customFormat="1" ht="42.75" x14ac:dyDescent="0.2">
      <c r="A453" s="76" t="s">
        <v>1434</v>
      </c>
      <c r="B453" s="77" t="s">
        <v>1435</v>
      </c>
      <c r="C453" s="41"/>
      <c r="D453" s="41"/>
      <c r="E453" s="41"/>
      <c r="F453" s="41"/>
      <c r="G453" s="357">
        <v>698000000</v>
      </c>
      <c r="H453" s="41"/>
      <c r="I453" s="41"/>
      <c r="J453" s="41"/>
      <c r="K453" s="41"/>
      <c r="L453" s="41"/>
      <c r="M453" s="41"/>
      <c r="N453" s="41"/>
      <c r="O453" s="140">
        <f t="shared" si="217"/>
        <v>698000000</v>
      </c>
      <c r="P453" s="86">
        <v>698000000</v>
      </c>
      <c r="Q453" s="108">
        <f t="shared" si="233"/>
        <v>0</v>
      </c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  <c r="AK453" s="86"/>
      <c r="AL453" s="86"/>
      <c r="AM453" s="86"/>
      <c r="AN453" s="86"/>
      <c r="AO453" s="86"/>
      <c r="AP453" s="86"/>
      <c r="AQ453" s="86"/>
      <c r="AR453" s="86"/>
      <c r="AS453" s="86"/>
      <c r="AT453" s="86"/>
      <c r="AU453" s="86"/>
      <c r="AV453" s="86"/>
      <c r="AW453" s="86"/>
      <c r="AX453" s="86"/>
      <c r="AY453" s="86"/>
      <c r="AZ453" s="86"/>
      <c r="BA453" s="86"/>
      <c r="BB453" s="86"/>
      <c r="BC453" s="86"/>
      <c r="BD453" s="86"/>
      <c r="BE453" s="86"/>
      <c r="BF453" s="86"/>
      <c r="BG453" s="86"/>
      <c r="BH453" s="86"/>
      <c r="BI453" s="86"/>
      <c r="BJ453" s="86"/>
      <c r="BK453" s="86"/>
      <c r="BL453" s="86"/>
      <c r="BM453" s="86"/>
      <c r="BN453" s="86"/>
      <c r="BO453" s="86"/>
      <c r="BP453" s="86"/>
      <c r="BQ453" s="86"/>
      <c r="BR453" s="86"/>
      <c r="BS453" s="86"/>
      <c r="BT453" s="86"/>
      <c r="BU453" s="86"/>
      <c r="BV453" s="86"/>
    </row>
    <row r="454" spans="1:74" s="87" customFormat="1" ht="42.75" x14ac:dyDescent="0.2">
      <c r="A454" s="76" t="s">
        <v>1436</v>
      </c>
      <c r="B454" s="77" t="s">
        <v>1437</v>
      </c>
      <c r="C454" s="41"/>
      <c r="D454" s="41"/>
      <c r="E454" s="41"/>
      <c r="F454" s="41"/>
      <c r="G454" s="357">
        <v>27979392</v>
      </c>
      <c r="H454" s="41"/>
      <c r="I454" s="41"/>
      <c r="J454" s="41"/>
      <c r="K454" s="41"/>
      <c r="L454" s="41"/>
      <c r="M454" s="41"/>
      <c r="N454" s="41"/>
      <c r="O454" s="140">
        <f t="shared" si="217"/>
        <v>27979392</v>
      </c>
      <c r="P454" s="111">
        <v>27979392</v>
      </c>
      <c r="Q454" s="108">
        <f t="shared" si="233"/>
        <v>0</v>
      </c>
      <c r="R454" s="86"/>
      <c r="S454" s="86"/>
      <c r="T454" s="86"/>
      <c r="U454" s="86"/>
      <c r="V454" s="86"/>
      <c r="W454" s="86"/>
      <c r="X454" s="86"/>
      <c r="Y454" s="86"/>
      <c r="Z454" s="86"/>
      <c r="AA454" s="86"/>
      <c r="AB454" s="86"/>
      <c r="AC454" s="86"/>
      <c r="AD454" s="86"/>
      <c r="AE454" s="86"/>
      <c r="AF454" s="86"/>
      <c r="AG454" s="86"/>
      <c r="AH454" s="86"/>
      <c r="AI454" s="86"/>
      <c r="AJ454" s="86"/>
      <c r="AK454" s="86"/>
      <c r="AL454" s="86"/>
      <c r="AM454" s="86"/>
      <c r="AN454" s="86"/>
      <c r="AO454" s="86"/>
      <c r="AP454" s="86"/>
      <c r="AQ454" s="86"/>
      <c r="AR454" s="86"/>
      <c r="AS454" s="86"/>
      <c r="AT454" s="86"/>
      <c r="AU454" s="86"/>
      <c r="AV454" s="86"/>
      <c r="AW454" s="86"/>
      <c r="AX454" s="86"/>
      <c r="AY454" s="86"/>
      <c r="AZ454" s="86"/>
      <c r="BA454" s="86"/>
      <c r="BB454" s="86"/>
      <c r="BC454" s="86"/>
      <c r="BD454" s="86"/>
      <c r="BE454" s="86"/>
      <c r="BF454" s="86"/>
      <c r="BG454" s="86"/>
      <c r="BH454" s="86"/>
      <c r="BI454" s="86"/>
      <c r="BJ454" s="86"/>
      <c r="BK454" s="86"/>
      <c r="BL454" s="86"/>
      <c r="BM454" s="86"/>
      <c r="BN454" s="86"/>
      <c r="BO454" s="86"/>
      <c r="BP454" s="86"/>
      <c r="BQ454" s="86"/>
      <c r="BR454" s="86"/>
      <c r="BS454" s="86"/>
      <c r="BT454" s="86"/>
      <c r="BU454" s="86"/>
      <c r="BV454" s="86"/>
    </row>
    <row r="455" spans="1:74" s="112" customFormat="1" ht="15.75" x14ac:dyDescent="0.2">
      <c r="A455" s="81" t="s">
        <v>1438</v>
      </c>
      <c r="B455" s="79" t="s">
        <v>1439</v>
      </c>
      <c r="C455" s="146">
        <f>SUM(C456:C460)</f>
        <v>0</v>
      </c>
      <c r="D455" s="146">
        <f>SUM(D456:D460)</f>
        <v>0</v>
      </c>
      <c r="E455" s="146">
        <f>SUM(E456:E460)</f>
        <v>0</v>
      </c>
      <c r="F455" s="146">
        <f t="shared" ref="F455:N455" si="237">SUM(F456:F460)</f>
        <v>0</v>
      </c>
      <c r="G455" s="146">
        <f>SUM(G456:G460)</f>
        <v>6442499.1399999997</v>
      </c>
      <c r="H455" s="146">
        <f t="shared" si="237"/>
        <v>0</v>
      </c>
      <c r="I455" s="146">
        <f t="shared" si="237"/>
        <v>0</v>
      </c>
      <c r="J455" s="146">
        <f t="shared" si="237"/>
        <v>0</v>
      </c>
      <c r="K455" s="146">
        <f t="shared" si="237"/>
        <v>0</v>
      </c>
      <c r="L455" s="146">
        <f t="shared" si="237"/>
        <v>0</v>
      </c>
      <c r="M455" s="146">
        <f t="shared" si="237"/>
        <v>0</v>
      </c>
      <c r="N455" s="146">
        <f t="shared" si="237"/>
        <v>0</v>
      </c>
      <c r="O455" s="309">
        <f t="shared" si="217"/>
        <v>6442499.1399999997</v>
      </c>
      <c r="P455" s="86">
        <v>6442499.1399999997</v>
      </c>
      <c r="Q455" s="108">
        <f t="shared" si="233"/>
        <v>0</v>
      </c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  <c r="AN455" s="111"/>
      <c r="AO455" s="111"/>
      <c r="AP455" s="111"/>
      <c r="AQ455" s="111"/>
      <c r="AR455" s="111"/>
      <c r="AS455" s="111"/>
      <c r="AT455" s="111"/>
      <c r="AU455" s="111"/>
      <c r="AV455" s="111"/>
      <c r="AW455" s="111"/>
      <c r="AX455" s="111"/>
      <c r="AY455" s="111"/>
      <c r="AZ455" s="111"/>
      <c r="BA455" s="111"/>
      <c r="BB455" s="111"/>
      <c r="BC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V455" s="111"/>
    </row>
    <row r="456" spans="1:74" s="87" customFormat="1" ht="14.25" x14ac:dyDescent="0.2">
      <c r="A456" s="76" t="s">
        <v>1440</v>
      </c>
      <c r="B456" s="77" t="s">
        <v>1441</v>
      </c>
      <c r="C456" s="41"/>
      <c r="D456" s="41"/>
      <c r="E456" s="41"/>
      <c r="F456" s="41"/>
      <c r="G456" s="41">
        <v>5346270.54</v>
      </c>
      <c r="H456" s="41"/>
      <c r="I456" s="41"/>
      <c r="J456" s="41"/>
      <c r="K456" s="41"/>
      <c r="L456" s="41"/>
      <c r="M456" s="41"/>
      <c r="N456" s="41"/>
      <c r="O456" s="140">
        <f t="shared" si="217"/>
        <v>5346270.54</v>
      </c>
      <c r="P456" s="86">
        <v>5346270.54</v>
      </c>
      <c r="Q456" s="108">
        <f t="shared" si="233"/>
        <v>0</v>
      </c>
      <c r="R456" s="86"/>
      <c r="S456" s="86"/>
      <c r="T456" s="86"/>
      <c r="U456" s="86"/>
      <c r="V456" s="86"/>
      <c r="W456" s="86"/>
      <c r="X456" s="86"/>
      <c r="Y456" s="86"/>
      <c r="Z456" s="86"/>
      <c r="AA456" s="86"/>
      <c r="AB456" s="86"/>
      <c r="AC456" s="86"/>
      <c r="AD456" s="86"/>
      <c r="AE456" s="86"/>
      <c r="AF456" s="86"/>
      <c r="AG456" s="86"/>
      <c r="AH456" s="86"/>
      <c r="AI456" s="86"/>
      <c r="AJ456" s="86"/>
      <c r="AK456" s="86"/>
      <c r="AL456" s="86"/>
      <c r="AM456" s="86"/>
      <c r="AN456" s="86"/>
      <c r="AO456" s="86"/>
      <c r="AP456" s="86"/>
      <c r="AQ456" s="86"/>
      <c r="AR456" s="86"/>
      <c r="AS456" s="86"/>
      <c r="AT456" s="86"/>
      <c r="AU456" s="86"/>
      <c r="AV456" s="86"/>
      <c r="AW456" s="86"/>
      <c r="AX456" s="86"/>
      <c r="AY456" s="86"/>
      <c r="AZ456" s="86"/>
      <c r="BA456" s="86"/>
      <c r="BB456" s="86"/>
      <c r="BC456" s="86"/>
      <c r="BD456" s="86"/>
      <c r="BE456" s="86"/>
      <c r="BF456" s="86"/>
      <c r="BG456" s="86"/>
      <c r="BH456" s="86"/>
      <c r="BI456" s="86"/>
      <c r="BJ456" s="86"/>
      <c r="BK456" s="86"/>
      <c r="BL456" s="86"/>
      <c r="BM456" s="86"/>
      <c r="BN456" s="86"/>
      <c r="BO456" s="86"/>
      <c r="BP456" s="86"/>
      <c r="BQ456" s="86"/>
      <c r="BR456" s="86"/>
      <c r="BS456" s="86"/>
      <c r="BT456" s="86"/>
      <c r="BU456" s="86"/>
      <c r="BV456" s="86"/>
    </row>
    <row r="457" spans="1:74" s="87" customFormat="1" ht="28.5" x14ac:dyDescent="0.2">
      <c r="A457" s="76" t="s">
        <v>1442</v>
      </c>
      <c r="B457" s="77" t="s">
        <v>1443</v>
      </c>
      <c r="C457" s="41"/>
      <c r="D457" s="41"/>
      <c r="E457" s="41"/>
      <c r="F457" s="41"/>
      <c r="G457" s="41">
        <v>144370.26</v>
      </c>
      <c r="H457" s="41"/>
      <c r="I457" s="41"/>
      <c r="J457" s="41"/>
      <c r="K457" s="41"/>
      <c r="L457" s="41"/>
      <c r="M457" s="41"/>
      <c r="N457" s="41"/>
      <c r="O457" s="140">
        <f t="shared" si="217"/>
        <v>144370.26</v>
      </c>
      <c r="P457" s="111">
        <v>144370.26</v>
      </c>
      <c r="Q457" s="108">
        <f t="shared" si="233"/>
        <v>0</v>
      </c>
      <c r="R457" s="86"/>
      <c r="S457" s="86"/>
      <c r="T457" s="86"/>
      <c r="U457" s="86"/>
      <c r="V457" s="86"/>
      <c r="W457" s="86"/>
      <c r="X457" s="86"/>
      <c r="Y457" s="86"/>
      <c r="Z457" s="86"/>
      <c r="AA457" s="86"/>
      <c r="AB457" s="86"/>
      <c r="AC457" s="86"/>
      <c r="AD457" s="86"/>
      <c r="AE457" s="86"/>
      <c r="AF457" s="86"/>
      <c r="AG457" s="86"/>
      <c r="AH457" s="86"/>
      <c r="AI457" s="86"/>
      <c r="AJ457" s="86"/>
      <c r="AK457" s="86"/>
      <c r="AL457" s="86"/>
      <c r="AM457" s="86"/>
      <c r="AN457" s="86"/>
      <c r="AO457" s="86"/>
      <c r="AP457" s="86"/>
      <c r="AQ457" s="86"/>
      <c r="AR457" s="86"/>
      <c r="AS457" s="86"/>
      <c r="AT457" s="86"/>
      <c r="AU457" s="86"/>
      <c r="AV457" s="86"/>
      <c r="AW457" s="86"/>
      <c r="AX457" s="86"/>
      <c r="AY457" s="86"/>
      <c r="AZ457" s="86"/>
      <c r="BA457" s="86"/>
      <c r="BB457" s="86"/>
      <c r="BC457" s="86"/>
      <c r="BD457" s="86"/>
      <c r="BE457" s="86"/>
      <c r="BF457" s="86"/>
      <c r="BG457" s="86"/>
      <c r="BH457" s="86"/>
      <c r="BI457" s="86"/>
      <c r="BJ457" s="86"/>
      <c r="BK457" s="86"/>
      <c r="BL457" s="86"/>
      <c r="BM457" s="86"/>
      <c r="BN457" s="86"/>
      <c r="BO457" s="86"/>
      <c r="BP457" s="86"/>
      <c r="BQ457" s="86"/>
      <c r="BR457" s="86"/>
      <c r="BS457" s="86"/>
      <c r="BT457" s="86"/>
      <c r="BU457" s="86"/>
      <c r="BV457" s="86"/>
    </row>
    <row r="458" spans="1:74" s="87" customFormat="1" ht="14.25" x14ac:dyDescent="0.2">
      <c r="A458" s="76" t="s">
        <v>1444</v>
      </c>
      <c r="B458" s="77" t="s">
        <v>1445</v>
      </c>
      <c r="C458" s="41"/>
      <c r="D458" s="41"/>
      <c r="E458" s="41"/>
      <c r="F458" s="41"/>
      <c r="G458" s="41">
        <v>16785.169999999998</v>
      </c>
      <c r="H458" s="41"/>
      <c r="I458" s="41"/>
      <c r="J458" s="41"/>
      <c r="K458" s="41"/>
      <c r="L458" s="41"/>
      <c r="M458" s="41"/>
      <c r="N458" s="41"/>
      <c r="O458" s="140">
        <f t="shared" si="217"/>
        <v>16785.169999999998</v>
      </c>
      <c r="P458" s="86">
        <v>16785.169999999998</v>
      </c>
      <c r="Q458" s="108">
        <f t="shared" si="233"/>
        <v>0</v>
      </c>
      <c r="R458" s="86"/>
      <c r="S458" s="86"/>
      <c r="T458" s="86"/>
      <c r="U458" s="86"/>
      <c r="V458" s="86"/>
      <c r="W458" s="86"/>
      <c r="X458" s="86"/>
      <c r="Y458" s="86"/>
      <c r="Z458" s="86"/>
      <c r="AA458" s="86"/>
      <c r="AB458" s="86"/>
      <c r="AC458" s="86"/>
      <c r="AD458" s="86"/>
      <c r="AE458" s="86"/>
      <c r="AF458" s="86"/>
      <c r="AG458" s="86"/>
      <c r="AH458" s="86"/>
      <c r="AI458" s="86"/>
      <c r="AJ458" s="86"/>
      <c r="AK458" s="86"/>
      <c r="AL458" s="86"/>
      <c r="AM458" s="86"/>
      <c r="AN458" s="86"/>
      <c r="AO458" s="86"/>
      <c r="AP458" s="86"/>
      <c r="AQ458" s="86"/>
      <c r="AR458" s="86"/>
      <c r="AS458" s="86"/>
      <c r="AT458" s="86"/>
      <c r="AU458" s="86"/>
      <c r="AV458" s="86"/>
      <c r="AW458" s="86"/>
      <c r="AX458" s="86"/>
      <c r="AY458" s="86"/>
      <c r="AZ458" s="86"/>
      <c r="BA458" s="86"/>
      <c r="BB458" s="86"/>
      <c r="BC458" s="86"/>
      <c r="BD458" s="86"/>
      <c r="BE458" s="86"/>
      <c r="BF458" s="86"/>
      <c r="BG458" s="86"/>
      <c r="BH458" s="86"/>
      <c r="BI458" s="86"/>
      <c r="BJ458" s="86"/>
      <c r="BK458" s="86"/>
      <c r="BL458" s="86"/>
      <c r="BM458" s="86"/>
      <c r="BN458" s="86"/>
      <c r="BO458" s="86"/>
      <c r="BP458" s="86"/>
      <c r="BQ458" s="86"/>
      <c r="BR458" s="86"/>
      <c r="BS458" s="86"/>
      <c r="BT458" s="86"/>
      <c r="BU458" s="86"/>
      <c r="BV458" s="86"/>
    </row>
    <row r="459" spans="1:74" s="87" customFormat="1" ht="28.5" x14ac:dyDescent="0.2">
      <c r="A459" s="76" t="s">
        <v>1446</v>
      </c>
      <c r="B459" s="77" t="s">
        <v>1447</v>
      </c>
      <c r="C459" s="41"/>
      <c r="D459" s="41"/>
      <c r="E459" s="41"/>
      <c r="F459" s="41"/>
      <c r="G459" s="41">
        <v>244473.17</v>
      </c>
      <c r="H459" s="41"/>
      <c r="I459" s="41"/>
      <c r="J459" s="41"/>
      <c r="K459" s="41"/>
      <c r="L459" s="41"/>
      <c r="M459" s="41"/>
      <c r="N459" s="41"/>
      <c r="O459" s="140">
        <f t="shared" si="217"/>
        <v>244473.17</v>
      </c>
      <c r="P459" s="86">
        <v>244473.17</v>
      </c>
      <c r="Q459" s="108">
        <f t="shared" si="233"/>
        <v>0</v>
      </c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  <c r="AK459" s="86"/>
      <c r="AL459" s="86"/>
      <c r="AM459" s="86"/>
      <c r="AN459" s="86"/>
      <c r="AO459" s="86"/>
      <c r="AP459" s="86"/>
      <c r="AQ459" s="86"/>
      <c r="AR459" s="86"/>
      <c r="AS459" s="86"/>
      <c r="AT459" s="86"/>
      <c r="AU459" s="86"/>
      <c r="AV459" s="86"/>
      <c r="AW459" s="86"/>
      <c r="AX459" s="86"/>
      <c r="AY459" s="86"/>
      <c r="AZ459" s="86"/>
      <c r="BA459" s="86"/>
      <c r="BB459" s="86"/>
      <c r="BC459" s="86"/>
      <c r="BD459" s="86"/>
      <c r="BE459" s="86"/>
      <c r="BF459" s="86"/>
      <c r="BG459" s="86"/>
      <c r="BH459" s="86"/>
      <c r="BI459" s="86"/>
      <c r="BJ459" s="86"/>
      <c r="BK459" s="86"/>
      <c r="BL459" s="86"/>
      <c r="BM459" s="86"/>
      <c r="BN459" s="86"/>
      <c r="BO459" s="86"/>
      <c r="BP459" s="86"/>
      <c r="BQ459" s="86"/>
      <c r="BR459" s="86"/>
      <c r="BS459" s="86"/>
      <c r="BT459" s="86"/>
      <c r="BU459" s="86"/>
      <c r="BV459" s="86"/>
    </row>
    <row r="460" spans="1:74" s="87" customFormat="1" ht="28.5" x14ac:dyDescent="0.2">
      <c r="A460" s="76" t="s">
        <v>1448</v>
      </c>
      <c r="B460" s="77" t="s">
        <v>1449</v>
      </c>
      <c r="C460" s="41"/>
      <c r="D460" s="41"/>
      <c r="E460" s="41"/>
      <c r="F460" s="41"/>
      <c r="G460" s="41">
        <v>690600</v>
      </c>
      <c r="H460" s="41"/>
      <c r="I460" s="41"/>
      <c r="J460" s="41"/>
      <c r="K460" s="41"/>
      <c r="L460" s="41"/>
      <c r="M460" s="41"/>
      <c r="N460" s="41"/>
      <c r="O460" s="140">
        <f t="shared" si="217"/>
        <v>690600</v>
      </c>
      <c r="P460" s="111">
        <v>690600</v>
      </c>
      <c r="Q460" s="108">
        <f t="shared" si="233"/>
        <v>0</v>
      </c>
      <c r="R460" s="86"/>
      <c r="S460" s="86"/>
      <c r="T460" s="86"/>
      <c r="U460" s="86"/>
      <c r="V460" s="86"/>
      <c r="W460" s="86"/>
      <c r="X460" s="86"/>
      <c r="Y460" s="86"/>
      <c r="Z460" s="86"/>
      <c r="AA460" s="86"/>
      <c r="AB460" s="86"/>
      <c r="AC460" s="86"/>
      <c r="AD460" s="86"/>
      <c r="AE460" s="86"/>
      <c r="AF460" s="86"/>
      <c r="AG460" s="86"/>
      <c r="AH460" s="86"/>
      <c r="AI460" s="86"/>
      <c r="AJ460" s="86"/>
      <c r="AK460" s="86"/>
      <c r="AL460" s="86"/>
      <c r="AM460" s="86"/>
      <c r="AN460" s="86"/>
      <c r="AO460" s="86"/>
      <c r="AP460" s="86"/>
      <c r="AQ460" s="86"/>
      <c r="AR460" s="86"/>
      <c r="AS460" s="86"/>
      <c r="AT460" s="86"/>
      <c r="AU460" s="86"/>
      <c r="AV460" s="86"/>
      <c r="AW460" s="86"/>
      <c r="AX460" s="86"/>
      <c r="AY460" s="86"/>
      <c r="AZ460" s="86"/>
      <c r="BA460" s="86"/>
      <c r="BB460" s="86"/>
      <c r="BC460" s="86"/>
      <c r="BD460" s="86"/>
      <c r="BE460" s="86"/>
      <c r="BF460" s="86"/>
      <c r="BG460" s="86"/>
      <c r="BH460" s="86"/>
      <c r="BI460" s="86"/>
      <c r="BJ460" s="86"/>
      <c r="BK460" s="86"/>
      <c r="BL460" s="86"/>
      <c r="BM460" s="86"/>
      <c r="BN460" s="86"/>
      <c r="BO460" s="86"/>
      <c r="BP460" s="86"/>
      <c r="BQ460" s="86"/>
      <c r="BR460" s="86"/>
      <c r="BS460" s="86"/>
      <c r="BT460" s="86"/>
      <c r="BU460" s="86"/>
      <c r="BV460" s="86"/>
    </row>
    <row r="461" spans="1:74" s="112" customFormat="1" ht="15.75" x14ac:dyDescent="0.2">
      <c r="A461" s="81" t="s">
        <v>1450</v>
      </c>
      <c r="B461" s="79" t="s">
        <v>1451</v>
      </c>
      <c r="C461" s="146">
        <f>+C462+C464+C468+C471+C477+C482+C487+C490</f>
        <v>0</v>
      </c>
      <c r="D461" s="146">
        <f>+D462+D464+D468+D471+D477+D482+D487+D490</f>
        <v>0</v>
      </c>
      <c r="E461" s="146">
        <f>+E462+E464+E468+E471+E477+E482+E487+E490</f>
        <v>0</v>
      </c>
      <c r="F461" s="146">
        <f t="shared" ref="F461:N461" si="238">+F462+F464+F468+F471+F477+F482+F487+F490</f>
        <v>0</v>
      </c>
      <c r="G461" s="146">
        <f>+G462+G464+G468+G471+G477+G482+G487+G490</f>
        <v>37711694342.109993</v>
      </c>
      <c r="H461" s="146">
        <f t="shared" si="238"/>
        <v>0</v>
      </c>
      <c r="I461" s="146">
        <f t="shared" si="238"/>
        <v>0</v>
      </c>
      <c r="J461" s="146">
        <f t="shared" si="238"/>
        <v>0</v>
      </c>
      <c r="K461" s="146">
        <f t="shared" si="238"/>
        <v>0</v>
      </c>
      <c r="L461" s="146">
        <f t="shared" si="238"/>
        <v>0</v>
      </c>
      <c r="M461" s="146">
        <f t="shared" si="238"/>
        <v>0</v>
      </c>
      <c r="N461" s="146">
        <f t="shared" si="238"/>
        <v>0</v>
      </c>
      <c r="O461" s="309">
        <f t="shared" si="217"/>
        <v>37711694342.109993</v>
      </c>
      <c r="P461" s="86">
        <v>37711694342.110001</v>
      </c>
      <c r="Q461" s="108">
        <f t="shared" si="233"/>
        <v>0</v>
      </c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111"/>
      <c r="AI461" s="111"/>
      <c r="AJ461" s="111"/>
      <c r="AK461" s="111"/>
      <c r="AL461" s="111"/>
      <c r="AM461" s="111"/>
      <c r="AN461" s="111"/>
      <c r="AO461" s="111"/>
      <c r="AP461" s="111"/>
      <c r="AQ461" s="111"/>
      <c r="AR461" s="111"/>
      <c r="AS461" s="111"/>
      <c r="AT461" s="111"/>
      <c r="AU461" s="111"/>
      <c r="AV461" s="111"/>
      <c r="AW461" s="111"/>
      <c r="AX461" s="111"/>
      <c r="AY461" s="111"/>
      <c r="AZ461" s="111"/>
      <c r="BA461" s="111"/>
      <c r="BB461" s="111"/>
      <c r="BC461" s="111"/>
      <c r="BD461" s="111"/>
      <c r="BE461" s="111"/>
      <c r="BF461" s="111"/>
      <c r="BG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V461" s="111"/>
    </row>
    <row r="462" spans="1:74" s="112" customFormat="1" ht="31.5" x14ac:dyDescent="0.2">
      <c r="A462" s="81" t="s">
        <v>1452</v>
      </c>
      <c r="B462" s="79" t="s">
        <v>1453</v>
      </c>
      <c r="C462" s="146">
        <f>+C463</f>
        <v>0</v>
      </c>
      <c r="D462" s="146">
        <f>+D463</f>
        <v>0</v>
      </c>
      <c r="E462" s="146">
        <f>+E463</f>
        <v>0</v>
      </c>
      <c r="F462" s="146">
        <f t="shared" ref="F462:N462" si="239">+F463</f>
        <v>0</v>
      </c>
      <c r="G462" s="146">
        <f>+G463</f>
        <v>1027049896.25</v>
      </c>
      <c r="H462" s="146">
        <f t="shared" si="239"/>
        <v>0</v>
      </c>
      <c r="I462" s="146">
        <f t="shared" si="239"/>
        <v>0</v>
      </c>
      <c r="J462" s="146">
        <f t="shared" si="239"/>
        <v>0</v>
      </c>
      <c r="K462" s="146">
        <f t="shared" si="239"/>
        <v>0</v>
      </c>
      <c r="L462" s="146">
        <f t="shared" si="239"/>
        <v>0</v>
      </c>
      <c r="M462" s="146">
        <f t="shared" si="239"/>
        <v>0</v>
      </c>
      <c r="N462" s="146">
        <f t="shared" si="239"/>
        <v>0</v>
      </c>
      <c r="O462" s="309">
        <f t="shared" si="217"/>
        <v>1027049896.25</v>
      </c>
      <c r="P462" s="111">
        <v>1027049896.25</v>
      </c>
      <c r="Q462" s="108">
        <f t="shared" si="233"/>
        <v>0</v>
      </c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1"/>
      <c r="AM462" s="111"/>
      <c r="AN462" s="111"/>
      <c r="AO462" s="111"/>
      <c r="AP462" s="111"/>
      <c r="AQ462" s="111"/>
      <c r="AR462" s="111"/>
      <c r="AS462" s="111"/>
      <c r="AT462" s="111"/>
      <c r="AU462" s="111"/>
      <c r="AV462" s="111"/>
      <c r="AW462" s="111"/>
      <c r="AX462" s="111"/>
      <c r="AY462" s="111"/>
      <c r="AZ462" s="111"/>
      <c r="BA462" s="111"/>
      <c r="BB462" s="111"/>
      <c r="BC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V462" s="111"/>
    </row>
    <row r="463" spans="1:74" s="87" customFormat="1" ht="28.5" x14ac:dyDescent="0.2">
      <c r="A463" s="76" t="s">
        <v>1454</v>
      </c>
      <c r="B463" s="77" t="s">
        <v>1455</v>
      </c>
      <c r="C463" s="41"/>
      <c r="D463" s="41"/>
      <c r="E463" s="41"/>
      <c r="F463" s="41"/>
      <c r="G463" s="41">
        <v>1027049896.25</v>
      </c>
      <c r="H463" s="41"/>
      <c r="I463" s="41"/>
      <c r="J463" s="41"/>
      <c r="K463" s="41"/>
      <c r="L463" s="41"/>
      <c r="M463" s="41"/>
      <c r="N463" s="41"/>
      <c r="O463" s="140">
        <f t="shared" si="217"/>
        <v>1027049896.25</v>
      </c>
      <c r="P463" s="86">
        <v>1027049896.25</v>
      </c>
      <c r="Q463" s="108">
        <f t="shared" si="233"/>
        <v>0</v>
      </c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  <c r="AK463" s="86"/>
      <c r="AL463" s="86"/>
      <c r="AM463" s="86"/>
      <c r="AN463" s="86"/>
      <c r="AO463" s="86"/>
      <c r="AP463" s="86"/>
      <c r="AQ463" s="86"/>
      <c r="AR463" s="86"/>
      <c r="AS463" s="86"/>
      <c r="AT463" s="86"/>
      <c r="AU463" s="86"/>
      <c r="AV463" s="86"/>
      <c r="AW463" s="86"/>
      <c r="AX463" s="86"/>
      <c r="AY463" s="86"/>
      <c r="AZ463" s="86"/>
      <c r="BA463" s="86"/>
      <c r="BB463" s="86"/>
      <c r="BC463" s="86"/>
      <c r="BD463" s="86"/>
      <c r="BE463" s="86"/>
      <c r="BF463" s="86"/>
      <c r="BG463" s="86"/>
      <c r="BH463" s="86"/>
      <c r="BI463" s="86"/>
      <c r="BJ463" s="86"/>
      <c r="BK463" s="86"/>
      <c r="BL463" s="86"/>
      <c r="BM463" s="86"/>
      <c r="BN463" s="86"/>
      <c r="BO463" s="86"/>
      <c r="BP463" s="86"/>
      <c r="BQ463" s="86"/>
      <c r="BR463" s="86"/>
      <c r="BS463" s="86"/>
      <c r="BT463" s="86"/>
      <c r="BU463" s="86"/>
      <c r="BV463" s="86"/>
    </row>
    <row r="464" spans="1:74" s="112" customFormat="1" ht="31.5" x14ac:dyDescent="0.2">
      <c r="A464" s="81" t="s">
        <v>1456</v>
      </c>
      <c r="B464" s="79" t="s">
        <v>1457</v>
      </c>
      <c r="C464" s="146">
        <f>SUM(C465:C467)</f>
        <v>0</v>
      </c>
      <c r="D464" s="146">
        <f>SUM(D465:D467)</f>
        <v>0</v>
      </c>
      <c r="E464" s="146">
        <f>SUM(E465:E467)</f>
        <v>0</v>
      </c>
      <c r="F464" s="146">
        <f t="shared" ref="F464:N464" si="240">SUM(F465:F467)</f>
        <v>0</v>
      </c>
      <c r="G464" s="146">
        <f>SUM(G465:G467)</f>
        <v>8110346950.25</v>
      </c>
      <c r="H464" s="146">
        <f t="shared" si="240"/>
        <v>0</v>
      </c>
      <c r="I464" s="146">
        <f t="shared" si="240"/>
        <v>0</v>
      </c>
      <c r="J464" s="146">
        <f t="shared" si="240"/>
        <v>0</v>
      </c>
      <c r="K464" s="146">
        <f t="shared" si="240"/>
        <v>0</v>
      </c>
      <c r="L464" s="146">
        <f t="shared" si="240"/>
        <v>0</v>
      </c>
      <c r="M464" s="146">
        <f t="shared" si="240"/>
        <v>0</v>
      </c>
      <c r="N464" s="146">
        <f t="shared" si="240"/>
        <v>0</v>
      </c>
      <c r="O464" s="309">
        <f t="shared" si="217"/>
        <v>8110346950.25</v>
      </c>
      <c r="P464" s="111">
        <v>8110346950.25</v>
      </c>
      <c r="Q464" s="108">
        <f t="shared" si="233"/>
        <v>0</v>
      </c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  <c r="BC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V464" s="111"/>
    </row>
    <row r="465" spans="1:74" s="87" customFormat="1" ht="28.5" x14ac:dyDescent="0.2">
      <c r="A465" s="76" t="s">
        <v>1458</v>
      </c>
      <c r="B465" s="77" t="s">
        <v>1459</v>
      </c>
      <c r="C465" s="41"/>
      <c r="D465" s="41"/>
      <c r="E465" s="41"/>
      <c r="F465" s="41"/>
      <c r="G465" s="41">
        <v>1319548135.48</v>
      </c>
      <c r="H465" s="41"/>
      <c r="I465" s="41"/>
      <c r="J465" s="41"/>
      <c r="K465" s="41"/>
      <c r="L465" s="41"/>
      <c r="M465" s="41"/>
      <c r="N465" s="41"/>
      <c r="O465" s="140">
        <f t="shared" si="217"/>
        <v>1319548135.48</v>
      </c>
      <c r="P465" s="86">
        <v>1319548135.48</v>
      </c>
      <c r="Q465" s="108">
        <f t="shared" si="233"/>
        <v>0</v>
      </c>
      <c r="R465" s="86"/>
      <c r="S465" s="86"/>
      <c r="T465" s="86"/>
      <c r="U465" s="86"/>
      <c r="V465" s="86"/>
      <c r="W465" s="86"/>
      <c r="X465" s="86"/>
      <c r="Y465" s="86"/>
      <c r="Z465" s="86"/>
      <c r="AA465" s="86"/>
      <c r="AB465" s="86"/>
      <c r="AC465" s="86"/>
      <c r="AD465" s="86"/>
      <c r="AE465" s="86"/>
      <c r="AF465" s="86"/>
      <c r="AG465" s="86"/>
      <c r="AH465" s="86"/>
      <c r="AI465" s="86"/>
      <c r="AJ465" s="86"/>
      <c r="AK465" s="86"/>
      <c r="AL465" s="86"/>
      <c r="AM465" s="86"/>
      <c r="AN465" s="86"/>
      <c r="AO465" s="86"/>
      <c r="AP465" s="86"/>
      <c r="AQ465" s="86"/>
      <c r="AR465" s="86"/>
      <c r="AS465" s="86"/>
      <c r="AT465" s="86"/>
      <c r="AU465" s="86"/>
      <c r="AV465" s="86"/>
      <c r="AW465" s="86"/>
      <c r="AX465" s="86"/>
      <c r="AY465" s="86"/>
      <c r="AZ465" s="86"/>
      <c r="BA465" s="86"/>
      <c r="BB465" s="86"/>
      <c r="BC465" s="86"/>
      <c r="BD465" s="86"/>
      <c r="BE465" s="86"/>
      <c r="BF465" s="86"/>
      <c r="BG465" s="86"/>
      <c r="BH465" s="86"/>
      <c r="BI465" s="86"/>
      <c r="BJ465" s="86"/>
      <c r="BK465" s="86"/>
      <c r="BL465" s="86"/>
      <c r="BM465" s="86"/>
      <c r="BN465" s="86"/>
      <c r="BO465" s="86"/>
      <c r="BP465" s="86"/>
      <c r="BQ465" s="86"/>
      <c r="BR465" s="86"/>
      <c r="BS465" s="86"/>
      <c r="BT465" s="86"/>
      <c r="BU465" s="86"/>
      <c r="BV465" s="86"/>
    </row>
    <row r="466" spans="1:74" s="87" customFormat="1" ht="28.5" x14ac:dyDescent="0.2">
      <c r="A466" s="76" t="s">
        <v>1460</v>
      </c>
      <c r="B466" s="77" t="s">
        <v>1461</v>
      </c>
      <c r="C466" s="41"/>
      <c r="D466" s="41"/>
      <c r="E466" s="41"/>
      <c r="F466" s="41"/>
      <c r="G466" s="41">
        <v>5006060287.7700005</v>
      </c>
      <c r="H466" s="41"/>
      <c r="I466" s="41"/>
      <c r="J466" s="41"/>
      <c r="K466" s="41"/>
      <c r="L466" s="41"/>
      <c r="M466" s="41"/>
      <c r="N466" s="41"/>
      <c r="O466" s="140">
        <f t="shared" si="217"/>
        <v>5006060287.7700005</v>
      </c>
      <c r="P466" s="111">
        <v>5006060287.7700005</v>
      </c>
      <c r="Q466" s="108">
        <f t="shared" ref="Q466:Q529" si="241">+P466-O466</f>
        <v>0</v>
      </c>
      <c r="R466" s="86"/>
      <c r="S466" s="86"/>
      <c r="T466" s="86"/>
      <c r="U466" s="86"/>
      <c r="V466" s="86"/>
      <c r="W466" s="86"/>
      <c r="X466" s="86"/>
      <c r="Y466" s="86"/>
      <c r="Z466" s="86"/>
      <c r="AA466" s="86"/>
      <c r="AB466" s="86"/>
      <c r="AC466" s="86"/>
      <c r="AD466" s="86"/>
      <c r="AE466" s="86"/>
      <c r="AF466" s="86"/>
      <c r="AG466" s="86"/>
      <c r="AH466" s="86"/>
      <c r="AI466" s="86"/>
      <c r="AJ466" s="86"/>
      <c r="AK466" s="86"/>
      <c r="AL466" s="86"/>
      <c r="AM466" s="86"/>
      <c r="AN466" s="86"/>
      <c r="AO466" s="86"/>
      <c r="AP466" s="86"/>
      <c r="AQ466" s="86"/>
      <c r="AR466" s="86"/>
      <c r="AS466" s="86"/>
      <c r="AT466" s="86"/>
      <c r="AU466" s="86"/>
      <c r="AV466" s="86"/>
      <c r="AW466" s="86"/>
      <c r="AX466" s="86"/>
      <c r="AY466" s="86"/>
      <c r="AZ466" s="86"/>
      <c r="BA466" s="86"/>
      <c r="BB466" s="86"/>
      <c r="BC466" s="86"/>
      <c r="BD466" s="86"/>
      <c r="BE466" s="86"/>
      <c r="BF466" s="86"/>
      <c r="BG466" s="86"/>
      <c r="BH466" s="86"/>
      <c r="BI466" s="86"/>
      <c r="BJ466" s="86"/>
      <c r="BK466" s="86"/>
      <c r="BL466" s="86"/>
      <c r="BM466" s="86"/>
      <c r="BN466" s="86"/>
      <c r="BO466" s="86"/>
      <c r="BP466" s="86"/>
      <c r="BQ466" s="86"/>
      <c r="BR466" s="86"/>
      <c r="BS466" s="86"/>
      <c r="BT466" s="86"/>
      <c r="BU466" s="86"/>
      <c r="BV466" s="86"/>
    </row>
    <row r="467" spans="1:74" s="87" customFormat="1" ht="28.5" x14ac:dyDescent="0.2">
      <c r="A467" s="76" t="s">
        <v>1462</v>
      </c>
      <c r="B467" s="77" t="s">
        <v>1463</v>
      </c>
      <c r="C467" s="41"/>
      <c r="D467" s="41"/>
      <c r="E467" s="41"/>
      <c r="F467" s="41"/>
      <c r="G467" s="41">
        <v>1784738527</v>
      </c>
      <c r="H467" s="41"/>
      <c r="I467" s="41"/>
      <c r="J467" s="41"/>
      <c r="K467" s="41"/>
      <c r="L467" s="41"/>
      <c r="M467" s="41"/>
      <c r="N467" s="41"/>
      <c r="O467" s="140">
        <f t="shared" si="217"/>
        <v>1784738527</v>
      </c>
      <c r="P467" s="86">
        <v>1784738527</v>
      </c>
      <c r="Q467" s="108">
        <f t="shared" si="241"/>
        <v>0</v>
      </c>
      <c r="R467" s="86"/>
      <c r="S467" s="86"/>
      <c r="T467" s="86"/>
      <c r="U467" s="86"/>
      <c r="V467" s="86"/>
      <c r="W467" s="86"/>
      <c r="X467" s="86"/>
      <c r="Y467" s="86"/>
      <c r="Z467" s="86"/>
      <c r="AA467" s="86"/>
      <c r="AB467" s="86"/>
      <c r="AC467" s="86"/>
      <c r="AD467" s="86"/>
      <c r="AE467" s="86"/>
      <c r="AF467" s="86"/>
      <c r="AG467" s="86"/>
      <c r="AH467" s="86"/>
      <c r="AI467" s="86"/>
      <c r="AJ467" s="86"/>
      <c r="AK467" s="86"/>
      <c r="AL467" s="86"/>
      <c r="AM467" s="86"/>
      <c r="AN467" s="86"/>
      <c r="AO467" s="86"/>
      <c r="AP467" s="86"/>
      <c r="AQ467" s="86"/>
      <c r="AR467" s="86"/>
      <c r="AS467" s="86"/>
      <c r="AT467" s="86"/>
      <c r="AU467" s="86"/>
      <c r="AV467" s="86"/>
      <c r="AW467" s="86"/>
      <c r="AX467" s="86"/>
      <c r="AY467" s="86"/>
      <c r="AZ467" s="86"/>
      <c r="BA467" s="86"/>
      <c r="BB467" s="86"/>
      <c r="BC467" s="86"/>
      <c r="BD467" s="86"/>
      <c r="BE467" s="86"/>
      <c r="BF467" s="86"/>
      <c r="BG467" s="86"/>
      <c r="BH467" s="86"/>
      <c r="BI467" s="86"/>
      <c r="BJ467" s="86"/>
      <c r="BK467" s="86"/>
      <c r="BL467" s="86"/>
      <c r="BM467" s="86"/>
      <c r="BN467" s="86"/>
      <c r="BO467" s="86"/>
      <c r="BP467" s="86"/>
      <c r="BQ467" s="86"/>
      <c r="BR467" s="86"/>
      <c r="BS467" s="86"/>
      <c r="BT467" s="86"/>
      <c r="BU467" s="86"/>
      <c r="BV467" s="86"/>
    </row>
    <row r="468" spans="1:74" s="112" customFormat="1" ht="31.5" x14ac:dyDescent="0.2">
      <c r="A468" s="81" t="s">
        <v>1464</v>
      </c>
      <c r="B468" s="79" t="s">
        <v>1465</v>
      </c>
      <c r="C468" s="146">
        <f>SUM(C469:C470)</f>
        <v>0</v>
      </c>
      <c r="D468" s="146">
        <f>SUM(D469:D470)</f>
        <v>0</v>
      </c>
      <c r="E468" s="146">
        <f>SUM(E469:E470)</f>
        <v>0</v>
      </c>
      <c r="F468" s="146">
        <f t="shared" ref="F468:N468" si="242">SUM(F469:F470)</f>
        <v>0</v>
      </c>
      <c r="G468" s="146">
        <f>SUM(G469:G470)</f>
        <v>6021063253.3999996</v>
      </c>
      <c r="H468" s="146">
        <f t="shared" si="242"/>
        <v>0</v>
      </c>
      <c r="I468" s="146">
        <f t="shared" si="242"/>
        <v>0</v>
      </c>
      <c r="J468" s="146">
        <f t="shared" si="242"/>
        <v>0</v>
      </c>
      <c r="K468" s="146">
        <f t="shared" si="242"/>
        <v>0</v>
      </c>
      <c r="L468" s="146">
        <f t="shared" si="242"/>
        <v>0</v>
      </c>
      <c r="M468" s="146">
        <f t="shared" si="242"/>
        <v>0</v>
      </c>
      <c r="N468" s="146">
        <f t="shared" si="242"/>
        <v>0</v>
      </c>
      <c r="O468" s="309">
        <f t="shared" si="217"/>
        <v>6021063253.3999996</v>
      </c>
      <c r="P468" s="111">
        <v>6021063253.3999996</v>
      </c>
      <c r="Q468" s="108">
        <f t="shared" si="241"/>
        <v>0</v>
      </c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1"/>
      <c r="AM468" s="111"/>
      <c r="AN468" s="111"/>
      <c r="AO468" s="111"/>
      <c r="AP468" s="111"/>
      <c r="AQ468" s="111"/>
      <c r="AR468" s="111"/>
      <c r="AS468" s="111"/>
      <c r="AT468" s="111"/>
      <c r="AU468" s="111"/>
      <c r="AV468" s="111"/>
      <c r="AW468" s="111"/>
      <c r="AX468" s="111"/>
      <c r="AY468" s="111"/>
      <c r="AZ468" s="111"/>
      <c r="BA468" s="111"/>
      <c r="BB468" s="111"/>
      <c r="BC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V468" s="111"/>
    </row>
    <row r="469" spans="1:74" s="87" customFormat="1" ht="28.5" x14ac:dyDescent="0.2">
      <c r="A469" s="76" t="s">
        <v>1466</v>
      </c>
      <c r="B469" s="77" t="s">
        <v>1467</v>
      </c>
      <c r="C469" s="41"/>
      <c r="D469" s="41"/>
      <c r="E469" s="41"/>
      <c r="F469" s="41"/>
      <c r="G469" s="41">
        <v>3403959283</v>
      </c>
      <c r="H469" s="41"/>
      <c r="I469" s="41"/>
      <c r="J469" s="41"/>
      <c r="K469" s="41"/>
      <c r="L469" s="41"/>
      <c r="M469" s="41"/>
      <c r="N469" s="41"/>
      <c r="O469" s="140">
        <f t="shared" si="217"/>
        <v>3403959283</v>
      </c>
      <c r="P469" s="86">
        <v>3403959283</v>
      </c>
      <c r="Q469" s="108">
        <f t="shared" si="241"/>
        <v>0</v>
      </c>
      <c r="R469" s="86"/>
      <c r="S469" s="86"/>
      <c r="T469" s="86"/>
      <c r="U469" s="86"/>
      <c r="V469" s="86"/>
      <c r="W469" s="86"/>
      <c r="X469" s="86"/>
      <c r="Y469" s="86"/>
      <c r="Z469" s="86"/>
      <c r="AA469" s="86"/>
      <c r="AB469" s="86"/>
      <c r="AC469" s="86"/>
      <c r="AD469" s="86"/>
      <c r="AE469" s="86"/>
      <c r="AF469" s="86"/>
      <c r="AG469" s="86"/>
      <c r="AH469" s="86"/>
      <c r="AI469" s="86"/>
      <c r="AJ469" s="86"/>
      <c r="AK469" s="86"/>
      <c r="AL469" s="86"/>
      <c r="AM469" s="86"/>
      <c r="AN469" s="86"/>
      <c r="AO469" s="86"/>
      <c r="AP469" s="86"/>
      <c r="AQ469" s="86"/>
      <c r="AR469" s="86"/>
      <c r="AS469" s="86"/>
      <c r="AT469" s="86"/>
      <c r="AU469" s="86"/>
      <c r="AV469" s="86"/>
      <c r="AW469" s="86"/>
      <c r="AX469" s="86"/>
      <c r="AY469" s="86"/>
      <c r="AZ469" s="86"/>
      <c r="BA469" s="86"/>
      <c r="BB469" s="86"/>
      <c r="BC469" s="86"/>
      <c r="BD469" s="86"/>
      <c r="BE469" s="86"/>
      <c r="BF469" s="86"/>
      <c r="BG469" s="86"/>
      <c r="BH469" s="86"/>
      <c r="BI469" s="86"/>
      <c r="BJ469" s="86"/>
      <c r="BK469" s="86"/>
      <c r="BL469" s="86"/>
      <c r="BM469" s="86"/>
      <c r="BN469" s="86"/>
      <c r="BO469" s="86"/>
      <c r="BP469" s="86"/>
      <c r="BQ469" s="86"/>
      <c r="BR469" s="86"/>
      <c r="BS469" s="86"/>
      <c r="BT469" s="86"/>
      <c r="BU469" s="86"/>
      <c r="BV469" s="86"/>
    </row>
    <row r="470" spans="1:74" s="87" customFormat="1" ht="28.5" x14ac:dyDescent="0.2">
      <c r="A470" s="76" t="s">
        <v>1468</v>
      </c>
      <c r="B470" s="77" t="s">
        <v>1469</v>
      </c>
      <c r="C470" s="41"/>
      <c r="D470" s="41"/>
      <c r="E470" s="41"/>
      <c r="F470" s="41"/>
      <c r="G470" s="41">
        <v>2617103970.4000001</v>
      </c>
      <c r="H470" s="41"/>
      <c r="I470" s="41"/>
      <c r="J470" s="41"/>
      <c r="K470" s="41"/>
      <c r="L470" s="41"/>
      <c r="M470" s="41"/>
      <c r="N470" s="41"/>
      <c r="O470" s="140">
        <f t="shared" si="217"/>
        <v>2617103970.4000001</v>
      </c>
      <c r="P470" s="111">
        <v>2617103970.4000001</v>
      </c>
      <c r="Q470" s="108">
        <f t="shared" si="241"/>
        <v>0</v>
      </c>
      <c r="R470" s="86"/>
      <c r="S470" s="86"/>
      <c r="T470" s="86"/>
      <c r="U470" s="86"/>
      <c r="V470" s="86"/>
      <c r="W470" s="86"/>
      <c r="X470" s="86"/>
      <c r="Y470" s="86"/>
      <c r="Z470" s="86"/>
      <c r="AA470" s="86"/>
      <c r="AB470" s="86"/>
      <c r="AC470" s="86"/>
      <c r="AD470" s="86"/>
      <c r="AE470" s="86"/>
      <c r="AF470" s="86"/>
      <c r="AG470" s="86"/>
      <c r="AH470" s="86"/>
      <c r="AI470" s="86"/>
      <c r="AJ470" s="86"/>
      <c r="AK470" s="86"/>
      <c r="AL470" s="86"/>
      <c r="AM470" s="86"/>
      <c r="AN470" s="86"/>
      <c r="AO470" s="86"/>
      <c r="AP470" s="86"/>
      <c r="AQ470" s="86"/>
      <c r="AR470" s="86"/>
      <c r="AS470" s="86"/>
      <c r="AT470" s="86"/>
      <c r="AU470" s="86"/>
      <c r="AV470" s="86"/>
      <c r="AW470" s="86"/>
      <c r="AX470" s="86"/>
      <c r="AY470" s="86"/>
      <c r="AZ470" s="86"/>
      <c r="BA470" s="86"/>
      <c r="BB470" s="86"/>
      <c r="BC470" s="86"/>
      <c r="BD470" s="86"/>
      <c r="BE470" s="86"/>
      <c r="BF470" s="86"/>
      <c r="BG470" s="86"/>
      <c r="BH470" s="86"/>
      <c r="BI470" s="86"/>
      <c r="BJ470" s="86"/>
      <c r="BK470" s="86"/>
      <c r="BL470" s="86"/>
      <c r="BM470" s="86"/>
      <c r="BN470" s="86"/>
      <c r="BO470" s="86"/>
      <c r="BP470" s="86"/>
      <c r="BQ470" s="86"/>
      <c r="BR470" s="86"/>
      <c r="BS470" s="86"/>
      <c r="BT470" s="86"/>
      <c r="BU470" s="86"/>
      <c r="BV470" s="86"/>
    </row>
    <row r="471" spans="1:74" s="112" customFormat="1" ht="30" x14ac:dyDescent="0.2">
      <c r="A471" s="81" t="s">
        <v>1470</v>
      </c>
      <c r="B471" s="194" t="s">
        <v>1471</v>
      </c>
      <c r="C471" s="146">
        <f>SUM(C472:C476)</f>
        <v>0</v>
      </c>
      <c r="D471" s="146">
        <f>SUM(D472:D476)</f>
        <v>0</v>
      </c>
      <c r="E471" s="146">
        <f>SUM(E472:E476)</f>
        <v>0</v>
      </c>
      <c r="F471" s="146">
        <f t="shared" ref="F471:N471" si="243">SUM(F472:F476)</f>
        <v>0</v>
      </c>
      <c r="G471" s="146">
        <f>SUM(G472:G476)</f>
        <v>5392091029.4700003</v>
      </c>
      <c r="H471" s="146">
        <f t="shared" si="243"/>
        <v>0</v>
      </c>
      <c r="I471" s="146">
        <f t="shared" si="243"/>
        <v>0</v>
      </c>
      <c r="J471" s="146">
        <f t="shared" si="243"/>
        <v>0</v>
      </c>
      <c r="K471" s="146">
        <f t="shared" si="243"/>
        <v>0</v>
      </c>
      <c r="L471" s="146">
        <f t="shared" si="243"/>
        <v>0</v>
      </c>
      <c r="M471" s="146">
        <f t="shared" si="243"/>
        <v>0</v>
      </c>
      <c r="N471" s="146">
        <f t="shared" si="243"/>
        <v>0</v>
      </c>
      <c r="O471" s="309">
        <f t="shared" si="217"/>
        <v>5392091029.4700003</v>
      </c>
      <c r="P471" s="86">
        <v>5392091029.4700003</v>
      </c>
      <c r="Q471" s="108">
        <f t="shared" si="241"/>
        <v>0</v>
      </c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1"/>
      <c r="AM471" s="111"/>
      <c r="AN471" s="111"/>
      <c r="AO471" s="111"/>
      <c r="AP471" s="111"/>
      <c r="AQ471" s="111"/>
      <c r="AR471" s="111"/>
      <c r="AS471" s="111"/>
      <c r="AT471" s="111"/>
      <c r="AU471" s="111"/>
      <c r="AV471" s="111"/>
      <c r="AW471" s="111"/>
      <c r="AX471" s="111"/>
      <c r="AY471" s="111"/>
      <c r="AZ471" s="111"/>
      <c r="BA471" s="111"/>
      <c r="BB471" s="111"/>
      <c r="BC471" s="111"/>
      <c r="BD471" s="111"/>
      <c r="BE471" s="111"/>
      <c r="BF471" s="111"/>
      <c r="BG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V471" s="111"/>
    </row>
    <row r="472" spans="1:74" s="87" customFormat="1" ht="28.5" x14ac:dyDescent="0.2">
      <c r="A472" s="76" t="s">
        <v>1472</v>
      </c>
      <c r="B472" s="77" t="s">
        <v>1473</v>
      </c>
      <c r="C472" s="41"/>
      <c r="D472" s="41"/>
      <c r="E472" s="41"/>
      <c r="F472" s="41"/>
      <c r="G472" s="41">
        <v>3243305814.75</v>
      </c>
      <c r="H472" s="41"/>
      <c r="I472" s="41"/>
      <c r="J472" s="41"/>
      <c r="K472" s="41"/>
      <c r="L472" s="41"/>
      <c r="M472" s="41"/>
      <c r="N472" s="41"/>
      <c r="O472" s="140">
        <f t="shared" si="217"/>
        <v>3243305814.75</v>
      </c>
      <c r="P472" s="111">
        <v>3243305814.75</v>
      </c>
      <c r="Q472" s="108">
        <f t="shared" si="241"/>
        <v>0</v>
      </c>
      <c r="R472" s="86"/>
      <c r="S472" s="86"/>
      <c r="T472" s="86"/>
      <c r="U472" s="86"/>
      <c r="V472" s="86"/>
      <c r="W472" s="86"/>
      <c r="X472" s="86"/>
      <c r="Y472" s="86"/>
      <c r="Z472" s="86"/>
      <c r="AA472" s="86"/>
      <c r="AB472" s="86"/>
      <c r="AC472" s="86"/>
      <c r="AD472" s="86"/>
      <c r="AE472" s="86"/>
      <c r="AF472" s="86"/>
      <c r="AG472" s="86"/>
      <c r="AH472" s="86"/>
      <c r="AI472" s="86"/>
      <c r="AJ472" s="86"/>
      <c r="AK472" s="86"/>
      <c r="AL472" s="86"/>
      <c r="AM472" s="86"/>
      <c r="AN472" s="86"/>
      <c r="AO472" s="86"/>
      <c r="AP472" s="86"/>
      <c r="AQ472" s="86"/>
      <c r="AR472" s="86"/>
      <c r="AS472" s="86"/>
      <c r="AT472" s="86"/>
      <c r="AU472" s="86"/>
      <c r="AV472" s="86"/>
      <c r="AW472" s="86"/>
      <c r="AX472" s="86"/>
      <c r="AY472" s="86"/>
      <c r="AZ472" s="86"/>
      <c r="BA472" s="86"/>
      <c r="BB472" s="86"/>
      <c r="BC472" s="86"/>
      <c r="BD472" s="86"/>
      <c r="BE472" s="86"/>
      <c r="BF472" s="86"/>
      <c r="BG472" s="86"/>
      <c r="BH472" s="86"/>
      <c r="BI472" s="86"/>
      <c r="BJ472" s="86"/>
      <c r="BK472" s="86"/>
      <c r="BL472" s="86"/>
      <c r="BM472" s="86"/>
      <c r="BN472" s="86"/>
      <c r="BO472" s="86"/>
      <c r="BP472" s="86"/>
      <c r="BQ472" s="86"/>
      <c r="BR472" s="86"/>
      <c r="BS472" s="86"/>
      <c r="BT472" s="86"/>
      <c r="BU472" s="86"/>
      <c r="BV472" s="86"/>
    </row>
    <row r="473" spans="1:74" s="87" customFormat="1" ht="28.5" x14ac:dyDescent="0.2">
      <c r="A473" s="76" t="s">
        <v>1474</v>
      </c>
      <c r="B473" s="77" t="s">
        <v>1475</v>
      </c>
      <c r="C473" s="41"/>
      <c r="D473" s="41"/>
      <c r="E473" s="41"/>
      <c r="F473" s="41"/>
      <c r="G473" s="41">
        <v>518928930.36000001</v>
      </c>
      <c r="H473" s="41"/>
      <c r="I473" s="41"/>
      <c r="J473" s="41"/>
      <c r="K473" s="41"/>
      <c r="L473" s="41"/>
      <c r="M473" s="41"/>
      <c r="N473" s="41"/>
      <c r="O473" s="140">
        <f t="shared" si="217"/>
        <v>518928930.36000001</v>
      </c>
      <c r="P473" s="86">
        <v>518928930.36000001</v>
      </c>
      <c r="Q473" s="108">
        <f t="shared" si="241"/>
        <v>0</v>
      </c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  <c r="AK473" s="86"/>
      <c r="AL473" s="86"/>
      <c r="AM473" s="86"/>
      <c r="AN473" s="86"/>
      <c r="AO473" s="86"/>
      <c r="AP473" s="86"/>
      <c r="AQ473" s="86"/>
      <c r="AR473" s="86"/>
      <c r="AS473" s="86"/>
      <c r="AT473" s="86"/>
      <c r="AU473" s="86"/>
      <c r="AV473" s="86"/>
      <c r="AW473" s="86"/>
      <c r="AX473" s="86"/>
      <c r="AY473" s="86"/>
      <c r="AZ473" s="86"/>
      <c r="BA473" s="86"/>
      <c r="BB473" s="86"/>
      <c r="BC473" s="86"/>
      <c r="BD473" s="86"/>
      <c r="BE473" s="86"/>
      <c r="BF473" s="86"/>
      <c r="BG473" s="86"/>
      <c r="BH473" s="86"/>
      <c r="BI473" s="86"/>
      <c r="BJ473" s="86"/>
      <c r="BK473" s="86"/>
      <c r="BL473" s="86"/>
      <c r="BM473" s="86"/>
      <c r="BN473" s="86"/>
      <c r="BO473" s="86"/>
      <c r="BP473" s="86"/>
      <c r="BQ473" s="86"/>
      <c r="BR473" s="86"/>
      <c r="BS473" s="86"/>
      <c r="BT473" s="86"/>
      <c r="BU473" s="86"/>
      <c r="BV473" s="86"/>
    </row>
    <row r="474" spans="1:74" s="87" customFormat="1" ht="28.5" x14ac:dyDescent="0.2">
      <c r="A474" s="76" t="s">
        <v>1476</v>
      </c>
      <c r="B474" s="77" t="s">
        <v>1477</v>
      </c>
      <c r="C474" s="41"/>
      <c r="D474" s="41"/>
      <c r="E474" s="41"/>
      <c r="F474" s="41"/>
      <c r="G474" s="41">
        <v>346052620.24000001</v>
      </c>
      <c r="H474" s="41"/>
      <c r="I474" s="41"/>
      <c r="J474" s="41"/>
      <c r="K474" s="41"/>
      <c r="L474" s="41"/>
      <c r="M474" s="41"/>
      <c r="N474" s="41"/>
      <c r="O474" s="140">
        <f t="shared" si="217"/>
        <v>346052620.24000001</v>
      </c>
      <c r="P474" s="111">
        <v>346052620.24000001</v>
      </c>
      <c r="Q474" s="108">
        <f t="shared" si="241"/>
        <v>0</v>
      </c>
      <c r="R474" s="86"/>
      <c r="S474" s="86"/>
      <c r="T474" s="86"/>
      <c r="U474" s="86"/>
      <c r="V474" s="86"/>
      <c r="W474" s="86"/>
      <c r="X474" s="86"/>
      <c r="Y474" s="86"/>
      <c r="Z474" s="86"/>
      <c r="AA474" s="86"/>
      <c r="AB474" s="86"/>
      <c r="AC474" s="86"/>
      <c r="AD474" s="86"/>
      <c r="AE474" s="86"/>
      <c r="AF474" s="86"/>
      <c r="AG474" s="86"/>
      <c r="AH474" s="86"/>
      <c r="AI474" s="86"/>
      <c r="AJ474" s="86"/>
      <c r="AK474" s="86"/>
      <c r="AL474" s="86"/>
      <c r="AM474" s="86"/>
      <c r="AN474" s="86"/>
      <c r="AO474" s="86"/>
      <c r="AP474" s="86"/>
      <c r="AQ474" s="86"/>
      <c r="AR474" s="86"/>
      <c r="AS474" s="86"/>
      <c r="AT474" s="86"/>
      <c r="AU474" s="86"/>
      <c r="AV474" s="86"/>
      <c r="AW474" s="86"/>
      <c r="AX474" s="86"/>
      <c r="AY474" s="86"/>
      <c r="AZ474" s="86"/>
      <c r="BA474" s="86"/>
      <c r="BB474" s="86"/>
      <c r="BC474" s="86"/>
      <c r="BD474" s="86"/>
      <c r="BE474" s="86"/>
      <c r="BF474" s="86"/>
      <c r="BG474" s="86"/>
      <c r="BH474" s="86"/>
      <c r="BI474" s="86"/>
      <c r="BJ474" s="86"/>
      <c r="BK474" s="86"/>
      <c r="BL474" s="86"/>
      <c r="BM474" s="86"/>
      <c r="BN474" s="86"/>
      <c r="BO474" s="86"/>
      <c r="BP474" s="86"/>
      <c r="BQ474" s="86"/>
      <c r="BR474" s="86"/>
      <c r="BS474" s="86"/>
      <c r="BT474" s="86"/>
      <c r="BU474" s="86"/>
      <c r="BV474" s="86"/>
    </row>
    <row r="475" spans="1:74" s="87" customFormat="1" ht="28.5" x14ac:dyDescent="0.2">
      <c r="A475" s="76" t="s">
        <v>1478</v>
      </c>
      <c r="B475" s="77" t="s">
        <v>1479</v>
      </c>
      <c r="C475" s="41"/>
      <c r="D475" s="41"/>
      <c r="E475" s="41"/>
      <c r="F475" s="41"/>
      <c r="G475" s="41">
        <v>790282198.47000003</v>
      </c>
      <c r="H475" s="41"/>
      <c r="I475" s="41"/>
      <c r="J475" s="41"/>
      <c r="K475" s="41"/>
      <c r="L475" s="41"/>
      <c r="M475" s="41"/>
      <c r="N475" s="41"/>
      <c r="O475" s="140">
        <f t="shared" si="217"/>
        <v>790282198.47000003</v>
      </c>
      <c r="P475" s="86">
        <v>790282198.47000003</v>
      </c>
      <c r="Q475" s="108">
        <f t="shared" si="241"/>
        <v>0</v>
      </c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  <c r="AK475" s="86"/>
      <c r="AL475" s="86"/>
      <c r="AM475" s="86"/>
      <c r="AN475" s="86"/>
      <c r="AO475" s="86"/>
      <c r="AP475" s="86"/>
      <c r="AQ475" s="86"/>
      <c r="AR475" s="86"/>
      <c r="AS475" s="86"/>
      <c r="AT475" s="86"/>
      <c r="AU475" s="86"/>
      <c r="AV475" s="86"/>
      <c r="AW475" s="86"/>
      <c r="AX475" s="86"/>
      <c r="AY475" s="86"/>
      <c r="AZ475" s="86"/>
      <c r="BA475" s="86"/>
      <c r="BB475" s="86"/>
      <c r="BC475" s="86"/>
      <c r="BD475" s="86"/>
      <c r="BE475" s="86"/>
      <c r="BF475" s="86"/>
      <c r="BG475" s="86"/>
      <c r="BH475" s="86"/>
      <c r="BI475" s="86"/>
      <c r="BJ475" s="86"/>
      <c r="BK475" s="86"/>
      <c r="BL475" s="86"/>
      <c r="BM475" s="86"/>
      <c r="BN475" s="86"/>
      <c r="BO475" s="86"/>
      <c r="BP475" s="86"/>
      <c r="BQ475" s="86"/>
      <c r="BR475" s="86"/>
      <c r="BS475" s="86"/>
      <c r="BT475" s="86"/>
      <c r="BU475" s="86"/>
      <c r="BV475" s="86"/>
    </row>
    <row r="476" spans="1:74" s="87" customFormat="1" ht="28.5" x14ac:dyDescent="0.2">
      <c r="A476" s="76" t="s">
        <v>1480</v>
      </c>
      <c r="B476" s="77" t="s">
        <v>1481</v>
      </c>
      <c r="C476" s="41"/>
      <c r="D476" s="41"/>
      <c r="E476" s="41"/>
      <c r="F476" s="41"/>
      <c r="G476" s="41">
        <v>493521465.64999998</v>
      </c>
      <c r="H476" s="41"/>
      <c r="I476" s="41"/>
      <c r="J476" s="41"/>
      <c r="K476" s="41"/>
      <c r="L476" s="41"/>
      <c r="M476" s="41"/>
      <c r="N476" s="41"/>
      <c r="O476" s="140">
        <f t="shared" si="217"/>
        <v>493521465.64999998</v>
      </c>
      <c r="P476" s="111">
        <v>493521465.64999998</v>
      </c>
      <c r="Q476" s="108">
        <f t="shared" si="241"/>
        <v>0</v>
      </c>
      <c r="R476" s="86"/>
      <c r="S476" s="86"/>
      <c r="T476" s="86"/>
      <c r="U476" s="86"/>
      <c r="V476" s="86"/>
      <c r="W476" s="86"/>
      <c r="X476" s="86"/>
      <c r="Y476" s="86"/>
      <c r="Z476" s="86"/>
      <c r="AA476" s="86"/>
      <c r="AB476" s="86"/>
      <c r="AC476" s="86"/>
      <c r="AD476" s="86"/>
      <c r="AE476" s="86"/>
      <c r="AF476" s="86"/>
      <c r="AG476" s="86"/>
      <c r="AH476" s="86"/>
      <c r="AI476" s="86"/>
      <c r="AJ476" s="86"/>
      <c r="AK476" s="86"/>
      <c r="AL476" s="86"/>
      <c r="AM476" s="86"/>
      <c r="AN476" s="86"/>
      <c r="AO476" s="86"/>
      <c r="AP476" s="86"/>
      <c r="AQ476" s="86"/>
      <c r="AR476" s="86"/>
      <c r="AS476" s="86"/>
      <c r="AT476" s="86"/>
      <c r="AU476" s="86"/>
      <c r="AV476" s="86"/>
      <c r="AW476" s="86"/>
      <c r="AX476" s="86"/>
      <c r="AY476" s="86"/>
      <c r="AZ476" s="86"/>
      <c r="BA476" s="86"/>
      <c r="BB476" s="86"/>
      <c r="BC476" s="86"/>
      <c r="BD476" s="86"/>
      <c r="BE476" s="86"/>
      <c r="BF476" s="86"/>
      <c r="BG476" s="86"/>
      <c r="BH476" s="86"/>
      <c r="BI476" s="86"/>
      <c r="BJ476" s="86"/>
      <c r="BK476" s="86"/>
      <c r="BL476" s="86"/>
      <c r="BM476" s="86"/>
      <c r="BN476" s="86"/>
      <c r="BO476" s="86"/>
      <c r="BP476" s="86"/>
      <c r="BQ476" s="86"/>
      <c r="BR476" s="86"/>
      <c r="BS476" s="86"/>
      <c r="BT476" s="86"/>
      <c r="BU476" s="86"/>
      <c r="BV476" s="86"/>
    </row>
    <row r="477" spans="1:74" s="112" customFormat="1" ht="31.5" x14ac:dyDescent="0.2">
      <c r="A477" s="81" t="s">
        <v>1482</v>
      </c>
      <c r="B477" s="79" t="s">
        <v>1483</v>
      </c>
      <c r="C477" s="146">
        <f>SUM(C478:C481)</f>
        <v>0</v>
      </c>
      <c r="D477" s="146">
        <f>SUM(D478:D481)</f>
        <v>0</v>
      </c>
      <c r="E477" s="146">
        <f>SUM(E478:E481)</f>
        <v>0</v>
      </c>
      <c r="F477" s="146">
        <f t="shared" ref="F477:N477" si="244">SUM(F478:F481)</f>
        <v>0</v>
      </c>
      <c r="G477" s="146">
        <f>SUM(G478:G481)</f>
        <v>8438554129.0799999</v>
      </c>
      <c r="H477" s="146">
        <f t="shared" si="244"/>
        <v>0</v>
      </c>
      <c r="I477" s="146">
        <f t="shared" si="244"/>
        <v>0</v>
      </c>
      <c r="J477" s="146">
        <f t="shared" si="244"/>
        <v>0</v>
      </c>
      <c r="K477" s="146">
        <f t="shared" si="244"/>
        <v>0</v>
      </c>
      <c r="L477" s="146">
        <f t="shared" si="244"/>
        <v>0</v>
      </c>
      <c r="M477" s="146">
        <f t="shared" si="244"/>
        <v>0</v>
      </c>
      <c r="N477" s="146">
        <f t="shared" si="244"/>
        <v>0</v>
      </c>
      <c r="O477" s="309">
        <f t="shared" si="217"/>
        <v>8438554129.0799999</v>
      </c>
      <c r="P477" s="86">
        <v>8438554129.0799999</v>
      </c>
      <c r="Q477" s="108">
        <f t="shared" si="241"/>
        <v>0</v>
      </c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  <c r="AN477" s="111"/>
      <c r="AO477" s="111"/>
      <c r="AP477" s="111"/>
      <c r="AQ477" s="111"/>
      <c r="AR477" s="111"/>
      <c r="AS477" s="111"/>
      <c r="AT477" s="111"/>
      <c r="AU477" s="111"/>
      <c r="AV477" s="111"/>
      <c r="AW477" s="111"/>
      <c r="AX477" s="111"/>
      <c r="AY477" s="111"/>
      <c r="AZ477" s="111"/>
      <c r="BA477" s="111"/>
      <c r="BB477" s="111"/>
      <c r="BC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V477" s="111"/>
    </row>
    <row r="478" spans="1:74" s="87" customFormat="1" ht="28.5" x14ac:dyDescent="0.2">
      <c r="A478" s="76" t="s">
        <v>1484</v>
      </c>
      <c r="B478" s="77" t="s">
        <v>1485</v>
      </c>
      <c r="C478" s="41"/>
      <c r="D478" s="41"/>
      <c r="E478" s="41"/>
      <c r="F478" s="41"/>
      <c r="G478" s="41">
        <v>2671945846.21</v>
      </c>
      <c r="H478" s="41"/>
      <c r="I478" s="41"/>
      <c r="J478" s="41"/>
      <c r="K478" s="41"/>
      <c r="L478" s="41"/>
      <c r="M478" s="41"/>
      <c r="N478" s="41"/>
      <c r="O478" s="140">
        <f t="shared" si="217"/>
        <v>2671945846.21</v>
      </c>
      <c r="P478" s="111">
        <v>2671945846.21</v>
      </c>
      <c r="Q478" s="108">
        <f t="shared" si="241"/>
        <v>0</v>
      </c>
      <c r="R478" s="86"/>
      <c r="S478" s="86"/>
      <c r="T478" s="86"/>
      <c r="U478" s="86"/>
      <c r="V478" s="86"/>
      <c r="W478" s="86"/>
      <c r="X478" s="86"/>
      <c r="Y478" s="86"/>
      <c r="Z478" s="86"/>
      <c r="AA478" s="86"/>
      <c r="AB478" s="86"/>
      <c r="AC478" s="86"/>
      <c r="AD478" s="86"/>
      <c r="AE478" s="86"/>
      <c r="AF478" s="86"/>
      <c r="AG478" s="86"/>
      <c r="AH478" s="86"/>
      <c r="AI478" s="86"/>
      <c r="AJ478" s="86"/>
      <c r="AK478" s="86"/>
      <c r="AL478" s="86"/>
      <c r="AM478" s="86"/>
      <c r="AN478" s="86"/>
      <c r="AO478" s="86"/>
      <c r="AP478" s="86"/>
      <c r="AQ478" s="86"/>
      <c r="AR478" s="86"/>
      <c r="AS478" s="86"/>
      <c r="AT478" s="86"/>
      <c r="AU478" s="86"/>
      <c r="AV478" s="86"/>
      <c r="AW478" s="86"/>
      <c r="AX478" s="86"/>
      <c r="AY478" s="86"/>
      <c r="AZ478" s="86"/>
      <c r="BA478" s="86"/>
      <c r="BB478" s="86"/>
      <c r="BC478" s="86"/>
      <c r="BD478" s="86"/>
      <c r="BE478" s="86"/>
      <c r="BF478" s="86"/>
      <c r="BG478" s="86"/>
      <c r="BH478" s="86"/>
      <c r="BI478" s="86"/>
      <c r="BJ478" s="86"/>
      <c r="BK478" s="86"/>
      <c r="BL478" s="86"/>
      <c r="BM478" s="86"/>
      <c r="BN478" s="86"/>
      <c r="BO478" s="86"/>
      <c r="BP478" s="86"/>
      <c r="BQ478" s="86"/>
      <c r="BR478" s="86"/>
      <c r="BS478" s="86"/>
      <c r="BT478" s="86"/>
      <c r="BU478" s="86"/>
      <c r="BV478" s="86"/>
    </row>
    <row r="479" spans="1:74" s="87" customFormat="1" ht="42.75" x14ac:dyDescent="0.2">
      <c r="A479" s="76" t="s">
        <v>1486</v>
      </c>
      <c r="B479" s="77" t="s">
        <v>1487</v>
      </c>
      <c r="C479" s="41"/>
      <c r="D479" s="41"/>
      <c r="E479" s="41"/>
      <c r="F479" s="41"/>
      <c r="G479" s="41">
        <v>2934254218.5999999</v>
      </c>
      <c r="H479" s="41"/>
      <c r="I479" s="41"/>
      <c r="J479" s="41"/>
      <c r="K479" s="41"/>
      <c r="L479" s="41"/>
      <c r="M479" s="41"/>
      <c r="N479" s="41"/>
      <c r="O479" s="140">
        <f t="shared" si="217"/>
        <v>2934254218.5999999</v>
      </c>
      <c r="P479" s="86">
        <v>2934254218.5999999</v>
      </c>
      <c r="Q479" s="108">
        <f t="shared" si="241"/>
        <v>0</v>
      </c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  <c r="AK479" s="86"/>
      <c r="AL479" s="86"/>
      <c r="AM479" s="86"/>
      <c r="AN479" s="86"/>
      <c r="AO479" s="86"/>
      <c r="AP479" s="86"/>
      <c r="AQ479" s="86"/>
      <c r="AR479" s="86"/>
      <c r="AS479" s="86"/>
      <c r="AT479" s="86"/>
      <c r="AU479" s="86"/>
      <c r="AV479" s="86"/>
      <c r="AW479" s="86"/>
      <c r="AX479" s="86"/>
      <c r="AY479" s="86"/>
      <c r="AZ479" s="86"/>
      <c r="BA479" s="86"/>
      <c r="BB479" s="86"/>
      <c r="BC479" s="86"/>
      <c r="BD479" s="86"/>
      <c r="BE479" s="86"/>
      <c r="BF479" s="86"/>
      <c r="BG479" s="86"/>
      <c r="BH479" s="86"/>
      <c r="BI479" s="86"/>
      <c r="BJ479" s="86"/>
      <c r="BK479" s="86"/>
      <c r="BL479" s="86"/>
      <c r="BM479" s="86"/>
      <c r="BN479" s="86"/>
      <c r="BO479" s="86"/>
      <c r="BP479" s="86"/>
      <c r="BQ479" s="86"/>
      <c r="BR479" s="86"/>
      <c r="BS479" s="86"/>
      <c r="BT479" s="86"/>
      <c r="BU479" s="86"/>
      <c r="BV479" s="86"/>
    </row>
    <row r="480" spans="1:74" s="87" customFormat="1" ht="28.5" x14ac:dyDescent="0.2">
      <c r="A480" s="76" t="s">
        <v>1488</v>
      </c>
      <c r="B480" s="77" t="s">
        <v>1489</v>
      </c>
      <c r="C480" s="41"/>
      <c r="D480" s="41"/>
      <c r="E480" s="41"/>
      <c r="F480" s="41"/>
      <c r="G480" s="41">
        <v>61272454.5</v>
      </c>
      <c r="H480" s="41"/>
      <c r="I480" s="41"/>
      <c r="J480" s="41"/>
      <c r="K480" s="41"/>
      <c r="L480" s="41"/>
      <c r="M480" s="41"/>
      <c r="N480" s="41"/>
      <c r="O480" s="140">
        <f t="shared" si="217"/>
        <v>61272454.5</v>
      </c>
      <c r="P480" s="111">
        <v>61272454.5</v>
      </c>
      <c r="Q480" s="108">
        <f t="shared" si="241"/>
        <v>0</v>
      </c>
      <c r="R480" s="86"/>
      <c r="S480" s="86"/>
      <c r="T480" s="86"/>
      <c r="U480" s="86"/>
      <c r="V480" s="86"/>
      <c r="W480" s="86"/>
      <c r="X480" s="86"/>
      <c r="Y480" s="86"/>
      <c r="Z480" s="86"/>
      <c r="AA480" s="86"/>
      <c r="AB480" s="86"/>
      <c r="AC480" s="86"/>
      <c r="AD480" s="86"/>
      <c r="AE480" s="86"/>
      <c r="AF480" s="86"/>
      <c r="AG480" s="86"/>
      <c r="AH480" s="86"/>
      <c r="AI480" s="86"/>
      <c r="AJ480" s="86"/>
      <c r="AK480" s="86"/>
      <c r="AL480" s="86"/>
      <c r="AM480" s="86"/>
      <c r="AN480" s="86"/>
      <c r="AO480" s="86"/>
      <c r="AP480" s="86"/>
      <c r="AQ480" s="86"/>
      <c r="AR480" s="86"/>
      <c r="AS480" s="86"/>
      <c r="AT480" s="86"/>
      <c r="AU480" s="86"/>
      <c r="AV480" s="86"/>
      <c r="AW480" s="86"/>
      <c r="AX480" s="86"/>
      <c r="AY480" s="86"/>
      <c r="AZ480" s="86"/>
      <c r="BA480" s="86"/>
      <c r="BB480" s="86"/>
      <c r="BC480" s="86"/>
      <c r="BD480" s="86"/>
      <c r="BE480" s="86"/>
      <c r="BF480" s="86"/>
      <c r="BG480" s="86"/>
      <c r="BH480" s="86"/>
      <c r="BI480" s="86"/>
      <c r="BJ480" s="86"/>
      <c r="BK480" s="86"/>
      <c r="BL480" s="86"/>
      <c r="BM480" s="86"/>
      <c r="BN480" s="86"/>
      <c r="BO480" s="86"/>
      <c r="BP480" s="86"/>
      <c r="BQ480" s="86"/>
      <c r="BR480" s="86"/>
      <c r="BS480" s="86"/>
      <c r="BT480" s="86"/>
      <c r="BU480" s="86"/>
      <c r="BV480" s="86"/>
    </row>
    <row r="481" spans="1:74" s="87" customFormat="1" ht="28.5" x14ac:dyDescent="0.2">
      <c r="A481" s="76" t="s">
        <v>1490</v>
      </c>
      <c r="B481" s="77" t="s">
        <v>1491</v>
      </c>
      <c r="C481" s="41"/>
      <c r="D481" s="41"/>
      <c r="E481" s="41"/>
      <c r="F481" s="41"/>
      <c r="G481" s="41">
        <v>2771081609.77</v>
      </c>
      <c r="H481" s="41"/>
      <c r="I481" s="41"/>
      <c r="J481" s="41"/>
      <c r="K481" s="41"/>
      <c r="L481" s="41"/>
      <c r="M481" s="41"/>
      <c r="N481" s="41"/>
      <c r="O481" s="140">
        <f t="shared" si="217"/>
        <v>2771081609.77</v>
      </c>
      <c r="P481" s="86">
        <v>2771081609.77</v>
      </c>
      <c r="Q481" s="108">
        <f t="shared" si="241"/>
        <v>0</v>
      </c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  <c r="AK481" s="86"/>
      <c r="AL481" s="86"/>
      <c r="AM481" s="86"/>
      <c r="AN481" s="86"/>
      <c r="AO481" s="86"/>
      <c r="AP481" s="86"/>
      <c r="AQ481" s="86"/>
      <c r="AR481" s="86"/>
      <c r="AS481" s="86"/>
      <c r="AT481" s="86"/>
      <c r="AU481" s="86"/>
      <c r="AV481" s="86"/>
      <c r="AW481" s="86"/>
      <c r="AX481" s="86"/>
      <c r="AY481" s="86"/>
      <c r="AZ481" s="86"/>
      <c r="BA481" s="86"/>
      <c r="BB481" s="86"/>
      <c r="BC481" s="86"/>
      <c r="BD481" s="86"/>
      <c r="BE481" s="86"/>
      <c r="BF481" s="86"/>
      <c r="BG481" s="86"/>
      <c r="BH481" s="86"/>
      <c r="BI481" s="86"/>
      <c r="BJ481" s="86"/>
      <c r="BK481" s="86"/>
      <c r="BL481" s="86"/>
      <c r="BM481" s="86"/>
      <c r="BN481" s="86"/>
      <c r="BO481" s="86"/>
      <c r="BP481" s="86"/>
      <c r="BQ481" s="86"/>
      <c r="BR481" s="86"/>
      <c r="BS481" s="86"/>
      <c r="BT481" s="86"/>
      <c r="BU481" s="86"/>
      <c r="BV481" s="86"/>
    </row>
    <row r="482" spans="1:74" s="112" customFormat="1" ht="15.75" x14ac:dyDescent="0.2">
      <c r="A482" s="81" t="s">
        <v>1492</v>
      </c>
      <c r="B482" s="79" t="s">
        <v>1493</v>
      </c>
      <c r="C482" s="146">
        <f>SUM(C483:C486)</f>
        <v>0</v>
      </c>
      <c r="D482" s="146">
        <f>SUM(D483:D486)</f>
        <v>0</v>
      </c>
      <c r="E482" s="146">
        <f>SUM(E483:E486)</f>
        <v>0</v>
      </c>
      <c r="F482" s="146">
        <f t="shared" ref="F482:N482" si="245">SUM(F483:F486)</f>
        <v>0</v>
      </c>
      <c r="G482" s="146">
        <f>SUM(G483:G486)</f>
        <v>6120619248.2299995</v>
      </c>
      <c r="H482" s="146">
        <f t="shared" si="245"/>
        <v>0</v>
      </c>
      <c r="I482" s="146">
        <f t="shared" si="245"/>
        <v>0</v>
      </c>
      <c r="J482" s="146">
        <f t="shared" si="245"/>
        <v>0</v>
      </c>
      <c r="K482" s="146">
        <f t="shared" si="245"/>
        <v>0</v>
      </c>
      <c r="L482" s="146">
        <f t="shared" si="245"/>
        <v>0</v>
      </c>
      <c r="M482" s="146">
        <f t="shared" si="245"/>
        <v>0</v>
      </c>
      <c r="N482" s="146">
        <f t="shared" si="245"/>
        <v>0</v>
      </c>
      <c r="O482" s="309">
        <f t="shared" si="217"/>
        <v>6120619248.2299995</v>
      </c>
      <c r="P482" s="111">
        <v>6120619248.2299995</v>
      </c>
      <c r="Q482" s="108">
        <f t="shared" si="241"/>
        <v>0</v>
      </c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  <c r="AX482" s="111"/>
      <c r="AY482" s="111"/>
      <c r="AZ482" s="111"/>
      <c r="BA482" s="111"/>
      <c r="BB482" s="111"/>
      <c r="BC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V482" s="111"/>
    </row>
    <row r="483" spans="1:74" s="87" customFormat="1" ht="14.25" x14ac:dyDescent="0.2">
      <c r="A483" s="76" t="s">
        <v>1494</v>
      </c>
      <c r="B483" s="77" t="s">
        <v>1495</v>
      </c>
      <c r="C483" s="41"/>
      <c r="D483" s="41"/>
      <c r="E483" s="41"/>
      <c r="F483" s="41"/>
      <c r="G483" s="41">
        <v>391955142.67000002</v>
      </c>
      <c r="H483" s="41"/>
      <c r="I483" s="41"/>
      <c r="J483" s="41"/>
      <c r="K483" s="41"/>
      <c r="L483" s="41"/>
      <c r="M483" s="41"/>
      <c r="N483" s="41"/>
      <c r="O483" s="140">
        <f t="shared" si="217"/>
        <v>391955142.67000002</v>
      </c>
      <c r="P483" s="86">
        <v>391955142.67000002</v>
      </c>
      <c r="Q483" s="108">
        <f t="shared" si="241"/>
        <v>0</v>
      </c>
      <c r="R483" s="86"/>
      <c r="S483" s="86"/>
      <c r="T483" s="86"/>
      <c r="U483" s="86"/>
      <c r="V483" s="86"/>
      <c r="W483" s="86"/>
      <c r="X483" s="86"/>
      <c r="Y483" s="86"/>
      <c r="Z483" s="86"/>
      <c r="AA483" s="86"/>
      <c r="AB483" s="86"/>
      <c r="AC483" s="86"/>
      <c r="AD483" s="86"/>
      <c r="AE483" s="86"/>
      <c r="AF483" s="86"/>
      <c r="AG483" s="86"/>
      <c r="AH483" s="86"/>
      <c r="AI483" s="86"/>
      <c r="AJ483" s="86"/>
      <c r="AK483" s="86"/>
      <c r="AL483" s="86"/>
      <c r="AM483" s="86"/>
      <c r="AN483" s="86"/>
      <c r="AO483" s="86"/>
      <c r="AP483" s="86"/>
      <c r="AQ483" s="86"/>
      <c r="AR483" s="86"/>
      <c r="AS483" s="86"/>
      <c r="AT483" s="86"/>
      <c r="AU483" s="86"/>
      <c r="AV483" s="86"/>
      <c r="AW483" s="86"/>
      <c r="AX483" s="86"/>
      <c r="AY483" s="86"/>
      <c r="AZ483" s="86"/>
      <c r="BA483" s="86"/>
      <c r="BB483" s="86"/>
      <c r="BC483" s="86"/>
      <c r="BD483" s="86"/>
      <c r="BE483" s="86"/>
      <c r="BF483" s="86"/>
      <c r="BG483" s="86"/>
      <c r="BH483" s="86"/>
      <c r="BI483" s="86"/>
      <c r="BJ483" s="86"/>
      <c r="BK483" s="86"/>
      <c r="BL483" s="86"/>
      <c r="BM483" s="86"/>
      <c r="BN483" s="86"/>
      <c r="BO483" s="86"/>
      <c r="BP483" s="86"/>
      <c r="BQ483" s="86"/>
      <c r="BR483" s="86"/>
      <c r="BS483" s="86"/>
      <c r="BT483" s="86"/>
      <c r="BU483" s="86"/>
      <c r="BV483" s="86"/>
    </row>
    <row r="484" spans="1:74" s="87" customFormat="1" ht="28.5" x14ac:dyDescent="0.2">
      <c r="A484" s="76" t="s">
        <v>1496</v>
      </c>
      <c r="B484" s="77" t="s">
        <v>1497</v>
      </c>
      <c r="C484" s="41"/>
      <c r="D484" s="41"/>
      <c r="E484" s="41"/>
      <c r="F484" s="41"/>
      <c r="G484" s="41">
        <v>469938850.06999999</v>
      </c>
      <c r="H484" s="41"/>
      <c r="I484" s="41"/>
      <c r="J484" s="41"/>
      <c r="K484" s="41"/>
      <c r="L484" s="41"/>
      <c r="M484" s="41"/>
      <c r="N484" s="41"/>
      <c r="O484" s="140">
        <f t="shared" si="217"/>
        <v>469938850.06999999</v>
      </c>
      <c r="P484" s="111">
        <v>469938850.06999999</v>
      </c>
      <c r="Q484" s="108">
        <f t="shared" si="241"/>
        <v>0</v>
      </c>
      <c r="R484" s="86"/>
      <c r="S484" s="86"/>
      <c r="T484" s="86"/>
      <c r="U484" s="86"/>
      <c r="V484" s="86"/>
      <c r="W484" s="86"/>
      <c r="X484" s="86"/>
      <c r="Y484" s="86"/>
      <c r="Z484" s="86"/>
      <c r="AA484" s="86"/>
      <c r="AB484" s="86"/>
      <c r="AC484" s="86"/>
      <c r="AD484" s="86"/>
      <c r="AE484" s="86"/>
      <c r="AF484" s="86"/>
      <c r="AG484" s="86"/>
      <c r="AH484" s="86"/>
      <c r="AI484" s="86"/>
      <c r="AJ484" s="86"/>
      <c r="AK484" s="86"/>
      <c r="AL484" s="86"/>
      <c r="AM484" s="86"/>
      <c r="AN484" s="86"/>
      <c r="AO484" s="86"/>
      <c r="AP484" s="86"/>
      <c r="AQ484" s="86"/>
      <c r="AR484" s="86"/>
      <c r="AS484" s="86"/>
      <c r="AT484" s="86"/>
      <c r="AU484" s="86"/>
      <c r="AV484" s="86"/>
      <c r="AW484" s="86"/>
      <c r="AX484" s="86"/>
      <c r="AY484" s="86"/>
      <c r="AZ484" s="86"/>
      <c r="BA484" s="86"/>
      <c r="BB484" s="86"/>
      <c r="BC484" s="86"/>
      <c r="BD484" s="86"/>
      <c r="BE484" s="86"/>
      <c r="BF484" s="86"/>
      <c r="BG484" s="86"/>
      <c r="BH484" s="86"/>
      <c r="BI484" s="86"/>
      <c r="BJ484" s="86"/>
      <c r="BK484" s="86"/>
      <c r="BL484" s="86"/>
      <c r="BM484" s="86"/>
      <c r="BN484" s="86"/>
      <c r="BO484" s="86"/>
      <c r="BP484" s="86"/>
      <c r="BQ484" s="86"/>
      <c r="BR484" s="86"/>
      <c r="BS484" s="86"/>
      <c r="BT484" s="86"/>
      <c r="BU484" s="86"/>
      <c r="BV484" s="86"/>
    </row>
    <row r="485" spans="1:74" s="87" customFormat="1" ht="28.5" x14ac:dyDescent="0.2">
      <c r="A485" s="76" t="s">
        <v>1498</v>
      </c>
      <c r="B485" s="77" t="s">
        <v>1499</v>
      </c>
      <c r="C485" s="41"/>
      <c r="D485" s="41"/>
      <c r="E485" s="41"/>
      <c r="F485" s="41"/>
      <c r="G485" s="41">
        <v>4878475057.2299995</v>
      </c>
      <c r="H485" s="41"/>
      <c r="I485" s="41"/>
      <c r="J485" s="41"/>
      <c r="K485" s="41"/>
      <c r="L485" s="41"/>
      <c r="M485" s="41"/>
      <c r="N485" s="41"/>
      <c r="O485" s="140">
        <f t="shared" si="217"/>
        <v>4878475057.2299995</v>
      </c>
      <c r="P485" s="86">
        <v>4878475057.2299995</v>
      </c>
      <c r="Q485" s="108">
        <f t="shared" si="241"/>
        <v>0</v>
      </c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  <c r="AK485" s="86"/>
      <c r="AL485" s="86"/>
      <c r="AM485" s="86"/>
      <c r="AN485" s="86"/>
      <c r="AO485" s="86"/>
      <c r="AP485" s="86"/>
      <c r="AQ485" s="86"/>
      <c r="AR485" s="86"/>
      <c r="AS485" s="86"/>
      <c r="AT485" s="86"/>
      <c r="AU485" s="86"/>
      <c r="AV485" s="86"/>
      <c r="AW485" s="86"/>
      <c r="AX485" s="86"/>
      <c r="AY485" s="86"/>
      <c r="AZ485" s="86"/>
      <c r="BA485" s="86"/>
      <c r="BB485" s="86"/>
      <c r="BC485" s="86"/>
      <c r="BD485" s="86"/>
      <c r="BE485" s="86"/>
      <c r="BF485" s="86"/>
      <c r="BG485" s="86"/>
      <c r="BH485" s="86"/>
      <c r="BI485" s="86"/>
      <c r="BJ485" s="86"/>
      <c r="BK485" s="86"/>
      <c r="BL485" s="86"/>
      <c r="BM485" s="86"/>
      <c r="BN485" s="86"/>
      <c r="BO485" s="86"/>
      <c r="BP485" s="86"/>
      <c r="BQ485" s="86"/>
      <c r="BR485" s="86"/>
      <c r="BS485" s="86"/>
      <c r="BT485" s="86"/>
      <c r="BU485" s="86"/>
      <c r="BV485" s="86"/>
    </row>
    <row r="486" spans="1:74" s="87" customFormat="1" ht="28.5" x14ac:dyDescent="0.2">
      <c r="A486" s="76" t="s">
        <v>1500</v>
      </c>
      <c r="B486" s="77" t="s">
        <v>1501</v>
      </c>
      <c r="C486" s="41"/>
      <c r="D486" s="41"/>
      <c r="E486" s="41"/>
      <c r="F486" s="41"/>
      <c r="G486" s="41">
        <v>380250198.25999999</v>
      </c>
      <c r="H486" s="41"/>
      <c r="I486" s="41"/>
      <c r="J486" s="41"/>
      <c r="K486" s="41"/>
      <c r="L486" s="41"/>
      <c r="M486" s="41"/>
      <c r="N486" s="41"/>
      <c r="O486" s="140">
        <f t="shared" si="217"/>
        <v>380250198.25999999</v>
      </c>
      <c r="P486" s="111">
        <v>380250198.25999999</v>
      </c>
      <c r="Q486" s="108">
        <f t="shared" si="241"/>
        <v>0</v>
      </c>
      <c r="R486" s="86"/>
      <c r="S486" s="86"/>
      <c r="T486" s="86"/>
      <c r="U486" s="86"/>
      <c r="V486" s="86"/>
      <c r="W486" s="86"/>
      <c r="X486" s="86"/>
      <c r="Y486" s="86"/>
      <c r="Z486" s="86"/>
      <c r="AA486" s="86"/>
      <c r="AB486" s="86"/>
      <c r="AC486" s="86"/>
      <c r="AD486" s="86"/>
      <c r="AE486" s="86"/>
      <c r="AF486" s="86"/>
      <c r="AG486" s="86"/>
      <c r="AH486" s="86"/>
      <c r="AI486" s="86"/>
      <c r="AJ486" s="86"/>
      <c r="AK486" s="86"/>
      <c r="AL486" s="86"/>
      <c r="AM486" s="86"/>
      <c r="AN486" s="86"/>
      <c r="AO486" s="86"/>
      <c r="AP486" s="86"/>
      <c r="AQ486" s="86"/>
      <c r="AR486" s="86"/>
      <c r="AS486" s="86"/>
      <c r="AT486" s="86"/>
      <c r="AU486" s="86"/>
      <c r="AV486" s="86"/>
      <c r="AW486" s="86"/>
      <c r="AX486" s="86"/>
      <c r="AY486" s="86"/>
      <c r="AZ486" s="86"/>
      <c r="BA486" s="86"/>
      <c r="BB486" s="86"/>
      <c r="BC486" s="86"/>
      <c r="BD486" s="86"/>
      <c r="BE486" s="86"/>
      <c r="BF486" s="86"/>
      <c r="BG486" s="86"/>
      <c r="BH486" s="86"/>
      <c r="BI486" s="86"/>
      <c r="BJ486" s="86"/>
      <c r="BK486" s="86"/>
      <c r="BL486" s="86"/>
      <c r="BM486" s="86"/>
      <c r="BN486" s="86"/>
      <c r="BO486" s="86"/>
      <c r="BP486" s="86"/>
      <c r="BQ486" s="86"/>
      <c r="BR486" s="86"/>
      <c r="BS486" s="86"/>
      <c r="BT486" s="86"/>
      <c r="BU486" s="86"/>
      <c r="BV486" s="86"/>
    </row>
    <row r="487" spans="1:74" s="112" customFormat="1" ht="15.75" x14ac:dyDescent="0.2">
      <c r="A487" s="81" t="s">
        <v>1502</v>
      </c>
      <c r="B487" s="79" t="s">
        <v>1503</v>
      </c>
      <c r="C487" s="146">
        <f>SUM(C488:C489)</f>
        <v>0</v>
      </c>
      <c r="D487" s="146">
        <f>SUM(D488:D489)</f>
        <v>0</v>
      </c>
      <c r="E487" s="146">
        <f>SUM(E488:E489)</f>
        <v>0</v>
      </c>
      <c r="F487" s="146">
        <f t="shared" ref="F487:N487" si="246">SUM(F488:F489)</f>
        <v>0</v>
      </c>
      <c r="G487" s="146">
        <f>SUM(G488:G489)</f>
        <v>27300121.359999999</v>
      </c>
      <c r="H487" s="146">
        <f t="shared" si="246"/>
        <v>0</v>
      </c>
      <c r="I487" s="146">
        <f t="shared" si="246"/>
        <v>0</v>
      </c>
      <c r="J487" s="146">
        <f t="shared" si="246"/>
        <v>0</v>
      </c>
      <c r="K487" s="146">
        <f t="shared" si="246"/>
        <v>0</v>
      </c>
      <c r="L487" s="146">
        <f t="shared" si="246"/>
        <v>0</v>
      </c>
      <c r="M487" s="146">
        <f t="shared" si="246"/>
        <v>0</v>
      </c>
      <c r="N487" s="146">
        <f t="shared" si="246"/>
        <v>0</v>
      </c>
      <c r="O487" s="309">
        <f t="shared" si="217"/>
        <v>27300121.359999999</v>
      </c>
      <c r="P487" s="86">
        <v>27300121.359999999</v>
      </c>
      <c r="Q487" s="108">
        <f t="shared" si="241"/>
        <v>0</v>
      </c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1"/>
      <c r="AM487" s="111"/>
      <c r="AN487" s="111"/>
      <c r="AO487" s="111"/>
      <c r="AP487" s="111"/>
      <c r="AQ487" s="111"/>
      <c r="AR487" s="111"/>
      <c r="AS487" s="111"/>
      <c r="AT487" s="111"/>
      <c r="AU487" s="111"/>
      <c r="AV487" s="111"/>
      <c r="AW487" s="111"/>
      <c r="AX487" s="111"/>
      <c r="AY487" s="111"/>
      <c r="AZ487" s="111"/>
      <c r="BA487" s="111"/>
      <c r="BB487" s="111"/>
      <c r="BC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V487" s="111"/>
    </row>
    <row r="488" spans="1:74" s="87" customFormat="1" ht="15.75" x14ac:dyDescent="0.2">
      <c r="A488" s="76" t="s">
        <v>1504</v>
      </c>
      <c r="B488" s="77" t="s">
        <v>1503</v>
      </c>
      <c r="C488" s="41"/>
      <c r="D488" s="41"/>
      <c r="E488" s="41"/>
      <c r="F488" s="41"/>
      <c r="G488" s="41">
        <v>2505946</v>
      </c>
      <c r="H488" s="41"/>
      <c r="I488" s="41"/>
      <c r="J488" s="41"/>
      <c r="K488" s="41"/>
      <c r="L488" s="41"/>
      <c r="M488" s="41"/>
      <c r="N488" s="41"/>
      <c r="O488" s="140">
        <f t="shared" si="217"/>
        <v>2505946</v>
      </c>
      <c r="P488" s="111">
        <v>2505946</v>
      </c>
      <c r="Q488" s="108">
        <f t="shared" si="241"/>
        <v>0</v>
      </c>
      <c r="R488" s="86"/>
      <c r="S488" s="86"/>
      <c r="T488" s="86"/>
      <c r="U488" s="86"/>
      <c r="V488" s="86"/>
      <c r="W488" s="86"/>
      <c r="X488" s="86"/>
      <c r="Y488" s="86"/>
      <c r="Z488" s="86"/>
      <c r="AA488" s="86"/>
      <c r="AB488" s="86"/>
      <c r="AC488" s="86"/>
      <c r="AD488" s="86"/>
      <c r="AE488" s="86"/>
      <c r="AF488" s="86"/>
      <c r="AG488" s="86"/>
      <c r="AH488" s="86"/>
      <c r="AI488" s="86"/>
      <c r="AJ488" s="86"/>
      <c r="AK488" s="86"/>
      <c r="AL488" s="86"/>
      <c r="AM488" s="86"/>
      <c r="AN488" s="86"/>
      <c r="AO488" s="86"/>
      <c r="AP488" s="86"/>
      <c r="AQ488" s="86"/>
      <c r="AR488" s="86"/>
      <c r="AS488" s="86"/>
      <c r="AT488" s="86"/>
      <c r="AU488" s="86"/>
      <c r="AV488" s="86"/>
      <c r="AW488" s="86"/>
      <c r="AX488" s="86"/>
      <c r="AY488" s="86"/>
      <c r="AZ488" s="86"/>
      <c r="BA488" s="86"/>
      <c r="BB488" s="86"/>
      <c r="BC488" s="86"/>
      <c r="BD488" s="86"/>
      <c r="BE488" s="86"/>
      <c r="BF488" s="86"/>
      <c r="BG488" s="86"/>
      <c r="BH488" s="86"/>
      <c r="BI488" s="86"/>
      <c r="BJ488" s="86"/>
      <c r="BK488" s="86"/>
      <c r="BL488" s="86"/>
      <c r="BM488" s="86"/>
      <c r="BN488" s="86"/>
      <c r="BO488" s="86"/>
      <c r="BP488" s="86"/>
      <c r="BQ488" s="86"/>
      <c r="BR488" s="86"/>
      <c r="BS488" s="86"/>
      <c r="BT488" s="86"/>
      <c r="BU488" s="86"/>
      <c r="BV488" s="86"/>
    </row>
    <row r="489" spans="1:74" s="87" customFormat="1" ht="28.5" x14ac:dyDescent="0.2">
      <c r="A489" s="76" t="s">
        <v>1505</v>
      </c>
      <c r="B489" s="77" t="s">
        <v>1506</v>
      </c>
      <c r="C489" s="41"/>
      <c r="D489" s="41"/>
      <c r="E489" s="41"/>
      <c r="F489" s="41"/>
      <c r="G489" s="41">
        <v>24794175.359999999</v>
      </c>
      <c r="H489" s="41"/>
      <c r="I489" s="41"/>
      <c r="J489" s="41"/>
      <c r="K489" s="41"/>
      <c r="L489" s="41"/>
      <c r="M489" s="41"/>
      <c r="N489" s="41"/>
      <c r="O489" s="140">
        <f t="shared" si="217"/>
        <v>24794175.359999999</v>
      </c>
      <c r="P489" s="86">
        <v>24794175.359999999</v>
      </c>
      <c r="Q489" s="108">
        <f t="shared" si="241"/>
        <v>0</v>
      </c>
      <c r="R489" s="86"/>
      <c r="S489" s="86"/>
      <c r="T489" s="86"/>
      <c r="U489" s="86"/>
      <c r="V489" s="86"/>
      <c r="W489" s="86"/>
      <c r="X489" s="86"/>
      <c r="Y489" s="86"/>
      <c r="Z489" s="86"/>
      <c r="AA489" s="86"/>
      <c r="AB489" s="86"/>
      <c r="AC489" s="86"/>
      <c r="AD489" s="86"/>
      <c r="AE489" s="86"/>
      <c r="AF489" s="86"/>
      <c r="AG489" s="86"/>
      <c r="AH489" s="86"/>
      <c r="AI489" s="86"/>
      <c r="AJ489" s="86"/>
      <c r="AK489" s="86"/>
      <c r="AL489" s="86"/>
      <c r="AM489" s="86"/>
      <c r="AN489" s="86"/>
      <c r="AO489" s="86"/>
      <c r="AP489" s="86"/>
      <c r="AQ489" s="86"/>
      <c r="AR489" s="86"/>
      <c r="AS489" s="86"/>
      <c r="AT489" s="86"/>
      <c r="AU489" s="86"/>
      <c r="AV489" s="86"/>
      <c r="AW489" s="86"/>
      <c r="AX489" s="86"/>
      <c r="AY489" s="86"/>
      <c r="AZ489" s="86"/>
      <c r="BA489" s="86"/>
      <c r="BB489" s="86"/>
      <c r="BC489" s="86"/>
      <c r="BD489" s="86"/>
      <c r="BE489" s="86"/>
      <c r="BF489" s="86"/>
      <c r="BG489" s="86"/>
      <c r="BH489" s="86"/>
      <c r="BI489" s="86"/>
      <c r="BJ489" s="86"/>
      <c r="BK489" s="86"/>
      <c r="BL489" s="86"/>
      <c r="BM489" s="86"/>
      <c r="BN489" s="86"/>
      <c r="BO489" s="86"/>
      <c r="BP489" s="86"/>
      <c r="BQ489" s="86"/>
      <c r="BR489" s="86"/>
      <c r="BS489" s="86"/>
      <c r="BT489" s="86"/>
      <c r="BU489" s="86"/>
      <c r="BV489" s="86"/>
    </row>
    <row r="490" spans="1:74" s="112" customFormat="1" ht="15.75" x14ac:dyDescent="0.2">
      <c r="A490" s="81" t="s">
        <v>1507</v>
      </c>
      <c r="B490" s="79" t="s">
        <v>1508</v>
      </c>
      <c r="C490" s="146">
        <f>SUM(C491:C492)</f>
        <v>0</v>
      </c>
      <c r="D490" s="146">
        <f>SUM(D491:D492)</f>
        <v>0</v>
      </c>
      <c r="E490" s="146">
        <f>SUM(E491:E492)</f>
        <v>0</v>
      </c>
      <c r="F490" s="146">
        <f t="shared" ref="F490:N490" si="247">SUM(F491:F492)</f>
        <v>0</v>
      </c>
      <c r="G490" s="146">
        <f>SUM(G491:G492)</f>
        <v>2574669714.0699997</v>
      </c>
      <c r="H490" s="146">
        <f t="shared" si="247"/>
        <v>0</v>
      </c>
      <c r="I490" s="146">
        <f t="shared" si="247"/>
        <v>0</v>
      </c>
      <c r="J490" s="146">
        <f t="shared" si="247"/>
        <v>0</v>
      </c>
      <c r="K490" s="146">
        <f t="shared" si="247"/>
        <v>0</v>
      </c>
      <c r="L490" s="146">
        <f t="shared" si="247"/>
        <v>0</v>
      </c>
      <c r="M490" s="146">
        <f t="shared" si="247"/>
        <v>0</v>
      </c>
      <c r="N490" s="146">
        <f t="shared" si="247"/>
        <v>0</v>
      </c>
      <c r="O490" s="309">
        <f t="shared" si="217"/>
        <v>2574669714.0699997</v>
      </c>
      <c r="P490" s="111">
        <v>2574669714.0700002</v>
      </c>
      <c r="Q490" s="108">
        <f t="shared" si="241"/>
        <v>0</v>
      </c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  <c r="AI490" s="111"/>
      <c r="AJ490" s="111"/>
      <c r="AK490" s="111"/>
      <c r="AL490" s="111"/>
      <c r="AM490" s="111"/>
      <c r="AN490" s="111"/>
      <c r="AO490" s="111"/>
      <c r="AP490" s="111"/>
      <c r="AQ490" s="111"/>
      <c r="AR490" s="111"/>
      <c r="AS490" s="111"/>
      <c r="AT490" s="111"/>
      <c r="AU490" s="111"/>
      <c r="AV490" s="111"/>
      <c r="AW490" s="111"/>
      <c r="AX490" s="111"/>
      <c r="AY490" s="111"/>
      <c r="AZ490" s="111"/>
      <c r="BA490" s="111"/>
      <c r="BB490" s="111"/>
      <c r="BC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V490" s="111"/>
    </row>
    <row r="491" spans="1:74" s="87" customFormat="1" ht="14.25" x14ac:dyDescent="0.2">
      <c r="A491" s="76" t="s">
        <v>1509</v>
      </c>
      <c r="B491" s="77" t="s">
        <v>1508</v>
      </c>
      <c r="C491" s="41"/>
      <c r="D491" s="41"/>
      <c r="E491" s="41"/>
      <c r="F491" s="41"/>
      <c r="G491" s="41">
        <v>1979873863.0699999</v>
      </c>
      <c r="H491" s="41"/>
      <c r="I491" s="41"/>
      <c r="J491" s="41"/>
      <c r="K491" s="41"/>
      <c r="L491" s="41"/>
      <c r="M491" s="41"/>
      <c r="N491" s="41"/>
      <c r="O491" s="140">
        <f t="shared" si="217"/>
        <v>1979873863.0699999</v>
      </c>
      <c r="P491" s="86">
        <v>1979873863.0699999</v>
      </c>
      <c r="Q491" s="108">
        <f t="shared" si="241"/>
        <v>0</v>
      </c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  <c r="AK491" s="86"/>
      <c r="AL491" s="86"/>
      <c r="AM491" s="86"/>
      <c r="AN491" s="86"/>
      <c r="AO491" s="86"/>
      <c r="AP491" s="86"/>
      <c r="AQ491" s="86"/>
      <c r="AR491" s="86"/>
      <c r="AS491" s="86"/>
      <c r="AT491" s="86"/>
      <c r="AU491" s="86"/>
      <c r="AV491" s="86"/>
      <c r="AW491" s="86"/>
      <c r="AX491" s="86"/>
      <c r="AY491" s="86"/>
      <c r="AZ491" s="86"/>
      <c r="BA491" s="86"/>
      <c r="BB491" s="86"/>
      <c r="BC491" s="86"/>
      <c r="BD491" s="86"/>
      <c r="BE491" s="86"/>
      <c r="BF491" s="86"/>
      <c r="BG491" s="86"/>
      <c r="BH491" s="86"/>
      <c r="BI491" s="86"/>
      <c r="BJ491" s="86"/>
      <c r="BK491" s="86"/>
      <c r="BL491" s="86"/>
      <c r="BM491" s="86"/>
      <c r="BN491" s="86"/>
      <c r="BO491" s="86"/>
      <c r="BP491" s="86"/>
      <c r="BQ491" s="86"/>
      <c r="BR491" s="86"/>
      <c r="BS491" s="86"/>
      <c r="BT491" s="86"/>
      <c r="BU491" s="86"/>
      <c r="BV491" s="86"/>
    </row>
    <row r="492" spans="1:74" s="87" customFormat="1" ht="28.5" x14ac:dyDescent="0.2">
      <c r="A492" s="76" t="s">
        <v>1510</v>
      </c>
      <c r="B492" s="77" t="s">
        <v>1511</v>
      </c>
      <c r="C492" s="41"/>
      <c r="D492" s="41"/>
      <c r="E492" s="41"/>
      <c r="F492" s="41"/>
      <c r="G492" s="41">
        <v>594795851</v>
      </c>
      <c r="H492" s="41"/>
      <c r="I492" s="41"/>
      <c r="J492" s="41"/>
      <c r="K492" s="41"/>
      <c r="L492" s="41"/>
      <c r="M492" s="41"/>
      <c r="N492" s="41"/>
      <c r="O492" s="140">
        <f t="shared" si="217"/>
        <v>594795851</v>
      </c>
      <c r="P492" s="111">
        <v>594795851</v>
      </c>
      <c r="Q492" s="108">
        <f t="shared" si="241"/>
        <v>0</v>
      </c>
      <c r="R492" s="86"/>
      <c r="S492" s="86"/>
      <c r="T492" s="86"/>
      <c r="U492" s="86"/>
      <c r="V492" s="86"/>
      <c r="W492" s="86"/>
      <c r="X492" s="86"/>
      <c r="Y492" s="86"/>
      <c r="Z492" s="86"/>
      <c r="AA492" s="86"/>
      <c r="AB492" s="86"/>
      <c r="AC492" s="86"/>
      <c r="AD492" s="86"/>
      <c r="AE492" s="86"/>
      <c r="AF492" s="86"/>
      <c r="AG492" s="86"/>
      <c r="AH492" s="86"/>
      <c r="AI492" s="86"/>
      <c r="AJ492" s="86"/>
      <c r="AK492" s="86"/>
      <c r="AL492" s="86"/>
      <c r="AM492" s="86"/>
      <c r="AN492" s="86"/>
      <c r="AO492" s="86"/>
      <c r="AP492" s="86"/>
      <c r="AQ492" s="86"/>
      <c r="AR492" s="86"/>
      <c r="AS492" s="86"/>
      <c r="AT492" s="86"/>
      <c r="AU492" s="86"/>
      <c r="AV492" s="86"/>
      <c r="AW492" s="86"/>
      <c r="AX492" s="86"/>
      <c r="AY492" s="86"/>
      <c r="AZ492" s="86"/>
      <c r="BA492" s="86"/>
      <c r="BB492" s="86"/>
      <c r="BC492" s="86"/>
      <c r="BD492" s="86"/>
      <c r="BE492" s="86"/>
      <c r="BF492" s="86"/>
      <c r="BG492" s="86"/>
      <c r="BH492" s="86"/>
      <c r="BI492" s="86"/>
      <c r="BJ492" s="86"/>
      <c r="BK492" s="86"/>
      <c r="BL492" s="86"/>
      <c r="BM492" s="86"/>
      <c r="BN492" s="86"/>
      <c r="BO492" s="86"/>
      <c r="BP492" s="86"/>
      <c r="BQ492" s="86"/>
      <c r="BR492" s="86"/>
      <c r="BS492" s="86"/>
      <c r="BT492" s="86"/>
      <c r="BU492" s="86"/>
      <c r="BV492" s="86"/>
    </row>
    <row r="493" spans="1:74" s="112" customFormat="1" ht="15.75" x14ac:dyDescent="0.2">
      <c r="A493" s="81" t="s">
        <v>1512</v>
      </c>
      <c r="B493" s="79" t="s">
        <v>1513</v>
      </c>
      <c r="C493" s="146">
        <f>+C494</f>
        <v>0</v>
      </c>
      <c r="D493" s="146">
        <f>+D494</f>
        <v>0</v>
      </c>
      <c r="E493" s="146">
        <f>+E494</f>
        <v>0</v>
      </c>
      <c r="F493" s="146">
        <f t="shared" ref="F493:N493" si="248">+F494</f>
        <v>0</v>
      </c>
      <c r="G493" s="146">
        <f>+G494</f>
        <v>8931257.5099999998</v>
      </c>
      <c r="H493" s="146">
        <f t="shared" si="248"/>
        <v>0</v>
      </c>
      <c r="I493" s="146">
        <f t="shared" si="248"/>
        <v>0</v>
      </c>
      <c r="J493" s="146">
        <f t="shared" si="248"/>
        <v>0</v>
      </c>
      <c r="K493" s="146">
        <f t="shared" si="248"/>
        <v>0</v>
      </c>
      <c r="L493" s="146">
        <f t="shared" si="248"/>
        <v>0</v>
      </c>
      <c r="M493" s="146">
        <f t="shared" si="248"/>
        <v>0</v>
      </c>
      <c r="N493" s="146">
        <f t="shared" si="248"/>
        <v>0</v>
      </c>
      <c r="O493" s="309">
        <f t="shared" si="217"/>
        <v>8931257.5099999998</v>
      </c>
      <c r="P493" s="86">
        <v>8931257.5099999998</v>
      </c>
      <c r="Q493" s="108">
        <f t="shared" si="241"/>
        <v>0</v>
      </c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1"/>
      <c r="AM493" s="111"/>
      <c r="AN493" s="111"/>
      <c r="AO493" s="111"/>
      <c r="AP493" s="111"/>
      <c r="AQ493" s="111"/>
      <c r="AR493" s="111"/>
      <c r="AS493" s="111"/>
      <c r="AT493" s="111"/>
      <c r="AU493" s="111"/>
      <c r="AV493" s="111"/>
      <c r="AW493" s="111"/>
      <c r="AX493" s="111"/>
      <c r="AY493" s="111"/>
      <c r="AZ493" s="111"/>
      <c r="BA493" s="111"/>
      <c r="BB493" s="111"/>
      <c r="BC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V493" s="111"/>
    </row>
    <row r="494" spans="1:74" s="87" customFormat="1" ht="15.75" x14ac:dyDescent="0.2">
      <c r="A494" s="76" t="s">
        <v>1514</v>
      </c>
      <c r="B494" s="77" t="s">
        <v>1513</v>
      </c>
      <c r="C494" s="41"/>
      <c r="D494" s="41"/>
      <c r="E494" s="41"/>
      <c r="F494" s="41"/>
      <c r="G494" s="41">
        <v>8931257.5099999998</v>
      </c>
      <c r="H494" s="41"/>
      <c r="I494" s="41"/>
      <c r="J494" s="41"/>
      <c r="K494" s="41"/>
      <c r="L494" s="41"/>
      <c r="M494" s="41"/>
      <c r="N494" s="41"/>
      <c r="O494" s="140">
        <f t="shared" si="217"/>
        <v>8931257.5099999998</v>
      </c>
      <c r="P494" s="111">
        <v>8931257.5099999998</v>
      </c>
      <c r="Q494" s="108">
        <f t="shared" si="241"/>
        <v>0</v>
      </c>
      <c r="R494" s="86"/>
      <c r="S494" s="86"/>
      <c r="T494" s="86"/>
      <c r="U494" s="86"/>
      <c r="V494" s="86"/>
      <c r="W494" s="86"/>
      <c r="X494" s="86"/>
      <c r="Y494" s="86"/>
      <c r="Z494" s="86"/>
      <c r="AA494" s="86"/>
      <c r="AB494" s="86"/>
      <c r="AC494" s="86"/>
      <c r="AD494" s="86"/>
      <c r="AE494" s="86"/>
      <c r="AF494" s="86"/>
      <c r="AG494" s="86"/>
      <c r="AH494" s="86"/>
      <c r="AI494" s="86"/>
      <c r="AJ494" s="86"/>
      <c r="AK494" s="86"/>
      <c r="AL494" s="86"/>
      <c r="AM494" s="86"/>
      <c r="AN494" s="86"/>
      <c r="AO494" s="86"/>
      <c r="AP494" s="86"/>
      <c r="AQ494" s="86"/>
      <c r="AR494" s="86"/>
      <c r="AS494" s="86"/>
      <c r="AT494" s="86"/>
      <c r="AU494" s="86"/>
      <c r="AV494" s="86"/>
      <c r="AW494" s="86"/>
      <c r="AX494" s="86"/>
      <c r="AY494" s="86"/>
      <c r="AZ494" s="86"/>
      <c r="BA494" s="86"/>
      <c r="BB494" s="86"/>
      <c r="BC494" s="86"/>
      <c r="BD494" s="86"/>
      <c r="BE494" s="86"/>
      <c r="BF494" s="86"/>
      <c r="BG494" s="86"/>
      <c r="BH494" s="86"/>
      <c r="BI494" s="86"/>
      <c r="BJ494" s="86"/>
      <c r="BK494" s="86"/>
      <c r="BL494" s="86"/>
      <c r="BM494" s="86"/>
      <c r="BN494" s="86"/>
      <c r="BO494" s="86"/>
      <c r="BP494" s="86"/>
      <c r="BQ494" s="86"/>
      <c r="BR494" s="86"/>
      <c r="BS494" s="86"/>
      <c r="BT494" s="86"/>
      <c r="BU494" s="86"/>
      <c r="BV494" s="86"/>
    </row>
    <row r="495" spans="1:74" s="112" customFormat="1" ht="15.75" x14ac:dyDescent="0.2">
      <c r="A495" s="81" t="s">
        <v>1515</v>
      </c>
      <c r="B495" s="79" t="s">
        <v>1516</v>
      </c>
      <c r="C495" s="146">
        <f>+C496</f>
        <v>0</v>
      </c>
      <c r="D495" s="146">
        <f>+D496</f>
        <v>0</v>
      </c>
      <c r="E495" s="146">
        <f>+E496</f>
        <v>0</v>
      </c>
      <c r="F495" s="146">
        <f t="shared" ref="F495:N495" si="249">+F496</f>
        <v>0</v>
      </c>
      <c r="G495" s="146">
        <f>+G496</f>
        <v>500660949.22000003</v>
      </c>
      <c r="H495" s="146">
        <f t="shared" si="249"/>
        <v>0</v>
      </c>
      <c r="I495" s="146">
        <f t="shared" si="249"/>
        <v>0</v>
      </c>
      <c r="J495" s="146">
        <f t="shared" si="249"/>
        <v>0</v>
      </c>
      <c r="K495" s="146">
        <f t="shared" si="249"/>
        <v>0</v>
      </c>
      <c r="L495" s="146">
        <f t="shared" si="249"/>
        <v>0</v>
      </c>
      <c r="M495" s="146">
        <f t="shared" si="249"/>
        <v>0</v>
      </c>
      <c r="N495" s="146">
        <f t="shared" si="249"/>
        <v>0</v>
      </c>
      <c r="O495" s="309">
        <f t="shared" si="217"/>
        <v>500660949.22000003</v>
      </c>
      <c r="P495" s="86">
        <v>500660949.22000003</v>
      </c>
      <c r="Q495" s="108">
        <f t="shared" si="241"/>
        <v>0</v>
      </c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1"/>
      <c r="AM495" s="111"/>
      <c r="AN495" s="111"/>
      <c r="AO495" s="111"/>
      <c r="AP495" s="111"/>
      <c r="AQ495" s="111"/>
      <c r="AR495" s="111"/>
      <c r="AS495" s="111"/>
      <c r="AT495" s="111"/>
      <c r="AU495" s="111"/>
      <c r="AV495" s="111"/>
      <c r="AW495" s="111"/>
      <c r="AX495" s="111"/>
      <c r="AY495" s="111"/>
      <c r="AZ495" s="111"/>
      <c r="BA495" s="111"/>
      <c r="BB495" s="111"/>
      <c r="BC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V495" s="111"/>
    </row>
    <row r="496" spans="1:74" s="87" customFormat="1" ht="15.75" x14ac:dyDescent="0.2">
      <c r="A496" s="76" t="s">
        <v>1517</v>
      </c>
      <c r="B496" s="77" t="s">
        <v>1516</v>
      </c>
      <c r="C496" s="41"/>
      <c r="D496" s="41"/>
      <c r="E496" s="41"/>
      <c r="F496" s="41"/>
      <c r="G496" s="41">
        <v>500660949.22000003</v>
      </c>
      <c r="H496" s="41"/>
      <c r="I496" s="41"/>
      <c r="J496" s="41"/>
      <c r="K496" s="41"/>
      <c r="L496" s="41"/>
      <c r="M496" s="41"/>
      <c r="N496" s="41"/>
      <c r="O496" s="140">
        <f t="shared" si="217"/>
        <v>500660949.22000003</v>
      </c>
      <c r="P496" s="111">
        <v>500660949.22000003</v>
      </c>
      <c r="Q496" s="108">
        <f t="shared" si="241"/>
        <v>0</v>
      </c>
      <c r="R496" s="86"/>
      <c r="S496" s="86"/>
      <c r="T496" s="86"/>
      <c r="U496" s="86"/>
      <c r="V496" s="86"/>
      <c r="W496" s="86"/>
      <c r="X496" s="86"/>
      <c r="Y496" s="86"/>
      <c r="Z496" s="86"/>
      <c r="AA496" s="86"/>
      <c r="AB496" s="86"/>
      <c r="AC496" s="86"/>
      <c r="AD496" s="86"/>
      <c r="AE496" s="86"/>
      <c r="AF496" s="86"/>
      <c r="AG496" s="86"/>
      <c r="AH496" s="86"/>
      <c r="AI496" s="86"/>
      <c r="AJ496" s="86"/>
      <c r="AK496" s="86"/>
      <c r="AL496" s="86"/>
      <c r="AM496" s="86"/>
      <c r="AN496" s="86"/>
      <c r="AO496" s="86"/>
      <c r="AP496" s="86"/>
      <c r="AQ496" s="86"/>
      <c r="AR496" s="86"/>
      <c r="AS496" s="86"/>
      <c r="AT496" s="86"/>
      <c r="AU496" s="86"/>
      <c r="AV496" s="86"/>
      <c r="AW496" s="86"/>
      <c r="AX496" s="86"/>
      <c r="AY496" s="86"/>
      <c r="AZ496" s="86"/>
      <c r="BA496" s="86"/>
      <c r="BB496" s="86"/>
      <c r="BC496" s="86"/>
      <c r="BD496" s="86"/>
      <c r="BE496" s="86"/>
      <c r="BF496" s="86"/>
      <c r="BG496" s="86"/>
      <c r="BH496" s="86"/>
      <c r="BI496" s="86"/>
      <c r="BJ496" s="86"/>
      <c r="BK496" s="86"/>
      <c r="BL496" s="86"/>
      <c r="BM496" s="86"/>
      <c r="BN496" s="86"/>
      <c r="BO496" s="86"/>
      <c r="BP496" s="86"/>
      <c r="BQ496" s="86"/>
      <c r="BR496" s="86"/>
      <c r="BS496" s="86"/>
      <c r="BT496" s="86"/>
      <c r="BU496" s="86"/>
      <c r="BV496" s="86"/>
    </row>
    <row r="497" spans="1:74" s="112" customFormat="1" ht="15.75" x14ac:dyDescent="0.2">
      <c r="A497" s="81" t="s">
        <v>1518</v>
      </c>
      <c r="B497" s="79" t="s">
        <v>1519</v>
      </c>
      <c r="C497" s="146">
        <f>+C498</f>
        <v>0</v>
      </c>
      <c r="D497" s="146">
        <f>+D498</f>
        <v>0</v>
      </c>
      <c r="E497" s="146">
        <f>+E498</f>
        <v>0</v>
      </c>
      <c r="F497" s="146">
        <f t="shared" ref="F497:N497" si="250">+F498</f>
        <v>0</v>
      </c>
      <c r="G497" s="146">
        <f>+G498</f>
        <v>298898995.22000003</v>
      </c>
      <c r="H497" s="146">
        <f t="shared" si="250"/>
        <v>0</v>
      </c>
      <c r="I497" s="146">
        <f t="shared" si="250"/>
        <v>0</v>
      </c>
      <c r="J497" s="146">
        <f t="shared" si="250"/>
        <v>0</v>
      </c>
      <c r="K497" s="146">
        <f t="shared" si="250"/>
        <v>0</v>
      </c>
      <c r="L497" s="146">
        <f t="shared" si="250"/>
        <v>0</v>
      </c>
      <c r="M497" s="146">
        <f t="shared" si="250"/>
        <v>0</v>
      </c>
      <c r="N497" s="146">
        <f t="shared" si="250"/>
        <v>0</v>
      </c>
      <c r="O497" s="309">
        <f t="shared" si="217"/>
        <v>298898995.22000003</v>
      </c>
      <c r="P497" s="86">
        <v>298898995.22000003</v>
      </c>
      <c r="Q497" s="108">
        <f t="shared" si="241"/>
        <v>0</v>
      </c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1"/>
      <c r="AM497" s="111"/>
      <c r="AN497" s="111"/>
      <c r="AO497" s="111"/>
      <c r="AP497" s="111"/>
      <c r="AQ497" s="111"/>
      <c r="AR497" s="111"/>
      <c r="AS497" s="111"/>
      <c r="AT497" s="111"/>
      <c r="AU497" s="111"/>
      <c r="AV497" s="111"/>
      <c r="AW497" s="111"/>
      <c r="AX497" s="111"/>
      <c r="AY497" s="111"/>
      <c r="AZ497" s="111"/>
      <c r="BA497" s="111"/>
      <c r="BB497" s="111"/>
      <c r="BC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V497" s="111"/>
    </row>
    <row r="498" spans="1:74" s="87" customFormat="1" ht="15.75" x14ac:dyDescent="0.2">
      <c r="A498" s="76" t="s">
        <v>1520</v>
      </c>
      <c r="B498" s="77" t="s">
        <v>1519</v>
      </c>
      <c r="C498" s="41"/>
      <c r="D498" s="41"/>
      <c r="E498" s="41"/>
      <c r="F498" s="41"/>
      <c r="G498" s="41">
        <v>298898995.22000003</v>
      </c>
      <c r="H498" s="41"/>
      <c r="I498" s="41"/>
      <c r="J498" s="41"/>
      <c r="K498" s="41"/>
      <c r="L498" s="41"/>
      <c r="M498" s="41"/>
      <c r="N498" s="41"/>
      <c r="O498" s="140">
        <f t="shared" si="217"/>
        <v>298898995.22000003</v>
      </c>
      <c r="P498" s="111">
        <v>298898995.22000003</v>
      </c>
      <c r="Q498" s="108">
        <f t="shared" si="241"/>
        <v>0</v>
      </c>
      <c r="R498" s="86"/>
      <c r="S498" s="86"/>
      <c r="T498" s="86"/>
      <c r="U498" s="86"/>
      <c r="V498" s="86"/>
      <c r="W498" s="86"/>
      <c r="X498" s="86"/>
      <c r="Y498" s="86"/>
      <c r="Z498" s="86"/>
      <c r="AA498" s="86"/>
      <c r="AB498" s="86"/>
      <c r="AC498" s="86"/>
      <c r="AD498" s="86"/>
      <c r="AE498" s="86"/>
      <c r="AF498" s="86"/>
      <c r="AG498" s="86"/>
      <c r="AH498" s="86"/>
      <c r="AI498" s="86"/>
      <c r="AJ498" s="86"/>
      <c r="AK498" s="86"/>
      <c r="AL498" s="86"/>
      <c r="AM498" s="86"/>
      <c r="AN498" s="86"/>
      <c r="AO498" s="86"/>
      <c r="AP498" s="86"/>
      <c r="AQ498" s="86"/>
      <c r="AR498" s="86"/>
      <c r="AS498" s="86"/>
      <c r="AT498" s="86"/>
      <c r="AU498" s="86"/>
      <c r="AV498" s="86"/>
      <c r="AW498" s="86"/>
      <c r="AX498" s="86"/>
      <c r="AY498" s="86"/>
      <c r="AZ498" s="86"/>
      <c r="BA498" s="86"/>
      <c r="BB498" s="86"/>
      <c r="BC498" s="86"/>
      <c r="BD498" s="86"/>
      <c r="BE498" s="86"/>
      <c r="BF498" s="86"/>
      <c r="BG498" s="86"/>
      <c r="BH498" s="86"/>
      <c r="BI498" s="86"/>
      <c r="BJ498" s="86"/>
      <c r="BK498" s="86"/>
      <c r="BL498" s="86"/>
      <c r="BM498" s="86"/>
      <c r="BN498" s="86"/>
      <c r="BO498" s="86"/>
      <c r="BP498" s="86"/>
      <c r="BQ498" s="86"/>
      <c r="BR498" s="86"/>
      <c r="BS498" s="86"/>
      <c r="BT498" s="86"/>
      <c r="BU498" s="86"/>
      <c r="BV498" s="86"/>
    </row>
    <row r="499" spans="1:74" s="112" customFormat="1" ht="31.5" x14ac:dyDescent="0.2">
      <c r="A499" s="81" t="s">
        <v>1521</v>
      </c>
      <c r="B499" s="79" t="s">
        <v>1522</v>
      </c>
      <c r="C499" s="146">
        <f>+C500</f>
        <v>0</v>
      </c>
      <c r="D499" s="146">
        <f>+D500</f>
        <v>0</v>
      </c>
      <c r="E499" s="146">
        <f>+E500</f>
        <v>0</v>
      </c>
      <c r="F499" s="146">
        <f t="shared" ref="F499:N499" si="251">+F500</f>
        <v>0</v>
      </c>
      <c r="G499" s="146">
        <f>+G500</f>
        <v>6785621064.1300001</v>
      </c>
      <c r="H499" s="146">
        <f t="shared" si="251"/>
        <v>0</v>
      </c>
      <c r="I499" s="146">
        <f t="shared" si="251"/>
        <v>0</v>
      </c>
      <c r="J499" s="146">
        <f t="shared" si="251"/>
        <v>0</v>
      </c>
      <c r="K499" s="146">
        <f t="shared" si="251"/>
        <v>0</v>
      </c>
      <c r="L499" s="146">
        <f t="shared" si="251"/>
        <v>0</v>
      </c>
      <c r="M499" s="146">
        <f t="shared" si="251"/>
        <v>0</v>
      </c>
      <c r="N499" s="146">
        <f t="shared" si="251"/>
        <v>0</v>
      </c>
      <c r="O499" s="309">
        <f t="shared" si="217"/>
        <v>6785621064.1300001</v>
      </c>
      <c r="P499" s="86">
        <v>6785621064.1300001</v>
      </c>
      <c r="Q499" s="108">
        <f t="shared" si="241"/>
        <v>0</v>
      </c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1"/>
      <c r="AM499" s="111"/>
      <c r="AN499" s="111"/>
      <c r="AO499" s="111"/>
      <c r="AP499" s="111"/>
      <c r="AQ499" s="111"/>
      <c r="AR499" s="111"/>
      <c r="AS499" s="111"/>
      <c r="AT499" s="111"/>
      <c r="AU499" s="111"/>
      <c r="AV499" s="111"/>
      <c r="AW499" s="111"/>
      <c r="AX499" s="111"/>
      <c r="AY499" s="111"/>
      <c r="AZ499" s="111"/>
      <c r="BA499" s="111"/>
      <c r="BB499" s="111"/>
      <c r="BC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V499" s="111"/>
    </row>
    <row r="500" spans="1:74" s="87" customFormat="1" ht="15.75" x14ac:dyDescent="0.2">
      <c r="A500" s="76" t="s">
        <v>1523</v>
      </c>
      <c r="B500" s="77" t="s">
        <v>1522</v>
      </c>
      <c r="C500" s="41"/>
      <c r="D500" s="41"/>
      <c r="E500" s="41"/>
      <c r="F500" s="41"/>
      <c r="G500" s="41">
        <v>6785621064.1300001</v>
      </c>
      <c r="H500" s="41"/>
      <c r="I500" s="41"/>
      <c r="J500" s="41"/>
      <c r="K500" s="41"/>
      <c r="L500" s="41"/>
      <c r="M500" s="41"/>
      <c r="N500" s="41"/>
      <c r="O500" s="140">
        <f t="shared" si="217"/>
        <v>6785621064.1300001</v>
      </c>
      <c r="P500" s="111">
        <v>6785621064.1300001</v>
      </c>
      <c r="Q500" s="108">
        <f t="shared" si="241"/>
        <v>0</v>
      </c>
      <c r="R500" s="86"/>
      <c r="S500" s="86"/>
      <c r="T500" s="86"/>
      <c r="U500" s="86"/>
      <c r="V500" s="86"/>
      <c r="W500" s="86"/>
      <c r="X500" s="86"/>
      <c r="Y500" s="86"/>
      <c r="Z500" s="86"/>
      <c r="AA500" s="86"/>
      <c r="AB500" s="86"/>
      <c r="AC500" s="86"/>
      <c r="AD500" s="86"/>
      <c r="AE500" s="86"/>
      <c r="AF500" s="86"/>
      <c r="AG500" s="86"/>
      <c r="AH500" s="86"/>
      <c r="AI500" s="86"/>
      <c r="AJ500" s="86"/>
      <c r="AK500" s="86"/>
      <c r="AL500" s="86"/>
      <c r="AM500" s="86"/>
      <c r="AN500" s="86"/>
      <c r="AO500" s="86"/>
      <c r="AP500" s="86"/>
      <c r="AQ500" s="86"/>
      <c r="AR500" s="86"/>
      <c r="AS500" s="86"/>
      <c r="AT500" s="86"/>
      <c r="AU500" s="86"/>
      <c r="AV500" s="86"/>
      <c r="AW500" s="86"/>
      <c r="AX500" s="86"/>
      <c r="AY500" s="86"/>
      <c r="AZ500" s="86"/>
      <c r="BA500" s="86"/>
      <c r="BB500" s="86"/>
      <c r="BC500" s="86"/>
      <c r="BD500" s="86"/>
      <c r="BE500" s="86"/>
      <c r="BF500" s="86"/>
      <c r="BG500" s="86"/>
      <c r="BH500" s="86"/>
      <c r="BI500" s="86"/>
      <c r="BJ500" s="86"/>
      <c r="BK500" s="86"/>
      <c r="BL500" s="86"/>
      <c r="BM500" s="86"/>
      <c r="BN500" s="86"/>
      <c r="BO500" s="86"/>
      <c r="BP500" s="86"/>
      <c r="BQ500" s="86"/>
      <c r="BR500" s="86"/>
      <c r="BS500" s="86"/>
      <c r="BT500" s="86"/>
      <c r="BU500" s="86"/>
      <c r="BV500" s="86"/>
    </row>
    <row r="501" spans="1:74" s="112" customFormat="1" ht="15.75" x14ac:dyDescent="0.2">
      <c r="A501" s="81" t="s">
        <v>1524</v>
      </c>
      <c r="B501" s="79" t="s">
        <v>1525</v>
      </c>
      <c r="C501" s="146">
        <f>+C502</f>
        <v>0</v>
      </c>
      <c r="D501" s="146">
        <f>+D502</f>
        <v>0</v>
      </c>
      <c r="E501" s="146">
        <f>+E502</f>
        <v>0</v>
      </c>
      <c r="F501" s="146">
        <f t="shared" ref="F501:N501" si="252">+F502</f>
        <v>0</v>
      </c>
      <c r="G501" s="146">
        <f>+G502</f>
        <v>1014585724</v>
      </c>
      <c r="H501" s="146">
        <f t="shared" si="252"/>
        <v>0</v>
      </c>
      <c r="I501" s="146">
        <f t="shared" si="252"/>
        <v>0</v>
      </c>
      <c r="J501" s="146">
        <f t="shared" si="252"/>
        <v>0</v>
      </c>
      <c r="K501" s="146">
        <f t="shared" si="252"/>
        <v>0</v>
      </c>
      <c r="L501" s="146">
        <f t="shared" si="252"/>
        <v>0</v>
      </c>
      <c r="M501" s="146">
        <f t="shared" si="252"/>
        <v>0</v>
      </c>
      <c r="N501" s="146">
        <f t="shared" si="252"/>
        <v>0</v>
      </c>
      <c r="O501" s="309">
        <f t="shared" si="217"/>
        <v>1014585724</v>
      </c>
      <c r="P501" s="86">
        <v>1014585724</v>
      </c>
      <c r="Q501" s="108">
        <f t="shared" si="241"/>
        <v>0</v>
      </c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1"/>
      <c r="AM501" s="111"/>
      <c r="AN501" s="111"/>
      <c r="AO501" s="111"/>
      <c r="AP501" s="111"/>
      <c r="AQ501" s="111"/>
      <c r="AR501" s="111"/>
      <c r="AS501" s="111"/>
      <c r="AT501" s="111"/>
      <c r="AU501" s="111"/>
      <c r="AV501" s="111"/>
      <c r="AW501" s="111"/>
      <c r="AX501" s="111"/>
      <c r="AY501" s="111"/>
      <c r="AZ501" s="111"/>
      <c r="BA501" s="111"/>
      <c r="BB501" s="111"/>
      <c r="BC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V501" s="111"/>
    </row>
    <row r="502" spans="1:74" s="87" customFormat="1" ht="15.75" x14ac:dyDescent="0.2">
      <c r="A502" s="76" t="s">
        <v>1526</v>
      </c>
      <c r="B502" s="77" t="s">
        <v>1525</v>
      </c>
      <c r="C502" s="41"/>
      <c r="D502" s="41"/>
      <c r="E502" s="41"/>
      <c r="F502" s="41"/>
      <c r="G502" s="41">
        <v>1014585724</v>
      </c>
      <c r="H502" s="41"/>
      <c r="I502" s="41"/>
      <c r="J502" s="41"/>
      <c r="K502" s="41"/>
      <c r="L502" s="41"/>
      <c r="M502" s="41"/>
      <c r="N502" s="41"/>
      <c r="O502" s="140">
        <f t="shared" si="217"/>
        <v>1014585724</v>
      </c>
      <c r="P502" s="111">
        <v>1014585724</v>
      </c>
      <c r="Q502" s="108">
        <f t="shared" si="241"/>
        <v>0</v>
      </c>
      <c r="R502" s="86"/>
      <c r="S502" s="86"/>
      <c r="T502" s="86"/>
      <c r="U502" s="86"/>
      <c r="V502" s="86"/>
      <c r="W502" s="86"/>
      <c r="X502" s="86"/>
      <c r="Y502" s="86"/>
      <c r="Z502" s="86"/>
      <c r="AA502" s="86"/>
      <c r="AB502" s="86"/>
      <c r="AC502" s="86"/>
      <c r="AD502" s="86"/>
      <c r="AE502" s="86"/>
      <c r="AF502" s="86"/>
      <c r="AG502" s="86"/>
      <c r="AH502" s="86"/>
      <c r="AI502" s="86"/>
      <c r="AJ502" s="86"/>
      <c r="AK502" s="86"/>
      <c r="AL502" s="86"/>
      <c r="AM502" s="86"/>
      <c r="AN502" s="86"/>
      <c r="AO502" s="86"/>
      <c r="AP502" s="86"/>
      <c r="AQ502" s="86"/>
      <c r="AR502" s="86"/>
      <c r="AS502" s="86"/>
      <c r="AT502" s="86"/>
      <c r="AU502" s="86"/>
      <c r="AV502" s="86"/>
      <c r="AW502" s="86"/>
      <c r="AX502" s="86"/>
      <c r="AY502" s="86"/>
      <c r="AZ502" s="86"/>
      <c r="BA502" s="86"/>
      <c r="BB502" s="86"/>
      <c r="BC502" s="86"/>
      <c r="BD502" s="86"/>
      <c r="BE502" s="86"/>
      <c r="BF502" s="86"/>
      <c r="BG502" s="86"/>
      <c r="BH502" s="86"/>
      <c r="BI502" s="86"/>
      <c r="BJ502" s="86"/>
      <c r="BK502" s="86"/>
      <c r="BL502" s="86"/>
      <c r="BM502" s="86"/>
      <c r="BN502" s="86"/>
      <c r="BO502" s="86"/>
      <c r="BP502" s="86"/>
      <c r="BQ502" s="86"/>
      <c r="BR502" s="86"/>
      <c r="BS502" s="86"/>
      <c r="BT502" s="86"/>
      <c r="BU502" s="86"/>
      <c r="BV502" s="86"/>
    </row>
    <row r="503" spans="1:74" s="112" customFormat="1" ht="15.75" x14ac:dyDescent="0.2">
      <c r="A503" s="81" t="s">
        <v>1527</v>
      </c>
      <c r="B503" s="79" t="s">
        <v>1528</v>
      </c>
      <c r="C503" s="146">
        <f>+C504</f>
        <v>0</v>
      </c>
      <c r="D503" s="146">
        <f>+D504</f>
        <v>0</v>
      </c>
      <c r="E503" s="146">
        <f>+E504</f>
        <v>0</v>
      </c>
      <c r="F503" s="146">
        <f t="shared" ref="F503:N503" si="253">+F504</f>
        <v>0</v>
      </c>
      <c r="G503" s="146">
        <f>+G504</f>
        <v>1217590140.95</v>
      </c>
      <c r="H503" s="146">
        <f t="shared" si="253"/>
        <v>0</v>
      </c>
      <c r="I503" s="146">
        <f t="shared" si="253"/>
        <v>0</v>
      </c>
      <c r="J503" s="146">
        <f t="shared" si="253"/>
        <v>0</v>
      </c>
      <c r="K503" s="146">
        <f t="shared" si="253"/>
        <v>0</v>
      </c>
      <c r="L503" s="146">
        <f t="shared" si="253"/>
        <v>0</v>
      </c>
      <c r="M503" s="146">
        <f t="shared" si="253"/>
        <v>0</v>
      </c>
      <c r="N503" s="146">
        <f t="shared" si="253"/>
        <v>0</v>
      </c>
      <c r="O503" s="309">
        <f t="shared" si="217"/>
        <v>1217590140.95</v>
      </c>
      <c r="P503" s="86">
        <v>1217590140.95</v>
      </c>
      <c r="Q503" s="108">
        <f t="shared" si="241"/>
        <v>0</v>
      </c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  <c r="AI503" s="111"/>
      <c r="AJ503" s="111"/>
      <c r="AK503" s="111"/>
      <c r="AL503" s="111"/>
      <c r="AM503" s="111"/>
      <c r="AN503" s="111"/>
      <c r="AO503" s="111"/>
      <c r="AP503" s="111"/>
      <c r="AQ503" s="111"/>
      <c r="AR503" s="111"/>
      <c r="AS503" s="111"/>
      <c r="AT503" s="111"/>
      <c r="AU503" s="111"/>
      <c r="AV503" s="111"/>
      <c r="AW503" s="111"/>
      <c r="AX503" s="111"/>
      <c r="AY503" s="111"/>
      <c r="AZ503" s="111"/>
      <c r="BA503" s="111"/>
      <c r="BB503" s="111"/>
      <c r="BC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V503" s="111"/>
    </row>
    <row r="504" spans="1:74" s="87" customFormat="1" ht="15.75" x14ac:dyDescent="0.2">
      <c r="A504" s="76" t="s">
        <v>1529</v>
      </c>
      <c r="B504" s="77" t="s">
        <v>1528</v>
      </c>
      <c r="C504" s="41"/>
      <c r="D504" s="41"/>
      <c r="E504" s="41"/>
      <c r="F504" s="41"/>
      <c r="G504" s="41">
        <v>1217590140.95</v>
      </c>
      <c r="H504" s="41"/>
      <c r="I504" s="41"/>
      <c r="J504" s="41"/>
      <c r="K504" s="41"/>
      <c r="L504" s="41"/>
      <c r="M504" s="41"/>
      <c r="N504" s="41"/>
      <c r="O504" s="140">
        <f t="shared" si="217"/>
        <v>1217590140.95</v>
      </c>
      <c r="P504" s="111">
        <v>1217590140.95</v>
      </c>
      <c r="Q504" s="108">
        <f t="shared" si="241"/>
        <v>0</v>
      </c>
      <c r="R504" s="86"/>
      <c r="S504" s="86"/>
      <c r="T504" s="86"/>
      <c r="U504" s="86"/>
      <c r="V504" s="86"/>
      <c r="W504" s="86"/>
      <c r="X504" s="86"/>
      <c r="Y504" s="86"/>
      <c r="Z504" s="86"/>
      <c r="AA504" s="86"/>
      <c r="AB504" s="86"/>
      <c r="AC504" s="86"/>
      <c r="AD504" s="86"/>
      <c r="AE504" s="86"/>
      <c r="AF504" s="86"/>
      <c r="AG504" s="86"/>
      <c r="AH504" s="86"/>
      <c r="AI504" s="86"/>
      <c r="AJ504" s="86"/>
      <c r="AK504" s="86"/>
      <c r="AL504" s="86"/>
      <c r="AM504" s="86"/>
      <c r="AN504" s="86"/>
      <c r="AO504" s="86"/>
      <c r="AP504" s="86"/>
      <c r="AQ504" s="86"/>
      <c r="AR504" s="86"/>
      <c r="AS504" s="86"/>
      <c r="AT504" s="86"/>
      <c r="AU504" s="86"/>
      <c r="AV504" s="86"/>
      <c r="AW504" s="86"/>
      <c r="AX504" s="86"/>
      <c r="AY504" s="86"/>
      <c r="AZ504" s="86"/>
      <c r="BA504" s="86"/>
      <c r="BB504" s="86"/>
      <c r="BC504" s="86"/>
      <c r="BD504" s="86"/>
      <c r="BE504" s="86"/>
      <c r="BF504" s="86"/>
      <c r="BG504" s="86"/>
      <c r="BH504" s="86"/>
      <c r="BI504" s="86"/>
      <c r="BJ504" s="86"/>
      <c r="BK504" s="86"/>
      <c r="BL504" s="86"/>
      <c r="BM504" s="86"/>
      <c r="BN504" s="86"/>
      <c r="BO504" s="86"/>
      <c r="BP504" s="86"/>
      <c r="BQ504" s="86"/>
      <c r="BR504" s="86"/>
      <c r="BS504" s="86"/>
      <c r="BT504" s="86"/>
      <c r="BU504" s="86"/>
      <c r="BV504" s="86"/>
    </row>
    <row r="505" spans="1:74" s="112" customFormat="1" ht="15.75" x14ac:dyDescent="0.2">
      <c r="A505" s="81" t="s">
        <v>1530</v>
      </c>
      <c r="B505" s="79" t="s">
        <v>1531</v>
      </c>
      <c r="C505" s="146">
        <f>+C506</f>
        <v>0</v>
      </c>
      <c r="D505" s="146">
        <f>+D506</f>
        <v>0</v>
      </c>
      <c r="E505" s="146">
        <f>+E506</f>
        <v>0</v>
      </c>
      <c r="F505" s="146">
        <f t="shared" ref="F505:N505" si="254">+F506</f>
        <v>0</v>
      </c>
      <c r="G505" s="146">
        <f t="shared" si="254"/>
        <v>9066503659.1900005</v>
      </c>
      <c r="H505" s="146">
        <f t="shared" si="254"/>
        <v>0</v>
      </c>
      <c r="I505" s="146">
        <f t="shared" si="254"/>
        <v>0</v>
      </c>
      <c r="J505" s="146">
        <f t="shared" si="254"/>
        <v>0</v>
      </c>
      <c r="K505" s="146">
        <f t="shared" si="254"/>
        <v>0</v>
      </c>
      <c r="L505" s="146">
        <f t="shared" si="254"/>
        <v>0</v>
      </c>
      <c r="M505" s="146">
        <f t="shared" si="254"/>
        <v>0</v>
      </c>
      <c r="N505" s="146">
        <f t="shared" si="254"/>
        <v>0</v>
      </c>
      <c r="O505" s="309">
        <f t="shared" si="217"/>
        <v>9066503659.1900005</v>
      </c>
      <c r="P505" s="86">
        <v>9066503659.1900005</v>
      </c>
      <c r="Q505" s="108">
        <f t="shared" si="241"/>
        <v>0</v>
      </c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1"/>
      <c r="AM505" s="111"/>
      <c r="AN505" s="111"/>
      <c r="AO505" s="111"/>
      <c r="AP505" s="111"/>
      <c r="AQ505" s="111"/>
      <c r="AR505" s="111"/>
      <c r="AS505" s="111"/>
      <c r="AT505" s="111"/>
      <c r="AU505" s="111"/>
      <c r="AV505" s="111"/>
      <c r="AW505" s="111"/>
      <c r="AX505" s="111"/>
      <c r="AY505" s="111"/>
      <c r="AZ505" s="111"/>
      <c r="BA505" s="111"/>
      <c r="BB505" s="111"/>
      <c r="BC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V505" s="111"/>
    </row>
    <row r="506" spans="1:74" s="87" customFormat="1" ht="15.75" x14ac:dyDescent="0.2">
      <c r="A506" s="76" t="s">
        <v>1532</v>
      </c>
      <c r="B506" s="77" t="s">
        <v>1531</v>
      </c>
      <c r="C506" s="41"/>
      <c r="D506" s="41"/>
      <c r="E506" s="41"/>
      <c r="F506" s="41"/>
      <c r="G506" s="41">
        <v>9066503659.1900005</v>
      </c>
      <c r="H506" s="41"/>
      <c r="I506" s="41"/>
      <c r="J506" s="41"/>
      <c r="K506" s="41"/>
      <c r="L506" s="41"/>
      <c r="M506" s="41"/>
      <c r="N506" s="41"/>
      <c r="O506" s="140">
        <f t="shared" si="217"/>
        <v>9066503659.1900005</v>
      </c>
      <c r="P506" s="111">
        <v>9066503659.1900005</v>
      </c>
      <c r="Q506" s="108">
        <f t="shared" si="241"/>
        <v>0</v>
      </c>
      <c r="R506" s="86"/>
      <c r="S506" s="86"/>
      <c r="T506" s="86"/>
      <c r="U506" s="86"/>
      <c r="V506" s="86"/>
      <c r="W506" s="86"/>
      <c r="X506" s="86"/>
      <c r="Y506" s="86"/>
      <c r="Z506" s="86"/>
      <c r="AA506" s="86"/>
      <c r="AB506" s="86"/>
      <c r="AC506" s="86"/>
      <c r="AD506" s="86"/>
      <c r="AE506" s="86"/>
      <c r="AF506" s="86"/>
      <c r="AG506" s="86"/>
      <c r="AH506" s="86"/>
      <c r="AI506" s="86"/>
      <c r="AJ506" s="86"/>
      <c r="AK506" s="86"/>
      <c r="AL506" s="86"/>
      <c r="AM506" s="86"/>
      <c r="AN506" s="86"/>
      <c r="AO506" s="86"/>
      <c r="AP506" s="86"/>
      <c r="AQ506" s="86"/>
      <c r="AR506" s="86"/>
      <c r="AS506" s="86"/>
      <c r="AT506" s="86"/>
      <c r="AU506" s="86"/>
      <c r="AV506" s="86"/>
      <c r="AW506" s="86"/>
      <c r="AX506" s="86"/>
      <c r="AY506" s="86"/>
      <c r="AZ506" s="86"/>
      <c r="BA506" s="86"/>
      <c r="BB506" s="86"/>
      <c r="BC506" s="86"/>
      <c r="BD506" s="86"/>
      <c r="BE506" s="86"/>
      <c r="BF506" s="86"/>
      <c r="BG506" s="86"/>
      <c r="BH506" s="86"/>
      <c r="BI506" s="86"/>
      <c r="BJ506" s="86"/>
      <c r="BK506" s="86"/>
      <c r="BL506" s="86"/>
      <c r="BM506" s="86"/>
      <c r="BN506" s="86"/>
      <c r="BO506" s="86"/>
      <c r="BP506" s="86"/>
      <c r="BQ506" s="86"/>
      <c r="BR506" s="86"/>
      <c r="BS506" s="86"/>
      <c r="BT506" s="86"/>
      <c r="BU506" s="86"/>
      <c r="BV506" s="86"/>
    </row>
    <row r="507" spans="1:74" s="112" customFormat="1" ht="15.75" x14ac:dyDescent="0.2">
      <c r="A507" s="81" t="s">
        <v>1533</v>
      </c>
      <c r="B507" s="79" t="s">
        <v>1534</v>
      </c>
      <c r="C507" s="146">
        <f>+C508</f>
        <v>0</v>
      </c>
      <c r="D507" s="146">
        <f>+D508</f>
        <v>0</v>
      </c>
      <c r="E507" s="146">
        <f>+E508</f>
        <v>0</v>
      </c>
      <c r="F507" s="146">
        <f t="shared" ref="F507:N507" si="255">+F508</f>
        <v>0</v>
      </c>
      <c r="G507" s="146">
        <f t="shared" si="255"/>
        <v>4189115912</v>
      </c>
      <c r="H507" s="146">
        <f t="shared" si="255"/>
        <v>0</v>
      </c>
      <c r="I507" s="146">
        <f t="shared" si="255"/>
        <v>0</v>
      </c>
      <c r="J507" s="146">
        <f t="shared" si="255"/>
        <v>0</v>
      </c>
      <c r="K507" s="146">
        <f t="shared" si="255"/>
        <v>0</v>
      </c>
      <c r="L507" s="146">
        <f t="shared" si="255"/>
        <v>0</v>
      </c>
      <c r="M507" s="146">
        <f t="shared" si="255"/>
        <v>0</v>
      </c>
      <c r="N507" s="146">
        <f t="shared" si="255"/>
        <v>0</v>
      </c>
      <c r="O507" s="309">
        <f t="shared" si="217"/>
        <v>4189115912</v>
      </c>
      <c r="P507" s="86">
        <v>4189115912</v>
      </c>
      <c r="Q507" s="108">
        <f t="shared" si="241"/>
        <v>0</v>
      </c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1"/>
      <c r="AM507" s="111"/>
      <c r="AN507" s="111"/>
      <c r="AO507" s="111"/>
      <c r="AP507" s="111"/>
      <c r="AQ507" s="111"/>
      <c r="AR507" s="111"/>
      <c r="AS507" s="111"/>
      <c r="AT507" s="111"/>
      <c r="AU507" s="111"/>
      <c r="AV507" s="111"/>
      <c r="AW507" s="111"/>
      <c r="AX507" s="111"/>
      <c r="AY507" s="111"/>
      <c r="AZ507" s="111"/>
      <c r="BA507" s="111"/>
      <c r="BB507" s="111"/>
      <c r="BC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V507" s="111"/>
    </row>
    <row r="508" spans="1:74" s="87" customFormat="1" ht="15.75" x14ac:dyDescent="0.2">
      <c r="A508" s="76" t="s">
        <v>1535</v>
      </c>
      <c r="B508" s="77" t="s">
        <v>1534</v>
      </c>
      <c r="C508" s="41"/>
      <c r="D508" s="41"/>
      <c r="E508" s="41"/>
      <c r="F508" s="41"/>
      <c r="G508" s="41">
        <v>4189115912</v>
      </c>
      <c r="H508" s="41"/>
      <c r="I508" s="41"/>
      <c r="J508" s="41"/>
      <c r="K508" s="41"/>
      <c r="L508" s="41"/>
      <c r="M508" s="41"/>
      <c r="N508" s="41"/>
      <c r="O508" s="140">
        <f t="shared" si="217"/>
        <v>4189115912</v>
      </c>
      <c r="P508" s="111">
        <v>4189115912</v>
      </c>
      <c r="Q508" s="108">
        <f t="shared" si="241"/>
        <v>0</v>
      </c>
      <c r="R508" s="86"/>
      <c r="S508" s="86"/>
      <c r="T508" s="86"/>
      <c r="U508" s="86"/>
      <c r="V508" s="86"/>
      <c r="W508" s="86"/>
      <c r="X508" s="86"/>
      <c r="Y508" s="86"/>
      <c r="Z508" s="86"/>
      <c r="AA508" s="86"/>
      <c r="AB508" s="86"/>
      <c r="AC508" s="86"/>
      <c r="AD508" s="86"/>
      <c r="AE508" s="86"/>
      <c r="AF508" s="86"/>
      <c r="AG508" s="86"/>
      <c r="AH508" s="86"/>
      <c r="AI508" s="86"/>
      <c r="AJ508" s="86"/>
      <c r="AK508" s="86"/>
      <c r="AL508" s="86"/>
      <c r="AM508" s="86"/>
      <c r="AN508" s="86"/>
      <c r="AO508" s="86"/>
      <c r="AP508" s="86"/>
      <c r="AQ508" s="86"/>
      <c r="AR508" s="86"/>
      <c r="AS508" s="86"/>
      <c r="AT508" s="86"/>
      <c r="AU508" s="86"/>
      <c r="AV508" s="86"/>
      <c r="AW508" s="86"/>
      <c r="AX508" s="86"/>
      <c r="AY508" s="86"/>
      <c r="AZ508" s="86"/>
      <c r="BA508" s="86"/>
      <c r="BB508" s="86"/>
      <c r="BC508" s="86"/>
      <c r="BD508" s="86"/>
      <c r="BE508" s="86"/>
      <c r="BF508" s="86"/>
      <c r="BG508" s="86"/>
      <c r="BH508" s="86"/>
      <c r="BI508" s="86"/>
      <c r="BJ508" s="86"/>
      <c r="BK508" s="86"/>
      <c r="BL508" s="86"/>
      <c r="BM508" s="86"/>
      <c r="BN508" s="86"/>
      <c r="BO508" s="86"/>
      <c r="BP508" s="86"/>
      <c r="BQ508" s="86"/>
      <c r="BR508" s="86"/>
      <c r="BS508" s="86"/>
      <c r="BT508" s="86"/>
      <c r="BU508" s="86"/>
      <c r="BV508" s="86"/>
    </row>
    <row r="509" spans="1:74" s="112" customFormat="1" ht="63" x14ac:dyDescent="0.2">
      <c r="A509" s="81" t="s">
        <v>1536</v>
      </c>
      <c r="B509" s="79" t="s">
        <v>1537</v>
      </c>
      <c r="C509" s="146">
        <f>+C510</f>
        <v>0</v>
      </c>
      <c r="D509" s="146">
        <f>+D510</f>
        <v>0</v>
      </c>
      <c r="E509" s="146">
        <f>+E510</f>
        <v>0</v>
      </c>
      <c r="F509" s="146">
        <f t="shared" ref="F509:N509" si="256">+F510</f>
        <v>0</v>
      </c>
      <c r="G509" s="146">
        <f t="shared" si="256"/>
        <v>3483193805.9099998</v>
      </c>
      <c r="H509" s="146">
        <f t="shared" si="256"/>
        <v>0</v>
      </c>
      <c r="I509" s="146">
        <f t="shared" si="256"/>
        <v>0</v>
      </c>
      <c r="J509" s="146">
        <f t="shared" si="256"/>
        <v>0</v>
      </c>
      <c r="K509" s="146">
        <f t="shared" si="256"/>
        <v>0</v>
      </c>
      <c r="L509" s="146">
        <f t="shared" si="256"/>
        <v>0</v>
      </c>
      <c r="M509" s="146">
        <f t="shared" si="256"/>
        <v>0</v>
      </c>
      <c r="N509" s="146">
        <f t="shared" si="256"/>
        <v>0</v>
      </c>
      <c r="O509" s="309">
        <f t="shared" si="217"/>
        <v>3483193805.9099998</v>
      </c>
      <c r="P509" s="86">
        <v>3483193805.9099998</v>
      </c>
      <c r="Q509" s="108">
        <f t="shared" si="241"/>
        <v>0</v>
      </c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1"/>
      <c r="AM509" s="111"/>
      <c r="AN509" s="111"/>
      <c r="AO509" s="111"/>
      <c r="AP509" s="111"/>
      <c r="AQ509" s="111"/>
      <c r="AR509" s="111"/>
      <c r="AS509" s="111"/>
      <c r="AT509" s="111"/>
      <c r="AU509" s="111"/>
      <c r="AV509" s="111"/>
      <c r="AW509" s="111"/>
      <c r="AX509" s="111"/>
      <c r="AY509" s="111"/>
      <c r="AZ509" s="111"/>
      <c r="BA509" s="111"/>
      <c r="BB509" s="111"/>
      <c r="BC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V509" s="111"/>
    </row>
    <row r="510" spans="1:74" s="87" customFormat="1" ht="57" x14ac:dyDescent="0.2">
      <c r="A510" s="76" t="s">
        <v>1538</v>
      </c>
      <c r="B510" s="77" t="s">
        <v>1539</v>
      </c>
      <c r="C510" s="41"/>
      <c r="D510" s="41"/>
      <c r="E510" s="41"/>
      <c r="F510" s="41"/>
      <c r="G510" s="41">
        <v>3483193805.9099998</v>
      </c>
      <c r="H510" s="41"/>
      <c r="I510" s="41"/>
      <c r="J510" s="41"/>
      <c r="K510" s="41"/>
      <c r="L510" s="41"/>
      <c r="M510" s="41"/>
      <c r="N510" s="41"/>
      <c r="O510" s="140">
        <f t="shared" si="217"/>
        <v>3483193805.9099998</v>
      </c>
      <c r="P510" s="111">
        <v>3483193805.9099998</v>
      </c>
      <c r="Q510" s="108">
        <f t="shared" si="241"/>
        <v>0</v>
      </c>
      <c r="R510" s="86"/>
      <c r="S510" s="86"/>
      <c r="T510" s="86"/>
      <c r="U510" s="86"/>
      <c r="V510" s="86"/>
      <c r="W510" s="86"/>
      <c r="X510" s="86"/>
      <c r="Y510" s="86"/>
      <c r="Z510" s="86"/>
      <c r="AA510" s="86"/>
      <c r="AB510" s="86"/>
      <c r="AC510" s="86"/>
      <c r="AD510" s="86"/>
      <c r="AE510" s="86"/>
      <c r="AF510" s="86"/>
      <c r="AG510" s="86"/>
      <c r="AH510" s="86"/>
      <c r="AI510" s="86"/>
      <c r="AJ510" s="86"/>
      <c r="AK510" s="86"/>
      <c r="AL510" s="86"/>
      <c r="AM510" s="86"/>
      <c r="AN510" s="86"/>
      <c r="AO510" s="86"/>
      <c r="AP510" s="86"/>
      <c r="AQ510" s="86"/>
      <c r="AR510" s="86"/>
      <c r="AS510" s="86"/>
      <c r="AT510" s="86"/>
      <c r="AU510" s="86"/>
      <c r="AV510" s="86"/>
      <c r="AW510" s="86"/>
      <c r="AX510" s="86"/>
      <c r="AY510" s="86"/>
      <c r="AZ510" s="86"/>
      <c r="BA510" s="86"/>
      <c r="BB510" s="86"/>
      <c r="BC510" s="86"/>
      <c r="BD510" s="86"/>
      <c r="BE510" s="86"/>
      <c r="BF510" s="86"/>
      <c r="BG510" s="86"/>
      <c r="BH510" s="86"/>
      <c r="BI510" s="86"/>
      <c r="BJ510" s="86"/>
      <c r="BK510" s="86"/>
      <c r="BL510" s="86"/>
      <c r="BM510" s="86"/>
      <c r="BN510" s="86"/>
      <c r="BO510" s="86"/>
      <c r="BP510" s="86"/>
      <c r="BQ510" s="86"/>
      <c r="BR510" s="86"/>
      <c r="BS510" s="86"/>
      <c r="BT510" s="86"/>
      <c r="BU510" s="86"/>
      <c r="BV510" s="86"/>
    </row>
    <row r="511" spans="1:74" s="112" customFormat="1" ht="47.25" x14ac:dyDescent="0.2">
      <c r="A511" s="81" t="s">
        <v>1540</v>
      </c>
      <c r="B511" s="79" t="s">
        <v>1541</v>
      </c>
      <c r="C511" s="146">
        <f>+C512</f>
        <v>0</v>
      </c>
      <c r="D511" s="146">
        <f>+D512</f>
        <v>0</v>
      </c>
      <c r="E511" s="146">
        <f>+E512</f>
        <v>0</v>
      </c>
      <c r="F511" s="146">
        <f t="shared" ref="F511:N511" si="257">+F512</f>
        <v>0</v>
      </c>
      <c r="G511" s="146">
        <f t="shared" si="257"/>
        <v>2029741990.6800001</v>
      </c>
      <c r="H511" s="146">
        <f t="shared" si="257"/>
        <v>0</v>
      </c>
      <c r="I511" s="146">
        <f t="shared" si="257"/>
        <v>0</v>
      </c>
      <c r="J511" s="146">
        <f t="shared" si="257"/>
        <v>0</v>
      </c>
      <c r="K511" s="146">
        <f t="shared" si="257"/>
        <v>0</v>
      </c>
      <c r="L511" s="146">
        <f t="shared" si="257"/>
        <v>0</v>
      </c>
      <c r="M511" s="146">
        <f t="shared" si="257"/>
        <v>0</v>
      </c>
      <c r="N511" s="146">
        <f t="shared" si="257"/>
        <v>0</v>
      </c>
      <c r="O511" s="309">
        <f t="shared" si="217"/>
        <v>2029741990.6800001</v>
      </c>
      <c r="P511" s="86">
        <v>2029741990.6800001</v>
      </c>
      <c r="Q511" s="108">
        <f t="shared" si="241"/>
        <v>0</v>
      </c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1"/>
      <c r="AM511" s="111"/>
      <c r="AN511" s="111"/>
      <c r="AO511" s="111"/>
      <c r="AP511" s="111"/>
      <c r="AQ511" s="111"/>
      <c r="AR511" s="111"/>
      <c r="AS511" s="111"/>
      <c r="AT511" s="111"/>
      <c r="AU511" s="111"/>
      <c r="AV511" s="111"/>
      <c r="AW511" s="111"/>
      <c r="AX511" s="111"/>
      <c r="AY511" s="111"/>
      <c r="AZ511" s="111"/>
      <c r="BA511" s="111"/>
      <c r="BB511" s="111"/>
      <c r="BC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V511" s="111"/>
    </row>
    <row r="512" spans="1:74" s="87" customFormat="1" ht="28.5" x14ac:dyDescent="0.2">
      <c r="A512" s="76" t="s">
        <v>1542</v>
      </c>
      <c r="B512" s="77" t="s">
        <v>1541</v>
      </c>
      <c r="C512" s="41"/>
      <c r="D512" s="41"/>
      <c r="E512" s="41"/>
      <c r="F512" s="41"/>
      <c r="G512" s="41">
        <v>2029741990.6800001</v>
      </c>
      <c r="H512" s="41"/>
      <c r="I512" s="41"/>
      <c r="J512" s="41"/>
      <c r="K512" s="41"/>
      <c r="L512" s="41"/>
      <c r="M512" s="41"/>
      <c r="N512" s="41"/>
      <c r="O512" s="140">
        <f t="shared" si="217"/>
        <v>2029741990.6800001</v>
      </c>
      <c r="P512" s="111">
        <v>2029741990.6800001</v>
      </c>
      <c r="Q512" s="108">
        <f t="shared" si="241"/>
        <v>0</v>
      </c>
      <c r="R512" s="86"/>
      <c r="S512" s="86"/>
      <c r="T512" s="86"/>
      <c r="U512" s="86"/>
      <c r="V512" s="86"/>
      <c r="W512" s="86"/>
      <c r="X512" s="86"/>
      <c r="Y512" s="86"/>
      <c r="Z512" s="86"/>
      <c r="AA512" s="86"/>
      <c r="AB512" s="86"/>
      <c r="AC512" s="86"/>
      <c r="AD512" s="86"/>
      <c r="AE512" s="86"/>
      <c r="AF512" s="86"/>
      <c r="AG512" s="86"/>
      <c r="AH512" s="86"/>
      <c r="AI512" s="86"/>
      <c r="AJ512" s="86"/>
      <c r="AK512" s="86"/>
      <c r="AL512" s="86"/>
      <c r="AM512" s="86"/>
      <c r="AN512" s="86"/>
      <c r="AO512" s="86"/>
      <c r="AP512" s="86"/>
      <c r="AQ512" s="86"/>
      <c r="AR512" s="86"/>
      <c r="AS512" s="86"/>
      <c r="AT512" s="86"/>
      <c r="AU512" s="86"/>
      <c r="AV512" s="86"/>
      <c r="AW512" s="86"/>
      <c r="AX512" s="86"/>
      <c r="AY512" s="86"/>
      <c r="AZ512" s="86"/>
      <c r="BA512" s="86"/>
      <c r="BB512" s="86"/>
      <c r="BC512" s="86"/>
      <c r="BD512" s="86"/>
      <c r="BE512" s="86"/>
      <c r="BF512" s="86"/>
      <c r="BG512" s="86"/>
      <c r="BH512" s="86"/>
      <c r="BI512" s="86"/>
      <c r="BJ512" s="86"/>
      <c r="BK512" s="86"/>
      <c r="BL512" s="86"/>
      <c r="BM512" s="86"/>
      <c r="BN512" s="86"/>
      <c r="BO512" s="86"/>
      <c r="BP512" s="86"/>
      <c r="BQ512" s="86"/>
      <c r="BR512" s="86"/>
      <c r="BS512" s="86"/>
      <c r="BT512" s="86"/>
      <c r="BU512" s="86"/>
      <c r="BV512" s="86"/>
    </row>
    <row r="513" spans="1:74" s="112" customFormat="1" ht="15.75" x14ac:dyDescent="0.2">
      <c r="A513" s="81" t="s">
        <v>1543</v>
      </c>
      <c r="B513" s="79" t="s">
        <v>1544</v>
      </c>
      <c r="C513" s="146">
        <f>+C514</f>
        <v>0</v>
      </c>
      <c r="D513" s="146">
        <f>+D514</f>
        <v>0</v>
      </c>
      <c r="E513" s="146">
        <f>+E514</f>
        <v>0</v>
      </c>
      <c r="F513" s="146">
        <f t="shared" ref="F513:N513" si="258">+F514</f>
        <v>0</v>
      </c>
      <c r="G513" s="146">
        <f t="shared" si="258"/>
        <v>1500000000</v>
      </c>
      <c r="H513" s="146">
        <f t="shared" si="258"/>
        <v>0</v>
      </c>
      <c r="I513" s="146">
        <f t="shared" si="258"/>
        <v>0</v>
      </c>
      <c r="J513" s="146">
        <f t="shared" si="258"/>
        <v>0</v>
      </c>
      <c r="K513" s="146">
        <f t="shared" si="258"/>
        <v>0</v>
      </c>
      <c r="L513" s="146">
        <f t="shared" si="258"/>
        <v>0</v>
      </c>
      <c r="M513" s="146">
        <f t="shared" si="258"/>
        <v>0</v>
      </c>
      <c r="N513" s="146">
        <f t="shared" si="258"/>
        <v>0</v>
      </c>
      <c r="O513" s="309">
        <f t="shared" si="217"/>
        <v>1500000000</v>
      </c>
      <c r="P513" s="86">
        <v>1500000000</v>
      </c>
      <c r="Q513" s="108">
        <f t="shared" si="241"/>
        <v>0</v>
      </c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  <c r="AI513" s="111"/>
      <c r="AJ513" s="111"/>
      <c r="AK513" s="111"/>
      <c r="AL513" s="111"/>
      <c r="AM513" s="111"/>
      <c r="AN513" s="111"/>
      <c r="AO513" s="111"/>
      <c r="AP513" s="111"/>
      <c r="AQ513" s="111"/>
      <c r="AR513" s="111"/>
      <c r="AS513" s="111"/>
      <c r="AT513" s="111"/>
      <c r="AU513" s="111"/>
      <c r="AV513" s="111"/>
      <c r="AW513" s="111"/>
      <c r="AX513" s="111"/>
      <c r="AY513" s="111"/>
      <c r="AZ513" s="111"/>
      <c r="BA513" s="111"/>
      <c r="BB513" s="111"/>
      <c r="BC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V513" s="111"/>
    </row>
    <row r="514" spans="1:74" s="87" customFormat="1" ht="15.75" x14ac:dyDescent="0.2">
      <c r="A514" s="76" t="s">
        <v>1545</v>
      </c>
      <c r="B514" s="77" t="s">
        <v>1544</v>
      </c>
      <c r="C514" s="41"/>
      <c r="D514" s="41"/>
      <c r="E514" s="41"/>
      <c r="F514" s="41"/>
      <c r="G514" s="41">
        <v>1500000000</v>
      </c>
      <c r="H514" s="41"/>
      <c r="I514" s="41"/>
      <c r="J514" s="41"/>
      <c r="K514" s="41"/>
      <c r="L514" s="41"/>
      <c r="M514" s="41"/>
      <c r="N514" s="41"/>
      <c r="O514" s="140">
        <f t="shared" si="217"/>
        <v>1500000000</v>
      </c>
      <c r="P514" s="111">
        <v>1500000000</v>
      </c>
      <c r="Q514" s="108">
        <f t="shared" si="241"/>
        <v>0</v>
      </c>
      <c r="R514" s="86"/>
      <c r="S514" s="86"/>
      <c r="T514" s="86"/>
      <c r="U514" s="86"/>
      <c r="V514" s="86"/>
      <c r="W514" s="86"/>
      <c r="X514" s="86"/>
      <c r="Y514" s="86"/>
      <c r="Z514" s="86"/>
      <c r="AA514" s="86"/>
      <c r="AB514" s="86"/>
      <c r="AC514" s="86"/>
      <c r="AD514" s="86"/>
      <c r="AE514" s="86"/>
      <c r="AF514" s="86"/>
      <c r="AG514" s="86"/>
      <c r="AH514" s="86"/>
      <c r="AI514" s="86"/>
      <c r="AJ514" s="86"/>
      <c r="AK514" s="86"/>
      <c r="AL514" s="86"/>
      <c r="AM514" s="86"/>
      <c r="AN514" s="86"/>
      <c r="AO514" s="86"/>
      <c r="AP514" s="86"/>
      <c r="AQ514" s="86"/>
      <c r="AR514" s="86"/>
      <c r="AS514" s="86"/>
      <c r="AT514" s="86"/>
      <c r="AU514" s="86"/>
      <c r="AV514" s="86"/>
      <c r="AW514" s="86"/>
      <c r="AX514" s="86"/>
      <c r="AY514" s="86"/>
      <c r="AZ514" s="86"/>
      <c r="BA514" s="86"/>
      <c r="BB514" s="86"/>
      <c r="BC514" s="86"/>
      <c r="BD514" s="86"/>
      <c r="BE514" s="86"/>
      <c r="BF514" s="86"/>
      <c r="BG514" s="86"/>
      <c r="BH514" s="86"/>
      <c r="BI514" s="86"/>
      <c r="BJ514" s="86"/>
      <c r="BK514" s="86"/>
      <c r="BL514" s="86"/>
      <c r="BM514" s="86"/>
      <c r="BN514" s="86"/>
      <c r="BO514" s="86"/>
      <c r="BP514" s="86"/>
      <c r="BQ514" s="86"/>
      <c r="BR514" s="86"/>
      <c r="BS514" s="86"/>
      <c r="BT514" s="86"/>
      <c r="BU514" s="86"/>
      <c r="BV514" s="86"/>
    </row>
    <row r="515" spans="1:74" s="112" customFormat="1" ht="15.75" x14ac:dyDescent="0.2">
      <c r="A515" s="81" t="s">
        <v>1546</v>
      </c>
      <c r="B515" s="79" t="s">
        <v>1547</v>
      </c>
      <c r="C515" s="146">
        <f>+C516</f>
        <v>0</v>
      </c>
      <c r="D515" s="146">
        <f>+D516</f>
        <v>0</v>
      </c>
      <c r="E515" s="146">
        <f>+E516</f>
        <v>0</v>
      </c>
      <c r="F515" s="146">
        <f t="shared" ref="F515:N515" si="259">+F516</f>
        <v>0</v>
      </c>
      <c r="G515" s="146">
        <f t="shared" si="259"/>
        <v>1500000000</v>
      </c>
      <c r="H515" s="146">
        <f t="shared" si="259"/>
        <v>0</v>
      </c>
      <c r="I515" s="146">
        <f t="shared" si="259"/>
        <v>0</v>
      </c>
      <c r="J515" s="146">
        <f t="shared" si="259"/>
        <v>0</v>
      </c>
      <c r="K515" s="146">
        <f t="shared" si="259"/>
        <v>0</v>
      </c>
      <c r="L515" s="146">
        <f t="shared" si="259"/>
        <v>0</v>
      </c>
      <c r="M515" s="146">
        <f t="shared" si="259"/>
        <v>0</v>
      </c>
      <c r="N515" s="146">
        <f t="shared" si="259"/>
        <v>0</v>
      </c>
      <c r="O515" s="309">
        <f t="shared" si="217"/>
        <v>1500000000</v>
      </c>
      <c r="P515" s="86">
        <v>1500000000</v>
      </c>
      <c r="Q515" s="108">
        <f t="shared" si="241"/>
        <v>0</v>
      </c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  <c r="AI515" s="111"/>
      <c r="AJ515" s="111"/>
      <c r="AK515" s="111"/>
      <c r="AL515" s="111"/>
      <c r="AM515" s="111"/>
      <c r="AN515" s="111"/>
      <c r="AO515" s="111"/>
      <c r="AP515" s="111"/>
      <c r="AQ515" s="111"/>
      <c r="AR515" s="111"/>
      <c r="AS515" s="111"/>
      <c r="AT515" s="111"/>
      <c r="AU515" s="111"/>
      <c r="AV515" s="111"/>
      <c r="AW515" s="111"/>
      <c r="AX515" s="111"/>
      <c r="AY515" s="111"/>
      <c r="AZ515" s="111"/>
      <c r="BA515" s="111"/>
      <c r="BB515" s="111"/>
      <c r="BC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V515" s="111"/>
    </row>
    <row r="516" spans="1:74" s="87" customFormat="1" ht="15.75" x14ac:dyDescent="0.2">
      <c r="A516" s="76" t="s">
        <v>1548</v>
      </c>
      <c r="B516" s="77" t="s">
        <v>1547</v>
      </c>
      <c r="C516" s="41"/>
      <c r="D516" s="41"/>
      <c r="E516" s="41"/>
      <c r="F516" s="41"/>
      <c r="G516" s="41">
        <v>1500000000</v>
      </c>
      <c r="H516" s="41"/>
      <c r="I516" s="41"/>
      <c r="J516" s="41"/>
      <c r="K516" s="41"/>
      <c r="L516" s="41"/>
      <c r="M516" s="41"/>
      <c r="N516" s="41"/>
      <c r="O516" s="140">
        <f t="shared" si="217"/>
        <v>1500000000</v>
      </c>
      <c r="P516" s="111">
        <v>1500000000</v>
      </c>
      <c r="Q516" s="108">
        <f t="shared" si="241"/>
        <v>0</v>
      </c>
      <c r="R516" s="86"/>
      <c r="S516" s="86"/>
      <c r="T516" s="86"/>
      <c r="U516" s="86"/>
      <c r="V516" s="86"/>
      <c r="W516" s="86"/>
      <c r="X516" s="86"/>
      <c r="Y516" s="86"/>
      <c r="Z516" s="86"/>
      <c r="AA516" s="86"/>
      <c r="AB516" s="86"/>
      <c r="AC516" s="86"/>
      <c r="AD516" s="86"/>
      <c r="AE516" s="86"/>
      <c r="AF516" s="86"/>
      <c r="AG516" s="86"/>
      <c r="AH516" s="86"/>
      <c r="AI516" s="86"/>
      <c r="AJ516" s="86"/>
      <c r="AK516" s="86"/>
      <c r="AL516" s="86"/>
      <c r="AM516" s="86"/>
      <c r="AN516" s="86"/>
      <c r="AO516" s="86"/>
      <c r="AP516" s="86"/>
      <c r="AQ516" s="86"/>
      <c r="AR516" s="86"/>
      <c r="AS516" s="86"/>
      <c r="AT516" s="86"/>
      <c r="AU516" s="86"/>
      <c r="AV516" s="86"/>
      <c r="AW516" s="86"/>
      <c r="AX516" s="86"/>
      <c r="AY516" s="86"/>
      <c r="AZ516" s="86"/>
      <c r="BA516" s="86"/>
      <c r="BB516" s="86"/>
      <c r="BC516" s="86"/>
      <c r="BD516" s="86"/>
      <c r="BE516" s="86"/>
      <c r="BF516" s="86"/>
      <c r="BG516" s="86"/>
      <c r="BH516" s="86"/>
      <c r="BI516" s="86"/>
      <c r="BJ516" s="86"/>
      <c r="BK516" s="86"/>
      <c r="BL516" s="86"/>
      <c r="BM516" s="86"/>
      <c r="BN516" s="86"/>
      <c r="BO516" s="86"/>
      <c r="BP516" s="86"/>
      <c r="BQ516" s="86"/>
      <c r="BR516" s="86"/>
      <c r="BS516" s="86"/>
      <c r="BT516" s="86"/>
      <c r="BU516" s="86"/>
      <c r="BV516" s="86"/>
    </row>
    <row r="517" spans="1:74" s="112" customFormat="1" ht="31.5" x14ac:dyDescent="0.2">
      <c r="A517" s="81" t="s">
        <v>1549</v>
      </c>
      <c r="B517" s="79" t="s">
        <v>1550</v>
      </c>
      <c r="C517" s="146">
        <f>+C518</f>
        <v>0</v>
      </c>
      <c r="D517" s="146">
        <f>+D518</f>
        <v>0</v>
      </c>
      <c r="E517" s="146">
        <f>+E518</f>
        <v>0</v>
      </c>
      <c r="F517" s="146">
        <f t="shared" ref="F517:N517" si="260">+F518</f>
        <v>0</v>
      </c>
      <c r="G517" s="146">
        <f t="shared" si="260"/>
        <v>1514607600.95</v>
      </c>
      <c r="H517" s="146">
        <f t="shared" si="260"/>
        <v>0</v>
      </c>
      <c r="I517" s="146">
        <f t="shared" si="260"/>
        <v>0</v>
      </c>
      <c r="J517" s="146">
        <f t="shared" si="260"/>
        <v>0</v>
      </c>
      <c r="K517" s="146">
        <f t="shared" si="260"/>
        <v>0</v>
      </c>
      <c r="L517" s="146">
        <f t="shared" si="260"/>
        <v>0</v>
      </c>
      <c r="M517" s="146">
        <f t="shared" si="260"/>
        <v>0</v>
      </c>
      <c r="N517" s="146">
        <f t="shared" si="260"/>
        <v>0</v>
      </c>
      <c r="O517" s="309">
        <f t="shared" si="217"/>
        <v>1514607600.95</v>
      </c>
      <c r="P517" s="86">
        <v>1514607600.95</v>
      </c>
      <c r="Q517" s="108">
        <f t="shared" si="241"/>
        <v>0</v>
      </c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  <c r="AN517" s="111"/>
      <c r="AO517" s="111"/>
      <c r="AP517" s="111"/>
      <c r="AQ517" s="111"/>
      <c r="AR517" s="111"/>
      <c r="AS517" s="111"/>
      <c r="AT517" s="111"/>
      <c r="AU517" s="111"/>
      <c r="AV517" s="111"/>
      <c r="AW517" s="111"/>
      <c r="AX517" s="111"/>
      <c r="AY517" s="111"/>
      <c r="AZ517" s="111"/>
      <c r="BA517" s="111"/>
      <c r="BB517" s="111"/>
      <c r="BC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V517" s="111"/>
    </row>
    <row r="518" spans="1:74" s="87" customFormat="1" ht="15.75" x14ac:dyDescent="0.2">
      <c r="A518" s="76" t="s">
        <v>1551</v>
      </c>
      <c r="B518" s="77" t="s">
        <v>1550</v>
      </c>
      <c r="C518" s="41"/>
      <c r="D518" s="41"/>
      <c r="E518" s="41"/>
      <c r="F518" s="41"/>
      <c r="G518" s="41">
        <v>1514607600.95</v>
      </c>
      <c r="H518" s="41"/>
      <c r="I518" s="41"/>
      <c r="J518" s="41"/>
      <c r="K518" s="41"/>
      <c r="L518" s="41"/>
      <c r="M518" s="41"/>
      <c r="N518" s="41"/>
      <c r="O518" s="140">
        <f t="shared" si="217"/>
        <v>1514607600.95</v>
      </c>
      <c r="P518" s="111">
        <v>1514607600.95</v>
      </c>
      <c r="Q518" s="108">
        <f t="shared" si="241"/>
        <v>0</v>
      </c>
      <c r="R518" s="86"/>
      <c r="S518" s="86"/>
      <c r="T518" s="86"/>
      <c r="U518" s="86"/>
      <c r="V518" s="86"/>
      <c r="W518" s="86"/>
      <c r="X518" s="86"/>
      <c r="Y518" s="86"/>
      <c r="Z518" s="86"/>
      <c r="AA518" s="86"/>
      <c r="AB518" s="86"/>
      <c r="AC518" s="86"/>
      <c r="AD518" s="86"/>
      <c r="AE518" s="86"/>
      <c r="AF518" s="86"/>
      <c r="AG518" s="86"/>
      <c r="AH518" s="86"/>
      <c r="AI518" s="86"/>
      <c r="AJ518" s="86"/>
      <c r="AK518" s="86"/>
      <c r="AL518" s="86"/>
      <c r="AM518" s="86"/>
      <c r="AN518" s="86"/>
      <c r="AO518" s="86"/>
      <c r="AP518" s="86"/>
      <c r="AQ518" s="86"/>
      <c r="AR518" s="86"/>
      <c r="AS518" s="86"/>
      <c r="AT518" s="86"/>
      <c r="AU518" s="86"/>
      <c r="AV518" s="86"/>
      <c r="AW518" s="86"/>
      <c r="AX518" s="86"/>
      <c r="AY518" s="86"/>
      <c r="AZ518" s="86"/>
      <c r="BA518" s="86"/>
      <c r="BB518" s="86"/>
      <c r="BC518" s="86"/>
      <c r="BD518" s="86"/>
      <c r="BE518" s="86"/>
      <c r="BF518" s="86"/>
      <c r="BG518" s="86"/>
      <c r="BH518" s="86"/>
      <c r="BI518" s="86"/>
      <c r="BJ518" s="86"/>
      <c r="BK518" s="86"/>
      <c r="BL518" s="86"/>
      <c r="BM518" s="86"/>
      <c r="BN518" s="86"/>
      <c r="BO518" s="86"/>
      <c r="BP518" s="86"/>
      <c r="BQ518" s="86"/>
      <c r="BR518" s="86"/>
      <c r="BS518" s="86"/>
      <c r="BT518" s="86"/>
      <c r="BU518" s="86"/>
      <c r="BV518" s="86"/>
    </row>
    <row r="519" spans="1:74" s="112" customFormat="1" ht="15.75" x14ac:dyDescent="0.2">
      <c r="A519" s="81" t="s">
        <v>1552</v>
      </c>
      <c r="B519" s="79" t="s">
        <v>1553</v>
      </c>
      <c r="C519" s="146">
        <f>+C520</f>
        <v>0</v>
      </c>
      <c r="D519" s="146">
        <f>+D520</f>
        <v>0</v>
      </c>
      <c r="E519" s="146">
        <f>+E520</f>
        <v>0</v>
      </c>
      <c r="F519" s="146">
        <f t="shared" ref="F519:N519" si="261">+F520</f>
        <v>0</v>
      </c>
      <c r="G519" s="146">
        <f t="shared" si="261"/>
        <v>3000000000</v>
      </c>
      <c r="H519" s="146">
        <f t="shared" si="261"/>
        <v>0</v>
      </c>
      <c r="I519" s="146">
        <f t="shared" si="261"/>
        <v>0</v>
      </c>
      <c r="J519" s="146">
        <f t="shared" si="261"/>
        <v>0</v>
      </c>
      <c r="K519" s="146">
        <f t="shared" si="261"/>
        <v>0</v>
      </c>
      <c r="L519" s="146">
        <f t="shared" si="261"/>
        <v>0</v>
      </c>
      <c r="M519" s="146">
        <f t="shared" si="261"/>
        <v>0</v>
      </c>
      <c r="N519" s="146">
        <f t="shared" si="261"/>
        <v>0</v>
      </c>
      <c r="O519" s="309">
        <f t="shared" si="217"/>
        <v>3000000000</v>
      </c>
      <c r="P519" s="86">
        <v>3000000000</v>
      </c>
      <c r="Q519" s="108">
        <f t="shared" si="241"/>
        <v>0</v>
      </c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  <c r="AI519" s="111"/>
      <c r="AJ519" s="111"/>
      <c r="AK519" s="111"/>
      <c r="AL519" s="111"/>
      <c r="AM519" s="111"/>
      <c r="AN519" s="111"/>
      <c r="AO519" s="111"/>
      <c r="AP519" s="111"/>
      <c r="AQ519" s="111"/>
      <c r="AR519" s="111"/>
      <c r="AS519" s="111"/>
      <c r="AT519" s="111"/>
      <c r="AU519" s="111"/>
      <c r="AV519" s="111"/>
      <c r="AW519" s="111"/>
      <c r="AX519" s="111"/>
      <c r="AY519" s="111"/>
      <c r="AZ519" s="111"/>
      <c r="BA519" s="111"/>
      <c r="BB519" s="111"/>
      <c r="BC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V519" s="111"/>
    </row>
    <row r="520" spans="1:74" s="87" customFormat="1" ht="15.75" x14ac:dyDescent="0.2">
      <c r="A520" s="76" t="s">
        <v>1554</v>
      </c>
      <c r="B520" s="77" t="s">
        <v>1553</v>
      </c>
      <c r="C520" s="41"/>
      <c r="D520" s="41"/>
      <c r="E520" s="41"/>
      <c r="F520" s="41"/>
      <c r="G520" s="41">
        <v>3000000000</v>
      </c>
      <c r="H520" s="41"/>
      <c r="I520" s="41"/>
      <c r="J520" s="41"/>
      <c r="K520" s="41"/>
      <c r="L520" s="41"/>
      <c r="M520" s="41"/>
      <c r="N520" s="41"/>
      <c r="O520" s="140">
        <f t="shared" si="217"/>
        <v>3000000000</v>
      </c>
      <c r="P520" s="111">
        <v>3000000000</v>
      </c>
      <c r="Q520" s="108">
        <f t="shared" si="241"/>
        <v>0</v>
      </c>
      <c r="R520" s="86"/>
      <c r="S520" s="86"/>
      <c r="T520" s="86"/>
      <c r="U520" s="86"/>
      <c r="V520" s="86"/>
      <c r="W520" s="86"/>
      <c r="X520" s="86"/>
      <c r="Y520" s="86"/>
      <c r="Z520" s="86"/>
      <c r="AA520" s="86"/>
      <c r="AB520" s="86"/>
      <c r="AC520" s="86"/>
      <c r="AD520" s="86"/>
      <c r="AE520" s="86"/>
      <c r="AF520" s="86"/>
      <c r="AG520" s="86"/>
      <c r="AH520" s="86"/>
      <c r="AI520" s="86"/>
      <c r="AJ520" s="86"/>
      <c r="AK520" s="86"/>
      <c r="AL520" s="86"/>
      <c r="AM520" s="86"/>
      <c r="AN520" s="86"/>
      <c r="AO520" s="86"/>
      <c r="AP520" s="86"/>
      <c r="AQ520" s="86"/>
      <c r="AR520" s="86"/>
      <c r="AS520" s="86"/>
      <c r="AT520" s="86"/>
      <c r="AU520" s="86"/>
      <c r="AV520" s="86"/>
      <c r="AW520" s="86"/>
      <c r="AX520" s="86"/>
      <c r="AY520" s="86"/>
      <c r="AZ520" s="86"/>
      <c r="BA520" s="86"/>
      <c r="BB520" s="86"/>
      <c r="BC520" s="86"/>
      <c r="BD520" s="86"/>
      <c r="BE520" s="86"/>
      <c r="BF520" s="86"/>
      <c r="BG520" s="86"/>
      <c r="BH520" s="86"/>
      <c r="BI520" s="86"/>
      <c r="BJ520" s="86"/>
      <c r="BK520" s="86"/>
      <c r="BL520" s="86"/>
      <c r="BM520" s="86"/>
      <c r="BN520" s="86"/>
      <c r="BO520" s="86"/>
      <c r="BP520" s="86"/>
      <c r="BQ520" s="86"/>
      <c r="BR520" s="86"/>
      <c r="BS520" s="86"/>
      <c r="BT520" s="86"/>
      <c r="BU520" s="86"/>
      <c r="BV520" s="86"/>
    </row>
    <row r="521" spans="1:74" s="112" customFormat="1" ht="31.5" x14ac:dyDescent="0.2">
      <c r="A521" s="81" t="s">
        <v>1555</v>
      </c>
      <c r="B521" s="79" t="s">
        <v>1556</v>
      </c>
      <c r="C521" s="146">
        <f>+C522</f>
        <v>0</v>
      </c>
      <c r="D521" s="146">
        <f>+D522</f>
        <v>0</v>
      </c>
      <c r="E521" s="146">
        <f>+E522</f>
        <v>0</v>
      </c>
      <c r="F521" s="146">
        <f t="shared" ref="F521:N521" si="262">+F522</f>
        <v>0</v>
      </c>
      <c r="G521" s="146">
        <f t="shared" si="262"/>
        <v>287868062</v>
      </c>
      <c r="H521" s="146">
        <f t="shared" si="262"/>
        <v>0</v>
      </c>
      <c r="I521" s="146">
        <f t="shared" si="262"/>
        <v>0</v>
      </c>
      <c r="J521" s="146">
        <f t="shared" si="262"/>
        <v>0</v>
      </c>
      <c r="K521" s="146">
        <f t="shared" si="262"/>
        <v>0</v>
      </c>
      <c r="L521" s="146">
        <f t="shared" si="262"/>
        <v>0</v>
      </c>
      <c r="M521" s="146">
        <f t="shared" si="262"/>
        <v>0</v>
      </c>
      <c r="N521" s="146">
        <f t="shared" si="262"/>
        <v>0</v>
      </c>
      <c r="O521" s="309">
        <f t="shared" si="217"/>
        <v>287868062</v>
      </c>
      <c r="P521" s="86">
        <v>287868062</v>
      </c>
      <c r="Q521" s="108">
        <f t="shared" si="241"/>
        <v>0</v>
      </c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  <c r="AI521" s="111"/>
      <c r="AJ521" s="111"/>
      <c r="AK521" s="111"/>
      <c r="AL521" s="111"/>
      <c r="AM521" s="111"/>
      <c r="AN521" s="111"/>
      <c r="AO521" s="111"/>
      <c r="AP521" s="111"/>
      <c r="AQ521" s="111"/>
      <c r="AR521" s="111"/>
      <c r="AS521" s="111"/>
      <c r="AT521" s="111"/>
      <c r="AU521" s="111"/>
      <c r="AV521" s="111"/>
      <c r="AW521" s="111"/>
      <c r="AX521" s="111"/>
      <c r="AY521" s="111"/>
      <c r="AZ521" s="111"/>
      <c r="BA521" s="111"/>
      <c r="BB521" s="111"/>
      <c r="BC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V521" s="111"/>
    </row>
    <row r="522" spans="1:74" s="87" customFormat="1" ht="28.5" x14ac:dyDescent="0.2">
      <c r="A522" s="76" t="s">
        <v>1557</v>
      </c>
      <c r="B522" s="77" t="s">
        <v>1556</v>
      </c>
      <c r="C522" s="41"/>
      <c r="D522" s="41"/>
      <c r="E522" s="41"/>
      <c r="F522" s="41"/>
      <c r="G522" s="41">
        <v>287868062</v>
      </c>
      <c r="H522" s="41"/>
      <c r="I522" s="41"/>
      <c r="J522" s="41"/>
      <c r="K522" s="41"/>
      <c r="L522" s="41"/>
      <c r="M522" s="41"/>
      <c r="N522" s="41"/>
      <c r="O522" s="140">
        <f t="shared" si="217"/>
        <v>287868062</v>
      </c>
      <c r="P522" s="111">
        <v>287868062</v>
      </c>
      <c r="Q522" s="108">
        <f t="shared" si="241"/>
        <v>0</v>
      </c>
      <c r="R522" s="86"/>
      <c r="S522" s="86"/>
      <c r="T522" s="86"/>
      <c r="U522" s="86"/>
      <c r="V522" s="86"/>
      <c r="W522" s="86"/>
      <c r="X522" s="86"/>
      <c r="Y522" s="86"/>
      <c r="Z522" s="86"/>
      <c r="AA522" s="86"/>
      <c r="AB522" s="86"/>
      <c r="AC522" s="86"/>
      <c r="AD522" s="86"/>
      <c r="AE522" s="86"/>
      <c r="AF522" s="86"/>
      <c r="AG522" s="86"/>
      <c r="AH522" s="86"/>
      <c r="AI522" s="86"/>
      <c r="AJ522" s="86"/>
      <c r="AK522" s="86"/>
      <c r="AL522" s="86"/>
      <c r="AM522" s="86"/>
      <c r="AN522" s="86"/>
      <c r="AO522" s="86"/>
      <c r="AP522" s="86"/>
      <c r="AQ522" s="86"/>
      <c r="AR522" s="86"/>
      <c r="AS522" s="86"/>
      <c r="AT522" s="86"/>
      <c r="AU522" s="86"/>
      <c r="AV522" s="86"/>
      <c r="AW522" s="86"/>
      <c r="AX522" s="86"/>
      <c r="AY522" s="86"/>
      <c r="AZ522" s="86"/>
      <c r="BA522" s="86"/>
      <c r="BB522" s="86"/>
      <c r="BC522" s="86"/>
      <c r="BD522" s="86"/>
      <c r="BE522" s="86"/>
      <c r="BF522" s="86"/>
      <c r="BG522" s="86"/>
      <c r="BH522" s="86"/>
      <c r="BI522" s="86"/>
      <c r="BJ522" s="86"/>
      <c r="BK522" s="86"/>
      <c r="BL522" s="86"/>
      <c r="BM522" s="86"/>
      <c r="BN522" s="86"/>
      <c r="BO522" s="86"/>
      <c r="BP522" s="86"/>
      <c r="BQ522" s="86"/>
      <c r="BR522" s="86"/>
      <c r="BS522" s="86"/>
      <c r="BT522" s="86"/>
      <c r="BU522" s="86"/>
      <c r="BV522" s="86"/>
    </row>
    <row r="523" spans="1:74" s="112" customFormat="1" ht="31.5" x14ac:dyDescent="0.2">
      <c r="A523" s="81" t="s">
        <v>1558</v>
      </c>
      <c r="B523" s="79" t="s">
        <v>1559</v>
      </c>
      <c r="C523" s="146">
        <f>+C524</f>
        <v>0</v>
      </c>
      <c r="D523" s="146">
        <f>+D524</f>
        <v>0</v>
      </c>
      <c r="E523" s="146">
        <f>+E524</f>
        <v>0</v>
      </c>
      <c r="F523" s="146">
        <f t="shared" ref="F523:N523" si="263">+F524</f>
        <v>0</v>
      </c>
      <c r="G523" s="146">
        <f t="shared" si="263"/>
        <v>320982097</v>
      </c>
      <c r="H523" s="146">
        <f t="shared" si="263"/>
        <v>0</v>
      </c>
      <c r="I523" s="146">
        <f t="shared" si="263"/>
        <v>0</v>
      </c>
      <c r="J523" s="146">
        <f t="shared" si="263"/>
        <v>0</v>
      </c>
      <c r="K523" s="146">
        <f t="shared" si="263"/>
        <v>0</v>
      </c>
      <c r="L523" s="146">
        <f t="shared" si="263"/>
        <v>0</v>
      </c>
      <c r="M523" s="146">
        <f t="shared" si="263"/>
        <v>0</v>
      </c>
      <c r="N523" s="146">
        <f t="shared" si="263"/>
        <v>0</v>
      </c>
      <c r="O523" s="309">
        <f t="shared" si="217"/>
        <v>320982097</v>
      </c>
      <c r="P523" s="111">
        <v>320982097</v>
      </c>
      <c r="Q523" s="108">
        <f t="shared" si="241"/>
        <v>0</v>
      </c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1"/>
      <c r="AM523" s="111"/>
      <c r="AN523" s="111"/>
      <c r="AO523" s="111"/>
      <c r="AP523" s="111"/>
      <c r="AQ523" s="111"/>
      <c r="AR523" s="111"/>
      <c r="AS523" s="111"/>
      <c r="AT523" s="111"/>
      <c r="AU523" s="111"/>
      <c r="AV523" s="111"/>
      <c r="AW523" s="111"/>
      <c r="AX523" s="111"/>
      <c r="AY523" s="111"/>
      <c r="AZ523" s="111"/>
      <c r="BA523" s="111"/>
      <c r="BB523" s="111"/>
      <c r="BC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V523" s="111"/>
    </row>
    <row r="524" spans="1:74" s="87" customFormat="1" ht="14.25" x14ac:dyDescent="0.2">
      <c r="A524" s="76" t="s">
        <v>1560</v>
      </c>
      <c r="B524" s="77" t="s">
        <v>1559</v>
      </c>
      <c r="C524" s="41"/>
      <c r="D524" s="41"/>
      <c r="E524" s="41"/>
      <c r="F524" s="41"/>
      <c r="G524" s="41">
        <v>320982097</v>
      </c>
      <c r="H524" s="41"/>
      <c r="I524" s="41"/>
      <c r="J524" s="41"/>
      <c r="K524" s="41"/>
      <c r="L524" s="41"/>
      <c r="M524" s="41"/>
      <c r="N524" s="41"/>
      <c r="O524" s="140">
        <f t="shared" si="217"/>
        <v>320982097</v>
      </c>
      <c r="P524" s="86">
        <v>320982097</v>
      </c>
      <c r="Q524" s="108">
        <f t="shared" si="241"/>
        <v>0</v>
      </c>
      <c r="R524" s="86"/>
      <c r="S524" s="86"/>
      <c r="T524" s="86"/>
      <c r="U524" s="86"/>
      <c r="V524" s="86"/>
      <c r="W524" s="86"/>
      <c r="X524" s="86"/>
      <c r="Y524" s="86"/>
      <c r="Z524" s="86"/>
      <c r="AA524" s="86"/>
      <c r="AB524" s="86"/>
      <c r="AC524" s="86"/>
      <c r="AD524" s="86"/>
      <c r="AE524" s="86"/>
      <c r="AF524" s="86"/>
      <c r="AG524" s="86"/>
      <c r="AH524" s="86"/>
      <c r="AI524" s="86"/>
      <c r="AJ524" s="86"/>
      <c r="AK524" s="86"/>
      <c r="AL524" s="86"/>
      <c r="AM524" s="86"/>
      <c r="AN524" s="86"/>
      <c r="AO524" s="86"/>
      <c r="AP524" s="86"/>
      <c r="AQ524" s="86"/>
      <c r="AR524" s="86"/>
      <c r="AS524" s="86"/>
      <c r="AT524" s="86"/>
      <c r="AU524" s="86"/>
      <c r="AV524" s="86"/>
      <c r="AW524" s="86"/>
      <c r="AX524" s="86"/>
      <c r="AY524" s="86"/>
      <c r="AZ524" s="86"/>
      <c r="BA524" s="86"/>
      <c r="BB524" s="86"/>
      <c r="BC524" s="86"/>
      <c r="BD524" s="86"/>
      <c r="BE524" s="86"/>
      <c r="BF524" s="86"/>
      <c r="BG524" s="86"/>
      <c r="BH524" s="86"/>
      <c r="BI524" s="86"/>
      <c r="BJ524" s="86"/>
      <c r="BK524" s="86"/>
      <c r="BL524" s="86"/>
      <c r="BM524" s="86"/>
      <c r="BN524" s="86"/>
      <c r="BO524" s="86"/>
      <c r="BP524" s="86"/>
      <c r="BQ524" s="86"/>
      <c r="BR524" s="86"/>
      <c r="BS524" s="86"/>
      <c r="BT524" s="86"/>
      <c r="BU524" s="86"/>
      <c r="BV524" s="86"/>
    </row>
    <row r="525" spans="1:74" s="112" customFormat="1" ht="63" x14ac:dyDescent="0.2">
      <c r="A525" s="81" t="s">
        <v>1561</v>
      </c>
      <c r="B525" s="79" t="s">
        <v>1562</v>
      </c>
      <c r="C525" s="146">
        <f>+C526</f>
        <v>0</v>
      </c>
      <c r="D525" s="146">
        <f>+D526</f>
        <v>0</v>
      </c>
      <c r="E525" s="146">
        <f>+E526</f>
        <v>0</v>
      </c>
      <c r="F525" s="146">
        <f t="shared" ref="F525:N525" si="264">+F526</f>
        <v>0</v>
      </c>
      <c r="G525" s="146">
        <f t="shared" si="264"/>
        <v>746887763.63</v>
      </c>
      <c r="H525" s="146">
        <f t="shared" si="264"/>
        <v>0</v>
      </c>
      <c r="I525" s="146">
        <f t="shared" si="264"/>
        <v>0</v>
      </c>
      <c r="J525" s="146">
        <f t="shared" si="264"/>
        <v>0</v>
      </c>
      <c r="K525" s="146">
        <f t="shared" si="264"/>
        <v>0</v>
      </c>
      <c r="L525" s="146">
        <f t="shared" si="264"/>
        <v>0</v>
      </c>
      <c r="M525" s="146">
        <f t="shared" si="264"/>
        <v>0</v>
      </c>
      <c r="N525" s="146">
        <f t="shared" si="264"/>
        <v>0</v>
      </c>
      <c r="O525" s="309">
        <f t="shared" si="217"/>
        <v>746887763.63</v>
      </c>
      <c r="P525" s="111">
        <v>746887763.63</v>
      </c>
      <c r="Q525" s="108">
        <f t="shared" si="241"/>
        <v>0</v>
      </c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1"/>
      <c r="AM525" s="111"/>
      <c r="AN525" s="111"/>
      <c r="AO525" s="111"/>
      <c r="AP525" s="111"/>
      <c r="AQ525" s="111"/>
      <c r="AR525" s="111"/>
      <c r="AS525" s="111"/>
      <c r="AT525" s="111"/>
      <c r="AU525" s="111"/>
      <c r="AV525" s="111"/>
      <c r="AW525" s="111"/>
      <c r="AX525" s="111"/>
      <c r="AY525" s="111"/>
      <c r="AZ525" s="111"/>
      <c r="BA525" s="111"/>
      <c r="BB525" s="111"/>
      <c r="BC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V525" s="111"/>
    </row>
    <row r="526" spans="1:74" s="87" customFormat="1" ht="57" x14ac:dyDescent="0.2">
      <c r="A526" s="76" t="s">
        <v>1563</v>
      </c>
      <c r="B526" s="77" t="s">
        <v>1562</v>
      </c>
      <c r="C526" s="41"/>
      <c r="D526" s="41"/>
      <c r="E526" s="41"/>
      <c r="F526" s="41"/>
      <c r="G526" s="41">
        <v>746887763.63</v>
      </c>
      <c r="H526" s="41"/>
      <c r="I526" s="41"/>
      <c r="J526" s="41"/>
      <c r="K526" s="41"/>
      <c r="L526" s="41"/>
      <c r="M526" s="41"/>
      <c r="N526" s="41"/>
      <c r="O526" s="140">
        <f t="shared" si="217"/>
        <v>746887763.63</v>
      </c>
      <c r="P526" s="86">
        <v>746887763.63</v>
      </c>
      <c r="Q526" s="108">
        <f t="shared" si="241"/>
        <v>0</v>
      </c>
      <c r="R526" s="86"/>
      <c r="S526" s="86"/>
      <c r="T526" s="86"/>
      <c r="U526" s="86"/>
      <c r="V526" s="86"/>
      <c r="W526" s="86"/>
      <c r="X526" s="86"/>
      <c r="Y526" s="86"/>
      <c r="Z526" s="86"/>
      <c r="AA526" s="86"/>
      <c r="AB526" s="86"/>
      <c r="AC526" s="86"/>
      <c r="AD526" s="86"/>
      <c r="AE526" s="86"/>
      <c r="AF526" s="86"/>
      <c r="AG526" s="86"/>
      <c r="AH526" s="86"/>
      <c r="AI526" s="86"/>
      <c r="AJ526" s="86"/>
      <c r="AK526" s="86"/>
      <c r="AL526" s="86"/>
      <c r="AM526" s="86"/>
      <c r="AN526" s="86"/>
      <c r="AO526" s="86"/>
      <c r="AP526" s="86"/>
      <c r="AQ526" s="86"/>
      <c r="AR526" s="86"/>
      <c r="AS526" s="86"/>
      <c r="AT526" s="86"/>
      <c r="AU526" s="86"/>
      <c r="AV526" s="86"/>
      <c r="AW526" s="86"/>
      <c r="AX526" s="86"/>
      <c r="AY526" s="86"/>
      <c r="AZ526" s="86"/>
      <c r="BA526" s="86"/>
      <c r="BB526" s="86"/>
      <c r="BC526" s="86"/>
      <c r="BD526" s="86"/>
      <c r="BE526" s="86"/>
      <c r="BF526" s="86"/>
      <c r="BG526" s="86"/>
      <c r="BH526" s="86"/>
      <c r="BI526" s="86"/>
      <c r="BJ526" s="86"/>
      <c r="BK526" s="86"/>
      <c r="BL526" s="86"/>
      <c r="BM526" s="86"/>
      <c r="BN526" s="86"/>
      <c r="BO526" s="86"/>
      <c r="BP526" s="86"/>
      <c r="BQ526" s="86"/>
      <c r="BR526" s="86"/>
      <c r="BS526" s="86"/>
      <c r="BT526" s="86"/>
      <c r="BU526" s="86"/>
      <c r="BV526" s="86"/>
    </row>
    <row r="527" spans="1:74" s="112" customFormat="1" ht="31.5" x14ac:dyDescent="0.2">
      <c r="A527" s="81" t="s">
        <v>1564</v>
      </c>
      <c r="B527" s="79" t="s">
        <v>1565</v>
      </c>
      <c r="C527" s="146">
        <f>+C528</f>
        <v>0</v>
      </c>
      <c r="D527" s="146">
        <f>+D528</f>
        <v>0</v>
      </c>
      <c r="E527" s="146">
        <f>+E528</f>
        <v>0</v>
      </c>
      <c r="F527" s="146">
        <f t="shared" ref="F527:N527" si="265">+F528</f>
        <v>0</v>
      </c>
      <c r="G527" s="146">
        <f t="shared" si="265"/>
        <v>493740289</v>
      </c>
      <c r="H527" s="146">
        <f t="shared" si="265"/>
        <v>0</v>
      </c>
      <c r="I527" s="146">
        <f t="shared" si="265"/>
        <v>0</v>
      </c>
      <c r="J527" s="146">
        <f t="shared" si="265"/>
        <v>0</v>
      </c>
      <c r="K527" s="146">
        <f t="shared" si="265"/>
        <v>0</v>
      </c>
      <c r="L527" s="146">
        <f t="shared" si="265"/>
        <v>0</v>
      </c>
      <c r="M527" s="146">
        <f t="shared" si="265"/>
        <v>0</v>
      </c>
      <c r="N527" s="146">
        <f t="shared" si="265"/>
        <v>0</v>
      </c>
      <c r="O527" s="309">
        <f t="shared" si="217"/>
        <v>493740289</v>
      </c>
      <c r="P527" s="111">
        <v>493740289</v>
      </c>
      <c r="Q527" s="108">
        <f t="shared" si="241"/>
        <v>0</v>
      </c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1"/>
      <c r="AM527" s="111"/>
      <c r="AN527" s="111"/>
      <c r="AO527" s="111"/>
      <c r="AP527" s="111"/>
      <c r="AQ527" s="111"/>
      <c r="AR527" s="111"/>
      <c r="AS527" s="111"/>
      <c r="AT527" s="111"/>
      <c r="AU527" s="111"/>
      <c r="AV527" s="111"/>
      <c r="AW527" s="111"/>
      <c r="AX527" s="111"/>
      <c r="AY527" s="111"/>
      <c r="AZ527" s="111"/>
      <c r="BA527" s="111"/>
      <c r="BB527" s="111"/>
      <c r="BC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V527" s="111"/>
    </row>
    <row r="528" spans="1:74" s="87" customFormat="1" ht="28.5" x14ac:dyDescent="0.2">
      <c r="A528" s="76" t="s">
        <v>1566</v>
      </c>
      <c r="B528" s="77" t="s">
        <v>1565</v>
      </c>
      <c r="C528" s="41"/>
      <c r="D528" s="41"/>
      <c r="E528" s="41"/>
      <c r="F528" s="41"/>
      <c r="G528" s="41">
        <v>493740289</v>
      </c>
      <c r="H528" s="41"/>
      <c r="I528" s="41"/>
      <c r="J528" s="41"/>
      <c r="K528" s="41"/>
      <c r="L528" s="41"/>
      <c r="M528" s="41"/>
      <c r="N528" s="41"/>
      <c r="O528" s="140">
        <f t="shared" ref="O528:O582" si="266">SUM(C528:N528)</f>
        <v>493740289</v>
      </c>
      <c r="P528" s="111">
        <v>493740289</v>
      </c>
      <c r="Q528" s="108">
        <f t="shared" si="241"/>
        <v>0</v>
      </c>
      <c r="R528" s="86"/>
      <c r="S528" s="86"/>
      <c r="T528" s="86"/>
      <c r="U528" s="86"/>
      <c r="V528" s="86"/>
      <c r="W528" s="86"/>
      <c r="X528" s="86"/>
      <c r="Y528" s="86"/>
      <c r="Z528" s="86"/>
      <c r="AA528" s="86"/>
      <c r="AB528" s="86"/>
      <c r="AC528" s="86"/>
      <c r="AD528" s="86"/>
      <c r="AE528" s="86"/>
      <c r="AF528" s="86"/>
      <c r="AG528" s="86"/>
      <c r="AH528" s="86"/>
      <c r="AI528" s="86"/>
      <c r="AJ528" s="86"/>
      <c r="AK528" s="86"/>
      <c r="AL528" s="86"/>
      <c r="AM528" s="86"/>
      <c r="AN528" s="86"/>
      <c r="AO528" s="86"/>
      <c r="AP528" s="86"/>
      <c r="AQ528" s="86"/>
      <c r="AR528" s="86"/>
      <c r="AS528" s="86"/>
      <c r="AT528" s="86"/>
      <c r="AU528" s="86"/>
      <c r="AV528" s="86"/>
      <c r="AW528" s="86"/>
      <c r="AX528" s="86"/>
      <c r="AY528" s="86"/>
      <c r="AZ528" s="86"/>
      <c r="BA528" s="86"/>
      <c r="BB528" s="86"/>
      <c r="BC528" s="86"/>
      <c r="BD528" s="86"/>
      <c r="BE528" s="86"/>
      <c r="BF528" s="86"/>
      <c r="BG528" s="86"/>
      <c r="BH528" s="86"/>
      <c r="BI528" s="86"/>
      <c r="BJ528" s="86"/>
      <c r="BK528" s="86"/>
      <c r="BL528" s="86"/>
      <c r="BM528" s="86"/>
      <c r="BN528" s="86"/>
      <c r="BO528" s="86"/>
      <c r="BP528" s="86"/>
      <c r="BQ528" s="86"/>
      <c r="BR528" s="86"/>
      <c r="BS528" s="86"/>
      <c r="BT528" s="86"/>
      <c r="BU528" s="86"/>
      <c r="BV528" s="86"/>
    </row>
    <row r="529" spans="1:74" s="112" customFormat="1" ht="31.5" x14ac:dyDescent="0.2">
      <c r="A529" s="81" t="s">
        <v>1567</v>
      </c>
      <c r="B529" s="79" t="s">
        <v>1568</v>
      </c>
      <c r="C529" s="146">
        <f>+C530</f>
        <v>0</v>
      </c>
      <c r="D529" s="146">
        <f>+D530</f>
        <v>0</v>
      </c>
      <c r="E529" s="146">
        <f>+E530</f>
        <v>0</v>
      </c>
      <c r="F529" s="146">
        <f t="shared" ref="F529:N529" si="267">+F530</f>
        <v>0</v>
      </c>
      <c r="G529" s="146">
        <f t="shared" si="267"/>
        <v>91334526.659999996</v>
      </c>
      <c r="H529" s="146">
        <f t="shared" si="267"/>
        <v>0</v>
      </c>
      <c r="I529" s="146">
        <f t="shared" si="267"/>
        <v>0</v>
      </c>
      <c r="J529" s="146">
        <f t="shared" si="267"/>
        <v>0</v>
      </c>
      <c r="K529" s="146">
        <f t="shared" si="267"/>
        <v>0</v>
      </c>
      <c r="L529" s="146">
        <f t="shared" si="267"/>
        <v>0</v>
      </c>
      <c r="M529" s="146">
        <f t="shared" si="267"/>
        <v>0</v>
      </c>
      <c r="N529" s="146">
        <f t="shared" si="267"/>
        <v>0</v>
      </c>
      <c r="O529" s="309">
        <f t="shared" si="266"/>
        <v>91334526.659999996</v>
      </c>
      <c r="P529" s="86">
        <v>91334526.659999996</v>
      </c>
      <c r="Q529" s="108">
        <f t="shared" si="241"/>
        <v>0</v>
      </c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1"/>
      <c r="AM529" s="111"/>
      <c r="AN529" s="111"/>
      <c r="AO529" s="111"/>
      <c r="AP529" s="111"/>
      <c r="AQ529" s="111"/>
      <c r="AR529" s="111"/>
      <c r="AS529" s="111"/>
      <c r="AT529" s="111"/>
      <c r="AU529" s="111"/>
      <c r="AV529" s="111"/>
      <c r="AW529" s="111"/>
      <c r="AX529" s="111"/>
      <c r="AY529" s="111"/>
      <c r="AZ529" s="111"/>
      <c r="BA529" s="111"/>
      <c r="BB529" s="111"/>
      <c r="BC529" s="111"/>
      <c r="BD529" s="111"/>
      <c r="BE529" s="111"/>
      <c r="BF529" s="111"/>
      <c r="BG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V529" s="111"/>
    </row>
    <row r="530" spans="1:74" s="87" customFormat="1" ht="15.75" x14ac:dyDescent="0.2">
      <c r="A530" s="76" t="s">
        <v>1569</v>
      </c>
      <c r="B530" s="77" t="s">
        <v>1568</v>
      </c>
      <c r="C530" s="41"/>
      <c r="D530" s="41"/>
      <c r="E530" s="41"/>
      <c r="F530" s="41"/>
      <c r="G530" s="41">
        <v>91334526.659999996</v>
      </c>
      <c r="H530" s="41"/>
      <c r="I530" s="41"/>
      <c r="J530" s="41"/>
      <c r="K530" s="41"/>
      <c r="L530" s="41"/>
      <c r="M530" s="41"/>
      <c r="N530" s="41"/>
      <c r="O530" s="140">
        <f t="shared" si="266"/>
        <v>91334526.659999996</v>
      </c>
      <c r="P530" s="111">
        <v>91334526.659999996</v>
      </c>
      <c r="Q530" s="108">
        <f t="shared" ref="Q530:Q595" si="268">+P530-O530</f>
        <v>0</v>
      </c>
      <c r="R530" s="86"/>
      <c r="S530" s="86"/>
      <c r="T530" s="86"/>
      <c r="U530" s="86"/>
      <c r="V530" s="86"/>
      <c r="W530" s="86"/>
      <c r="X530" s="86"/>
      <c r="Y530" s="86"/>
      <c r="Z530" s="86"/>
      <c r="AA530" s="86"/>
      <c r="AB530" s="86"/>
      <c r="AC530" s="86"/>
      <c r="AD530" s="86"/>
      <c r="AE530" s="86"/>
      <c r="AF530" s="86"/>
      <c r="AG530" s="86"/>
      <c r="AH530" s="86"/>
      <c r="AI530" s="86"/>
      <c r="AJ530" s="86"/>
      <c r="AK530" s="86"/>
      <c r="AL530" s="86"/>
      <c r="AM530" s="86"/>
      <c r="AN530" s="86"/>
      <c r="AO530" s="86"/>
      <c r="AP530" s="86"/>
      <c r="AQ530" s="86"/>
      <c r="AR530" s="86"/>
      <c r="AS530" s="86"/>
      <c r="AT530" s="86"/>
      <c r="AU530" s="86"/>
      <c r="AV530" s="86"/>
      <c r="AW530" s="86"/>
      <c r="AX530" s="86"/>
      <c r="AY530" s="86"/>
      <c r="AZ530" s="86"/>
      <c r="BA530" s="86"/>
      <c r="BB530" s="86"/>
      <c r="BC530" s="86"/>
      <c r="BD530" s="86"/>
      <c r="BE530" s="86"/>
      <c r="BF530" s="86"/>
      <c r="BG530" s="86"/>
      <c r="BH530" s="86"/>
      <c r="BI530" s="86"/>
      <c r="BJ530" s="86"/>
      <c r="BK530" s="86"/>
      <c r="BL530" s="86"/>
      <c r="BM530" s="86"/>
      <c r="BN530" s="86"/>
      <c r="BO530" s="86"/>
      <c r="BP530" s="86"/>
      <c r="BQ530" s="86"/>
      <c r="BR530" s="86"/>
      <c r="BS530" s="86"/>
      <c r="BT530" s="86"/>
      <c r="BU530" s="86"/>
      <c r="BV530" s="86"/>
    </row>
    <row r="531" spans="1:74" s="112" customFormat="1" ht="31.5" x14ac:dyDescent="0.2">
      <c r="A531" s="81" t="s">
        <v>1570</v>
      </c>
      <c r="B531" s="79" t="s">
        <v>1571</v>
      </c>
      <c r="C531" s="146">
        <f>+C532</f>
        <v>0</v>
      </c>
      <c r="D531" s="146">
        <f>+D532</f>
        <v>0</v>
      </c>
      <c r="E531" s="146">
        <f>+E532</f>
        <v>0</v>
      </c>
      <c r="F531" s="146">
        <f t="shared" ref="F531:N531" si="269">+F532</f>
        <v>0</v>
      </c>
      <c r="G531" s="146">
        <f t="shared" si="269"/>
        <v>336647722.75999999</v>
      </c>
      <c r="H531" s="146">
        <f t="shared" si="269"/>
        <v>0</v>
      </c>
      <c r="I531" s="146">
        <f t="shared" si="269"/>
        <v>0</v>
      </c>
      <c r="J531" s="146">
        <f t="shared" si="269"/>
        <v>0</v>
      </c>
      <c r="K531" s="146">
        <f t="shared" si="269"/>
        <v>0</v>
      </c>
      <c r="L531" s="146">
        <f t="shared" si="269"/>
        <v>0</v>
      </c>
      <c r="M531" s="146">
        <f t="shared" si="269"/>
        <v>0</v>
      </c>
      <c r="N531" s="146">
        <f t="shared" si="269"/>
        <v>0</v>
      </c>
      <c r="O531" s="309">
        <f t="shared" si="266"/>
        <v>336647722.75999999</v>
      </c>
      <c r="P531" s="86">
        <v>336647722.75999999</v>
      </c>
      <c r="Q531" s="108">
        <f t="shared" si="268"/>
        <v>0</v>
      </c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1"/>
      <c r="AM531" s="111"/>
      <c r="AN531" s="111"/>
      <c r="AO531" s="111"/>
      <c r="AP531" s="111"/>
      <c r="AQ531" s="111"/>
      <c r="AR531" s="111"/>
      <c r="AS531" s="111"/>
      <c r="AT531" s="111"/>
      <c r="AU531" s="111"/>
      <c r="AV531" s="111"/>
      <c r="AW531" s="111"/>
      <c r="AX531" s="111"/>
      <c r="AY531" s="111"/>
      <c r="AZ531" s="111"/>
      <c r="BA531" s="111"/>
      <c r="BB531" s="111"/>
      <c r="BC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V531" s="111"/>
    </row>
    <row r="532" spans="1:74" s="87" customFormat="1" ht="28.5" x14ac:dyDescent="0.2">
      <c r="A532" s="76" t="s">
        <v>1572</v>
      </c>
      <c r="B532" s="77" t="s">
        <v>1571</v>
      </c>
      <c r="C532" s="41"/>
      <c r="D532" s="41"/>
      <c r="E532" s="41"/>
      <c r="F532" s="41"/>
      <c r="G532" s="41">
        <v>336647722.75999999</v>
      </c>
      <c r="H532" s="41"/>
      <c r="I532" s="41"/>
      <c r="J532" s="41"/>
      <c r="K532" s="41"/>
      <c r="L532" s="41"/>
      <c r="M532" s="41"/>
      <c r="N532" s="41"/>
      <c r="O532" s="140">
        <f t="shared" si="266"/>
        <v>336647722.75999999</v>
      </c>
      <c r="P532" s="86">
        <v>336647722.75999999</v>
      </c>
      <c r="Q532" s="108">
        <f t="shared" si="268"/>
        <v>0</v>
      </c>
      <c r="R532" s="86"/>
      <c r="S532" s="86"/>
      <c r="T532" s="86"/>
      <c r="U532" s="86"/>
      <c r="V532" s="86"/>
      <c r="W532" s="86"/>
      <c r="X532" s="86"/>
      <c r="Y532" s="86"/>
      <c r="Z532" s="86"/>
      <c r="AA532" s="86"/>
      <c r="AB532" s="86"/>
      <c r="AC532" s="86"/>
      <c r="AD532" s="86"/>
      <c r="AE532" s="86"/>
      <c r="AF532" s="86"/>
      <c r="AG532" s="86"/>
      <c r="AH532" s="86"/>
      <c r="AI532" s="86"/>
      <c r="AJ532" s="86"/>
      <c r="AK532" s="86"/>
      <c r="AL532" s="86"/>
      <c r="AM532" s="86"/>
      <c r="AN532" s="86"/>
      <c r="AO532" s="86"/>
      <c r="AP532" s="86"/>
      <c r="AQ532" s="86"/>
      <c r="AR532" s="86"/>
      <c r="AS532" s="86"/>
      <c r="AT532" s="86"/>
      <c r="AU532" s="86"/>
      <c r="AV532" s="86"/>
      <c r="AW532" s="86"/>
      <c r="AX532" s="86"/>
      <c r="AY532" s="86"/>
      <c r="AZ532" s="86"/>
      <c r="BA532" s="86"/>
      <c r="BB532" s="86"/>
      <c r="BC532" s="86"/>
      <c r="BD532" s="86"/>
      <c r="BE532" s="86"/>
      <c r="BF532" s="86"/>
      <c r="BG532" s="86"/>
      <c r="BH532" s="86"/>
      <c r="BI532" s="86"/>
      <c r="BJ532" s="86"/>
      <c r="BK532" s="86"/>
      <c r="BL532" s="86"/>
      <c r="BM532" s="86"/>
      <c r="BN532" s="86"/>
      <c r="BO532" s="86"/>
      <c r="BP532" s="86"/>
      <c r="BQ532" s="86"/>
      <c r="BR532" s="86"/>
      <c r="BS532" s="86"/>
      <c r="BT532" s="86"/>
      <c r="BU532" s="86"/>
      <c r="BV532" s="86"/>
    </row>
    <row r="533" spans="1:74" s="112" customFormat="1" ht="31.5" x14ac:dyDescent="0.2">
      <c r="A533" s="81" t="s">
        <v>1573</v>
      </c>
      <c r="B533" s="79" t="s">
        <v>1574</v>
      </c>
      <c r="C533" s="146">
        <f>+C534</f>
        <v>0</v>
      </c>
      <c r="D533" s="146">
        <f>+D534</f>
        <v>0</v>
      </c>
      <c r="E533" s="146">
        <f>+E534</f>
        <v>0</v>
      </c>
      <c r="F533" s="146">
        <f t="shared" ref="F533:N533" si="270">+F534</f>
        <v>0</v>
      </c>
      <c r="G533" s="146">
        <f t="shared" si="270"/>
        <v>4277916497.3200002</v>
      </c>
      <c r="H533" s="146">
        <f t="shared" si="270"/>
        <v>0</v>
      </c>
      <c r="I533" s="146">
        <f t="shared" si="270"/>
        <v>0</v>
      </c>
      <c r="J533" s="146">
        <f t="shared" si="270"/>
        <v>0</v>
      </c>
      <c r="K533" s="146">
        <f t="shared" si="270"/>
        <v>0</v>
      </c>
      <c r="L533" s="146">
        <f t="shared" si="270"/>
        <v>0</v>
      </c>
      <c r="M533" s="146">
        <f t="shared" si="270"/>
        <v>0</v>
      </c>
      <c r="N533" s="146">
        <f t="shared" si="270"/>
        <v>0</v>
      </c>
      <c r="O533" s="309">
        <f t="shared" si="266"/>
        <v>4277916497.3200002</v>
      </c>
      <c r="P533" s="86">
        <v>4277916497.3200002</v>
      </c>
      <c r="Q533" s="108">
        <f t="shared" si="268"/>
        <v>0</v>
      </c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111"/>
      <c r="AY533" s="111"/>
      <c r="AZ533" s="111"/>
      <c r="BA533" s="111"/>
      <c r="BB533" s="111"/>
      <c r="BC533" s="111"/>
      <c r="BD533" s="111"/>
      <c r="BE533" s="111"/>
      <c r="BF533" s="111"/>
      <c r="BG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V533" s="111"/>
    </row>
    <row r="534" spans="1:74" s="87" customFormat="1" ht="28.5" x14ac:dyDescent="0.2">
      <c r="A534" s="76" t="s">
        <v>1575</v>
      </c>
      <c r="B534" s="77" t="s">
        <v>1574</v>
      </c>
      <c r="C534" s="41"/>
      <c r="D534" s="41"/>
      <c r="E534" s="41"/>
      <c r="F534" s="41"/>
      <c r="G534" s="41">
        <v>4277916497.3200002</v>
      </c>
      <c r="H534" s="41"/>
      <c r="I534" s="41"/>
      <c r="J534" s="41"/>
      <c r="K534" s="41"/>
      <c r="L534" s="41"/>
      <c r="M534" s="41"/>
      <c r="N534" s="41"/>
      <c r="O534" s="140">
        <f t="shared" si="266"/>
        <v>4277916497.3200002</v>
      </c>
      <c r="P534" s="86">
        <v>4277916497.3200002</v>
      </c>
      <c r="Q534" s="108">
        <f t="shared" si="268"/>
        <v>0</v>
      </c>
      <c r="R534" s="86"/>
      <c r="S534" s="86"/>
      <c r="T534" s="86"/>
      <c r="U534" s="86"/>
      <c r="V534" s="86"/>
      <c r="W534" s="86"/>
      <c r="X534" s="86"/>
      <c r="Y534" s="86"/>
      <c r="Z534" s="86"/>
      <c r="AA534" s="86"/>
      <c r="AB534" s="86"/>
      <c r="AC534" s="86"/>
      <c r="AD534" s="86"/>
      <c r="AE534" s="86"/>
      <c r="AF534" s="86"/>
      <c r="AG534" s="86"/>
      <c r="AH534" s="86"/>
      <c r="AI534" s="86"/>
      <c r="AJ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86"/>
      <c r="BB534" s="86"/>
      <c r="BC534" s="86"/>
      <c r="BD534" s="86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  <c r="BO534" s="86"/>
      <c r="BP534" s="86"/>
      <c r="BQ534" s="86"/>
      <c r="BR534" s="86"/>
      <c r="BS534" s="86"/>
      <c r="BT534" s="86"/>
      <c r="BU534" s="86"/>
      <c r="BV534" s="86"/>
    </row>
    <row r="535" spans="1:74" s="112" customFormat="1" ht="15.75" x14ac:dyDescent="0.2">
      <c r="A535" s="81" t="s">
        <v>1576</v>
      </c>
      <c r="B535" s="79" t="s">
        <v>1577</v>
      </c>
      <c r="C535" s="146">
        <f>+C536</f>
        <v>0</v>
      </c>
      <c r="D535" s="146">
        <f>+D536</f>
        <v>0</v>
      </c>
      <c r="E535" s="146">
        <f>+E536</f>
        <v>0</v>
      </c>
      <c r="F535" s="146">
        <f t="shared" ref="F535:N535" si="271">+F536</f>
        <v>0</v>
      </c>
      <c r="G535" s="146">
        <f t="shared" si="271"/>
        <v>14058954.529999999</v>
      </c>
      <c r="H535" s="146">
        <f t="shared" si="271"/>
        <v>0</v>
      </c>
      <c r="I535" s="146">
        <f t="shared" si="271"/>
        <v>0</v>
      </c>
      <c r="J535" s="146">
        <f t="shared" si="271"/>
        <v>0</v>
      </c>
      <c r="K535" s="146">
        <f t="shared" si="271"/>
        <v>0</v>
      </c>
      <c r="L535" s="146">
        <f t="shared" si="271"/>
        <v>0</v>
      </c>
      <c r="M535" s="146">
        <f t="shared" si="271"/>
        <v>0</v>
      </c>
      <c r="N535" s="146">
        <f t="shared" si="271"/>
        <v>0</v>
      </c>
      <c r="O535" s="309">
        <f t="shared" si="266"/>
        <v>14058954.529999999</v>
      </c>
      <c r="P535" s="86">
        <v>14058954.529999999</v>
      </c>
      <c r="Q535" s="108">
        <f t="shared" si="268"/>
        <v>0</v>
      </c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1"/>
      <c r="AM535" s="111"/>
      <c r="AN535" s="111"/>
      <c r="AO535" s="111"/>
      <c r="AP535" s="111"/>
      <c r="AQ535" s="111"/>
      <c r="AR535" s="111"/>
      <c r="AS535" s="111"/>
      <c r="AT535" s="111"/>
      <c r="AU535" s="111"/>
      <c r="AV535" s="111"/>
      <c r="AW535" s="111"/>
      <c r="AX535" s="111"/>
      <c r="AY535" s="111"/>
      <c r="AZ535" s="111"/>
      <c r="BA535" s="111"/>
      <c r="BB535" s="111"/>
      <c r="BC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V535" s="111"/>
    </row>
    <row r="536" spans="1:74" s="87" customFormat="1" ht="14.25" x14ac:dyDescent="0.2">
      <c r="A536" s="76" t="s">
        <v>1578</v>
      </c>
      <c r="B536" s="77" t="s">
        <v>1577</v>
      </c>
      <c r="C536" s="41"/>
      <c r="D536" s="41"/>
      <c r="E536" s="41"/>
      <c r="F536" s="41"/>
      <c r="G536" s="41">
        <v>14058954.529999999</v>
      </c>
      <c r="H536" s="41"/>
      <c r="I536" s="41"/>
      <c r="J536" s="41"/>
      <c r="K536" s="41"/>
      <c r="L536" s="41"/>
      <c r="M536" s="41"/>
      <c r="N536" s="41"/>
      <c r="O536" s="140">
        <f t="shared" si="266"/>
        <v>14058954.529999999</v>
      </c>
      <c r="P536" s="86">
        <v>14058954.529999999</v>
      </c>
      <c r="Q536" s="108">
        <f t="shared" si="268"/>
        <v>0</v>
      </c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86"/>
      <c r="AD536" s="86"/>
      <c r="AE536" s="86"/>
      <c r="AF536" s="86"/>
      <c r="AG536" s="86"/>
      <c r="AH536" s="86"/>
      <c r="AI536" s="86"/>
      <c r="AJ536" s="86"/>
      <c r="AK536" s="86"/>
      <c r="AL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6"/>
      <c r="BA536" s="86"/>
      <c r="BB536" s="86"/>
      <c r="BC536" s="86"/>
      <c r="BD536" s="86"/>
      <c r="BE536" s="86"/>
      <c r="BF536" s="86"/>
      <c r="BG536" s="86"/>
      <c r="BH536" s="86"/>
      <c r="BI536" s="86"/>
      <c r="BJ536" s="86"/>
      <c r="BK536" s="86"/>
      <c r="BL536" s="86"/>
      <c r="BM536" s="86"/>
      <c r="BN536" s="86"/>
      <c r="BO536" s="86"/>
      <c r="BP536" s="86"/>
      <c r="BQ536" s="86"/>
      <c r="BR536" s="86"/>
      <c r="BS536" s="86"/>
      <c r="BT536" s="86"/>
      <c r="BU536" s="86"/>
      <c r="BV536" s="86"/>
    </row>
    <row r="537" spans="1:74" s="112" customFormat="1" ht="31.5" x14ac:dyDescent="0.2">
      <c r="A537" s="81" t="s">
        <v>1579</v>
      </c>
      <c r="B537" s="79" t="s">
        <v>1580</v>
      </c>
      <c r="C537" s="146">
        <f>+C538</f>
        <v>0</v>
      </c>
      <c r="D537" s="146">
        <f>+D538</f>
        <v>0</v>
      </c>
      <c r="E537" s="146">
        <f>+E538</f>
        <v>0</v>
      </c>
      <c r="F537" s="146">
        <f t="shared" ref="F537:N537" si="272">+F538</f>
        <v>0</v>
      </c>
      <c r="G537" s="146">
        <f t="shared" si="272"/>
        <v>234675</v>
      </c>
      <c r="H537" s="146">
        <f t="shared" si="272"/>
        <v>0</v>
      </c>
      <c r="I537" s="146">
        <f t="shared" si="272"/>
        <v>0</v>
      </c>
      <c r="J537" s="146">
        <f t="shared" si="272"/>
        <v>0</v>
      </c>
      <c r="K537" s="146">
        <f t="shared" si="272"/>
        <v>0</v>
      </c>
      <c r="L537" s="146">
        <f t="shared" si="272"/>
        <v>0</v>
      </c>
      <c r="M537" s="146">
        <f t="shared" si="272"/>
        <v>0</v>
      </c>
      <c r="N537" s="146">
        <f t="shared" si="272"/>
        <v>0</v>
      </c>
      <c r="O537" s="309">
        <f t="shared" si="266"/>
        <v>234675</v>
      </c>
      <c r="P537" s="86">
        <v>234675</v>
      </c>
      <c r="Q537" s="108">
        <f t="shared" si="268"/>
        <v>0</v>
      </c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1"/>
      <c r="AM537" s="111"/>
      <c r="AN537" s="111"/>
      <c r="AO537" s="111"/>
      <c r="AP537" s="111"/>
      <c r="AQ537" s="111"/>
      <c r="AR537" s="111"/>
      <c r="AS537" s="111"/>
      <c r="AT537" s="111"/>
      <c r="AU537" s="111"/>
      <c r="AV537" s="111"/>
      <c r="AW537" s="111"/>
      <c r="AX537" s="111"/>
      <c r="AY537" s="111"/>
      <c r="AZ537" s="111"/>
      <c r="BA537" s="111"/>
      <c r="BB537" s="111"/>
      <c r="BC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V537" s="111"/>
    </row>
    <row r="538" spans="1:74" s="87" customFormat="1" ht="28.5" x14ac:dyDescent="0.2">
      <c r="A538" s="76" t="s">
        <v>1581</v>
      </c>
      <c r="B538" s="77" t="s">
        <v>1580</v>
      </c>
      <c r="C538" s="41"/>
      <c r="D538" s="41"/>
      <c r="E538" s="41"/>
      <c r="F538" s="41"/>
      <c r="G538" s="41">
        <v>234675</v>
      </c>
      <c r="H538" s="41"/>
      <c r="I538" s="41"/>
      <c r="J538" s="41"/>
      <c r="K538" s="41"/>
      <c r="L538" s="41"/>
      <c r="M538" s="41"/>
      <c r="N538" s="41"/>
      <c r="O538" s="140">
        <f t="shared" si="266"/>
        <v>234675</v>
      </c>
      <c r="P538" s="86">
        <v>234675</v>
      </c>
      <c r="Q538" s="108">
        <f t="shared" si="268"/>
        <v>0</v>
      </c>
      <c r="R538" s="86"/>
      <c r="S538" s="86"/>
      <c r="T538" s="86"/>
      <c r="U538" s="86"/>
      <c r="V538" s="86"/>
      <c r="W538" s="86"/>
      <c r="X538" s="86"/>
      <c r="Y538" s="86"/>
      <c r="Z538" s="86"/>
      <c r="AA538" s="86"/>
      <c r="AB538" s="86"/>
      <c r="AC538" s="86"/>
      <c r="AD538" s="86"/>
      <c r="AE538" s="86"/>
      <c r="AF538" s="86"/>
      <c r="AG538" s="86"/>
      <c r="AH538" s="86"/>
      <c r="AI538" s="86"/>
      <c r="AJ538" s="86"/>
      <c r="AK538" s="86"/>
      <c r="AL538" s="86"/>
      <c r="AM538" s="86"/>
      <c r="AN538" s="86"/>
      <c r="AO538" s="86"/>
      <c r="AP538" s="86"/>
      <c r="AQ538" s="86"/>
      <c r="AR538" s="86"/>
      <c r="AS538" s="86"/>
      <c r="AT538" s="86"/>
      <c r="AU538" s="86"/>
      <c r="AV538" s="86"/>
      <c r="AW538" s="86"/>
      <c r="AX538" s="86"/>
      <c r="AY538" s="86"/>
      <c r="AZ538" s="86"/>
      <c r="BA538" s="86"/>
      <c r="BB538" s="86"/>
      <c r="BC538" s="86"/>
      <c r="BD538" s="86"/>
      <c r="BE538" s="86"/>
      <c r="BF538" s="86"/>
      <c r="BG538" s="86"/>
      <c r="BH538" s="86"/>
      <c r="BI538" s="86"/>
      <c r="BJ538" s="86"/>
      <c r="BK538" s="86"/>
      <c r="BL538" s="86"/>
      <c r="BM538" s="86"/>
      <c r="BN538" s="86"/>
      <c r="BO538" s="86"/>
      <c r="BP538" s="86"/>
      <c r="BQ538" s="86"/>
      <c r="BR538" s="86"/>
      <c r="BS538" s="86"/>
      <c r="BT538" s="86"/>
      <c r="BU538" s="86"/>
      <c r="BV538" s="86"/>
    </row>
    <row r="539" spans="1:74" s="112" customFormat="1" ht="31.5" x14ac:dyDescent="0.2">
      <c r="A539" s="81" t="s">
        <v>1582</v>
      </c>
      <c r="B539" s="79" t="s">
        <v>1583</v>
      </c>
      <c r="C539" s="146">
        <f>+C540</f>
        <v>0</v>
      </c>
      <c r="D539" s="146">
        <f>+D540</f>
        <v>0</v>
      </c>
      <c r="E539" s="146">
        <f>+E540</f>
        <v>0</v>
      </c>
      <c r="F539" s="146">
        <f t="shared" ref="F539:N539" si="273">+F540</f>
        <v>0</v>
      </c>
      <c r="G539" s="146">
        <f t="shared" si="273"/>
        <v>6828499.0099999998</v>
      </c>
      <c r="H539" s="146">
        <f t="shared" si="273"/>
        <v>0</v>
      </c>
      <c r="I539" s="146">
        <f t="shared" si="273"/>
        <v>0</v>
      </c>
      <c r="J539" s="146">
        <f t="shared" si="273"/>
        <v>0</v>
      </c>
      <c r="K539" s="146">
        <f t="shared" si="273"/>
        <v>0</v>
      </c>
      <c r="L539" s="146">
        <f t="shared" si="273"/>
        <v>0</v>
      </c>
      <c r="M539" s="146">
        <f t="shared" si="273"/>
        <v>0</v>
      </c>
      <c r="N539" s="146">
        <f t="shared" si="273"/>
        <v>0</v>
      </c>
      <c r="O539" s="309">
        <f t="shared" si="266"/>
        <v>6828499.0099999998</v>
      </c>
      <c r="P539" s="86">
        <v>6828499.0099999998</v>
      </c>
      <c r="Q539" s="108">
        <f t="shared" si="268"/>
        <v>0</v>
      </c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X539" s="111"/>
      <c r="AY539" s="111"/>
      <c r="AZ539" s="111"/>
      <c r="BA539" s="111"/>
      <c r="BB539" s="111"/>
      <c r="BC539" s="111"/>
      <c r="BD539" s="111"/>
      <c r="BE539" s="111"/>
      <c r="BF539" s="111"/>
      <c r="BG539" s="111"/>
      <c r="BH539" s="111"/>
      <c r="BI539" s="111"/>
      <c r="BJ539" s="111"/>
      <c r="BK539" s="111"/>
      <c r="BL539" s="111"/>
      <c r="BM539" s="111"/>
      <c r="BN539" s="111"/>
      <c r="BO539" s="111"/>
      <c r="BP539" s="111"/>
      <c r="BQ539" s="111"/>
      <c r="BR539" s="111"/>
      <c r="BS539" s="111"/>
      <c r="BT539" s="111"/>
      <c r="BU539" s="111"/>
      <c r="BV539" s="111"/>
    </row>
    <row r="540" spans="1:74" s="87" customFormat="1" ht="28.5" x14ac:dyDescent="0.2">
      <c r="A540" s="76" t="s">
        <v>1584</v>
      </c>
      <c r="B540" s="77" t="s">
        <v>1583</v>
      </c>
      <c r="C540" s="41"/>
      <c r="D540" s="41"/>
      <c r="E540" s="41"/>
      <c r="F540" s="41"/>
      <c r="G540" s="41">
        <v>6828499.0099999998</v>
      </c>
      <c r="H540" s="41"/>
      <c r="I540" s="41"/>
      <c r="J540" s="41"/>
      <c r="K540" s="41"/>
      <c r="L540" s="41"/>
      <c r="M540" s="41"/>
      <c r="N540" s="41"/>
      <c r="O540" s="140">
        <f t="shared" si="266"/>
        <v>6828499.0099999998</v>
      </c>
      <c r="P540" s="86">
        <v>6828499.0099999998</v>
      </c>
      <c r="Q540" s="108">
        <f t="shared" si="268"/>
        <v>0</v>
      </c>
      <c r="R540" s="86"/>
      <c r="S540" s="86"/>
      <c r="T540" s="86"/>
      <c r="U540" s="86"/>
      <c r="V540" s="86"/>
      <c r="W540" s="86"/>
      <c r="X540" s="86"/>
      <c r="Y540" s="86"/>
      <c r="Z540" s="86"/>
      <c r="AA540" s="86"/>
      <c r="AB540" s="86"/>
      <c r="AC540" s="86"/>
      <c r="AD540" s="86"/>
      <c r="AE540" s="86"/>
      <c r="AF540" s="86"/>
      <c r="AG540" s="86"/>
      <c r="AH540" s="86"/>
      <c r="AI540" s="86"/>
      <c r="AJ540" s="86"/>
      <c r="AK540" s="86"/>
      <c r="AL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86"/>
      <c r="BB540" s="86"/>
      <c r="BC540" s="86"/>
      <c r="BD540" s="86"/>
      <c r="BE540" s="86"/>
      <c r="BF540" s="86"/>
      <c r="BG540" s="86"/>
      <c r="BH540" s="86"/>
      <c r="BI540" s="86"/>
      <c r="BJ540" s="86"/>
      <c r="BK540" s="86"/>
      <c r="BL540" s="86"/>
      <c r="BM540" s="86"/>
      <c r="BN540" s="86"/>
      <c r="BO540" s="86"/>
      <c r="BP540" s="86"/>
      <c r="BQ540" s="86"/>
      <c r="BR540" s="86"/>
      <c r="BS540" s="86"/>
      <c r="BT540" s="86"/>
      <c r="BU540" s="86"/>
      <c r="BV540" s="86"/>
    </row>
    <row r="541" spans="1:74" s="112" customFormat="1" ht="47.25" x14ac:dyDescent="0.2">
      <c r="A541" s="81" t="s">
        <v>1585</v>
      </c>
      <c r="B541" s="79" t="s">
        <v>1586</v>
      </c>
      <c r="C541" s="146">
        <f>+C542</f>
        <v>0</v>
      </c>
      <c r="D541" s="146">
        <f>+D542</f>
        <v>0</v>
      </c>
      <c r="E541" s="146">
        <f>+E542</f>
        <v>0</v>
      </c>
      <c r="F541" s="146">
        <f t="shared" ref="F541:N541" si="274">+F542</f>
        <v>0</v>
      </c>
      <c r="G541" s="146">
        <f t="shared" si="274"/>
        <v>302919</v>
      </c>
      <c r="H541" s="146">
        <f t="shared" si="274"/>
        <v>0</v>
      </c>
      <c r="I541" s="146">
        <f t="shared" si="274"/>
        <v>0</v>
      </c>
      <c r="J541" s="146">
        <f t="shared" si="274"/>
        <v>0</v>
      </c>
      <c r="K541" s="146">
        <f t="shared" si="274"/>
        <v>0</v>
      </c>
      <c r="L541" s="146">
        <f t="shared" si="274"/>
        <v>0</v>
      </c>
      <c r="M541" s="146">
        <f t="shared" si="274"/>
        <v>0</v>
      </c>
      <c r="N541" s="146">
        <f t="shared" si="274"/>
        <v>0</v>
      </c>
      <c r="O541" s="309">
        <f t="shared" si="266"/>
        <v>302919</v>
      </c>
      <c r="P541" s="86">
        <v>302919</v>
      </c>
      <c r="Q541" s="108">
        <f t="shared" si="268"/>
        <v>0</v>
      </c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X541" s="111"/>
      <c r="AY541" s="111"/>
      <c r="AZ541" s="111"/>
      <c r="BA541" s="111"/>
      <c r="BB541" s="111"/>
      <c r="BC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V541" s="111"/>
    </row>
    <row r="542" spans="1:74" s="87" customFormat="1" ht="42.75" x14ac:dyDescent="0.2">
      <c r="A542" s="76" t="s">
        <v>1587</v>
      </c>
      <c r="B542" s="77" t="s">
        <v>1586</v>
      </c>
      <c r="C542" s="41"/>
      <c r="D542" s="41"/>
      <c r="E542" s="41"/>
      <c r="F542" s="41"/>
      <c r="G542" s="41">
        <v>302919</v>
      </c>
      <c r="H542" s="41"/>
      <c r="I542" s="41"/>
      <c r="J542" s="41"/>
      <c r="K542" s="41"/>
      <c r="L542" s="41"/>
      <c r="M542" s="41"/>
      <c r="N542" s="41"/>
      <c r="O542" s="140">
        <f t="shared" si="266"/>
        <v>302919</v>
      </c>
      <c r="P542" s="86">
        <v>302919</v>
      </c>
      <c r="Q542" s="108">
        <f t="shared" si="268"/>
        <v>0</v>
      </c>
      <c r="R542" s="86"/>
      <c r="S542" s="86"/>
      <c r="T542" s="86"/>
      <c r="U542" s="86"/>
      <c r="V542" s="86"/>
      <c r="W542" s="86"/>
      <c r="X542" s="86"/>
      <c r="Y542" s="86"/>
      <c r="Z542" s="86"/>
      <c r="AA542" s="86"/>
      <c r="AB542" s="86"/>
      <c r="AC542" s="86"/>
      <c r="AD542" s="86"/>
      <c r="AE542" s="86"/>
      <c r="AF542" s="86"/>
      <c r="AG542" s="86"/>
      <c r="AH542" s="86"/>
      <c r="AI542" s="86"/>
      <c r="AJ542" s="86"/>
      <c r="AK542" s="86"/>
      <c r="AL542" s="86"/>
      <c r="AM542" s="86"/>
      <c r="AN542" s="86"/>
      <c r="AO542" s="86"/>
      <c r="AP542" s="86"/>
      <c r="AQ542" s="86"/>
      <c r="AR542" s="86"/>
      <c r="AS542" s="86"/>
      <c r="AT542" s="86"/>
      <c r="AU542" s="86"/>
      <c r="AV542" s="86"/>
      <c r="AW542" s="86"/>
      <c r="AX542" s="86"/>
      <c r="AY542" s="86"/>
      <c r="AZ542" s="86"/>
      <c r="BA542" s="86"/>
      <c r="BB542" s="86"/>
      <c r="BC542" s="86"/>
      <c r="BD542" s="86"/>
      <c r="BE542" s="86"/>
      <c r="BF542" s="86"/>
      <c r="BG542" s="86"/>
      <c r="BH542" s="86"/>
      <c r="BI542" s="86"/>
      <c r="BJ542" s="86"/>
      <c r="BK542" s="86"/>
      <c r="BL542" s="86"/>
      <c r="BM542" s="86"/>
      <c r="BN542" s="86"/>
      <c r="BO542" s="86"/>
      <c r="BP542" s="86"/>
      <c r="BQ542" s="86"/>
      <c r="BR542" s="86"/>
      <c r="BS542" s="86"/>
      <c r="BT542" s="86"/>
      <c r="BU542" s="86"/>
      <c r="BV542" s="86"/>
    </row>
    <row r="543" spans="1:74" s="112" customFormat="1" ht="47.25" x14ac:dyDescent="0.2">
      <c r="A543" s="81" t="s">
        <v>1588</v>
      </c>
      <c r="B543" s="79" t="s">
        <v>1589</v>
      </c>
      <c r="C543" s="146">
        <f>+C544</f>
        <v>0</v>
      </c>
      <c r="D543" s="146">
        <f>+D544</f>
        <v>0</v>
      </c>
      <c r="E543" s="146">
        <f>+E544</f>
        <v>0</v>
      </c>
      <c r="F543" s="146">
        <f t="shared" ref="F543:N543" si="275">+F544</f>
        <v>0</v>
      </c>
      <c r="G543" s="146">
        <f t="shared" si="275"/>
        <v>1000000</v>
      </c>
      <c r="H543" s="146">
        <f t="shared" si="275"/>
        <v>0</v>
      </c>
      <c r="I543" s="146">
        <f t="shared" si="275"/>
        <v>0</v>
      </c>
      <c r="J543" s="146">
        <f t="shared" si="275"/>
        <v>0</v>
      </c>
      <c r="K543" s="146">
        <f t="shared" si="275"/>
        <v>0</v>
      </c>
      <c r="L543" s="146">
        <f t="shared" si="275"/>
        <v>0</v>
      </c>
      <c r="M543" s="146">
        <f t="shared" si="275"/>
        <v>0</v>
      </c>
      <c r="N543" s="146">
        <f t="shared" si="275"/>
        <v>0</v>
      </c>
      <c r="O543" s="309">
        <f t="shared" si="266"/>
        <v>1000000</v>
      </c>
      <c r="P543" s="86">
        <v>1000000</v>
      </c>
      <c r="Q543" s="108">
        <f t="shared" si="268"/>
        <v>0</v>
      </c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X543" s="111"/>
      <c r="AY543" s="111"/>
      <c r="AZ543" s="111"/>
      <c r="BA543" s="111"/>
      <c r="BB543" s="111"/>
      <c r="BC543" s="111"/>
      <c r="BD543" s="111"/>
      <c r="BE543" s="111"/>
      <c r="BF543" s="111"/>
      <c r="BG543" s="111"/>
      <c r="BH543" s="111"/>
      <c r="BI543" s="111"/>
      <c r="BJ543" s="111"/>
      <c r="BK543" s="111"/>
      <c r="BL543" s="111"/>
      <c r="BM543" s="111"/>
      <c r="BN543" s="111"/>
      <c r="BO543" s="111"/>
      <c r="BP543" s="111"/>
      <c r="BQ543" s="111"/>
      <c r="BR543" s="111"/>
      <c r="BS543" s="111"/>
      <c r="BT543" s="111"/>
      <c r="BU543" s="111"/>
      <c r="BV543" s="111"/>
    </row>
    <row r="544" spans="1:74" s="87" customFormat="1" ht="28.5" x14ac:dyDescent="0.2">
      <c r="A544" s="76" t="s">
        <v>1590</v>
      </c>
      <c r="B544" s="77" t="s">
        <v>1589</v>
      </c>
      <c r="C544" s="41"/>
      <c r="D544" s="41"/>
      <c r="E544" s="41"/>
      <c r="F544" s="41"/>
      <c r="G544" s="41">
        <v>1000000</v>
      </c>
      <c r="H544" s="41"/>
      <c r="I544" s="41"/>
      <c r="J544" s="41"/>
      <c r="K544" s="41"/>
      <c r="L544" s="41"/>
      <c r="M544" s="41"/>
      <c r="N544" s="41"/>
      <c r="O544" s="140">
        <f t="shared" si="266"/>
        <v>1000000</v>
      </c>
      <c r="P544" s="86">
        <v>1000000</v>
      </c>
      <c r="Q544" s="108">
        <f t="shared" si="268"/>
        <v>0</v>
      </c>
      <c r="R544" s="86"/>
      <c r="S544" s="86"/>
      <c r="T544" s="86"/>
      <c r="U544" s="86"/>
      <c r="V544" s="86"/>
      <c r="W544" s="86"/>
      <c r="X544" s="86"/>
      <c r="Y544" s="86"/>
      <c r="Z544" s="86"/>
      <c r="AA544" s="86"/>
      <c r="AB544" s="86"/>
      <c r="AC544" s="86"/>
      <c r="AD544" s="86"/>
      <c r="AE544" s="86"/>
      <c r="AF544" s="86"/>
      <c r="AG544" s="86"/>
      <c r="AH544" s="86"/>
      <c r="AI544" s="86"/>
      <c r="AJ544" s="86"/>
      <c r="AK544" s="86"/>
      <c r="AL544" s="86"/>
      <c r="AM544" s="86"/>
      <c r="AN544" s="86"/>
      <c r="AO544" s="86"/>
      <c r="AP544" s="86"/>
      <c r="AQ544" s="86"/>
      <c r="AR544" s="86"/>
      <c r="AS544" s="86"/>
      <c r="AT544" s="86"/>
      <c r="AU544" s="86"/>
      <c r="AV544" s="86"/>
      <c r="AW544" s="86"/>
      <c r="AX544" s="86"/>
      <c r="AY544" s="86"/>
      <c r="AZ544" s="86"/>
      <c r="BA544" s="86"/>
      <c r="BB544" s="86"/>
      <c r="BC544" s="86"/>
      <c r="BD544" s="86"/>
      <c r="BE544" s="86"/>
      <c r="BF544" s="86"/>
      <c r="BG544" s="86"/>
      <c r="BH544" s="86"/>
      <c r="BI544" s="86"/>
      <c r="BJ544" s="86"/>
      <c r="BK544" s="86"/>
      <c r="BL544" s="86"/>
      <c r="BM544" s="86"/>
      <c r="BN544" s="86"/>
      <c r="BO544" s="86"/>
      <c r="BP544" s="86"/>
      <c r="BQ544" s="86"/>
      <c r="BR544" s="86"/>
      <c r="BS544" s="86"/>
      <c r="BT544" s="86"/>
      <c r="BU544" s="86"/>
      <c r="BV544" s="86"/>
    </row>
    <row r="545" spans="1:74" s="112" customFormat="1" ht="31.5" x14ac:dyDescent="0.2">
      <c r="A545" s="81" t="s">
        <v>1591</v>
      </c>
      <c r="B545" s="79" t="s">
        <v>1592</v>
      </c>
      <c r="C545" s="146">
        <f>+C546</f>
        <v>0</v>
      </c>
      <c r="D545" s="146">
        <f>+D546</f>
        <v>0</v>
      </c>
      <c r="E545" s="146">
        <f>+E546</f>
        <v>0</v>
      </c>
      <c r="F545" s="146">
        <f t="shared" ref="F545:N545" si="276">+F546</f>
        <v>0</v>
      </c>
      <c r="G545" s="146">
        <f t="shared" si="276"/>
        <v>30926960</v>
      </c>
      <c r="H545" s="146">
        <f t="shared" si="276"/>
        <v>0</v>
      </c>
      <c r="I545" s="146">
        <f t="shared" si="276"/>
        <v>0</v>
      </c>
      <c r="J545" s="146">
        <f t="shared" si="276"/>
        <v>0</v>
      </c>
      <c r="K545" s="146">
        <f t="shared" si="276"/>
        <v>0</v>
      </c>
      <c r="L545" s="146">
        <f t="shared" si="276"/>
        <v>0</v>
      </c>
      <c r="M545" s="146">
        <f t="shared" si="276"/>
        <v>0</v>
      </c>
      <c r="N545" s="146">
        <f t="shared" si="276"/>
        <v>0</v>
      </c>
      <c r="O545" s="309">
        <f t="shared" si="266"/>
        <v>30926960</v>
      </c>
      <c r="P545" s="86">
        <v>30926960</v>
      </c>
      <c r="Q545" s="108">
        <f t="shared" si="268"/>
        <v>0</v>
      </c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X545" s="111"/>
      <c r="AY545" s="111"/>
      <c r="AZ545" s="111"/>
      <c r="BA545" s="111"/>
      <c r="BB545" s="111"/>
      <c r="BC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V545" s="111"/>
    </row>
    <row r="546" spans="1:74" s="87" customFormat="1" ht="28.5" x14ac:dyDescent="0.2">
      <c r="A546" s="76" t="s">
        <v>1593</v>
      </c>
      <c r="B546" s="77" t="s">
        <v>1592</v>
      </c>
      <c r="C546" s="41"/>
      <c r="D546" s="41"/>
      <c r="E546" s="41"/>
      <c r="F546" s="41"/>
      <c r="G546" s="41">
        <v>30926960</v>
      </c>
      <c r="H546" s="41"/>
      <c r="I546" s="41"/>
      <c r="J546" s="41"/>
      <c r="K546" s="41"/>
      <c r="L546" s="41"/>
      <c r="M546" s="41"/>
      <c r="N546" s="41"/>
      <c r="O546" s="140">
        <f t="shared" si="266"/>
        <v>30926960</v>
      </c>
      <c r="P546" s="86">
        <v>30926960</v>
      </c>
      <c r="Q546" s="108">
        <f t="shared" si="268"/>
        <v>0</v>
      </c>
      <c r="R546" s="86"/>
      <c r="S546" s="86"/>
      <c r="T546" s="86"/>
      <c r="U546" s="86"/>
      <c r="V546" s="86"/>
      <c r="W546" s="86"/>
      <c r="X546" s="86"/>
      <c r="Y546" s="86"/>
      <c r="Z546" s="86"/>
      <c r="AA546" s="86"/>
      <c r="AB546" s="86"/>
      <c r="AC546" s="86"/>
      <c r="AD546" s="86"/>
      <c r="AE546" s="86"/>
      <c r="AF546" s="86"/>
      <c r="AG546" s="86"/>
      <c r="AH546" s="86"/>
      <c r="AI546" s="86"/>
      <c r="AJ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86"/>
      <c r="BB546" s="86"/>
      <c r="BC546" s="86"/>
      <c r="BD546" s="86"/>
      <c r="BE546" s="86"/>
      <c r="BF546" s="86"/>
      <c r="BG546" s="86"/>
      <c r="BH546" s="86"/>
      <c r="BI546" s="86"/>
      <c r="BJ546" s="86"/>
      <c r="BK546" s="86"/>
      <c r="BL546" s="86"/>
      <c r="BM546" s="86"/>
      <c r="BN546" s="86"/>
      <c r="BO546" s="86"/>
      <c r="BP546" s="86"/>
      <c r="BQ546" s="86"/>
      <c r="BR546" s="86"/>
      <c r="BS546" s="86"/>
      <c r="BT546" s="86"/>
      <c r="BU546" s="86"/>
      <c r="BV546" s="86"/>
    </row>
    <row r="547" spans="1:74" s="112" customFormat="1" ht="15.75" x14ac:dyDescent="0.2">
      <c r="A547" s="81" t="s">
        <v>1594</v>
      </c>
      <c r="B547" s="79" t="s">
        <v>1595</v>
      </c>
      <c r="C547" s="146">
        <f>+C548</f>
        <v>0</v>
      </c>
      <c r="D547" s="146">
        <f>+D548</f>
        <v>0</v>
      </c>
      <c r="E547" s="146">
        <f>+E548</f>
        <v>0</v>
      </c>
      <c r="F547" s="146">
        <f t="shared" ref="F547:N547" si="277">+F548</f>
        <v>0</v>
      </c>
      <c r="G547" s="146">
        <f t="shared" si="277"/>
        <v>1820196924.4300001</v>
      </c>
      <c r="H547" s="146">
        <f t="shared" si="277"/>
        <v>0</v>
      </c>
      <c r="I547" s="146">
        <f t="shared" si="277"/>
        <v>0</v>
      </c>
      <c r="J547" s="146">
        <f t="shared" si="277"/>
        <v>0</v>
      </c>
      <c r="K547" s="146">
        <f t="shared" si="277"/>
        <v>0</v>
      </c>
      <c r="L547" s="146">
        <f t="shared" si="277"/>
        <v>0</v>
      </c>
      <c r="M547" s="146">
        <f t="shared" si="277"/>
        <v>0</v>
      </c>
      <c r="N547" s="146">
        <f t="shared" si="277"/>
        <v>0</v>
      </c>
      <c r="O547" s="309">
        <f t="shared" si="266"/>
        <v>1820196924.4300001</v>
      </c>
      <c r="P547" s="86">
        <v>1820196924.4300001</v>
      </c>
      <c r="Q547" s="108">
        <f t="shared" si="268"/>
        <v>0</v>
      </c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1"/>
      <c r="AM547" s="111"/>
      <c r="AN547" s="111"/>
      <c r="AO547" s="111"/>
      <c r="AP547" s="111"/>
      <c r="AQ547" s="111"/>
      <c r="AR547" s="111"/>
      <c r="AS547" s="111"/>
      <c r="AT547" s="111"/>
      <c r="AU547" s="111"/>
      <c r="AV547" s="111"/>
      <c r="AW547" s="111"/>
      <c r="AX547" s="111"/>
      <c r="AY547" s="111"/>
      <c r="AZ547" s="111"/>
      <c r="BA547" s="111"/>
      <c r="BB547" s="111"/>
      <c r="BC547" s="111"/>
      <c r="BD547" s="111"/>
      <c r="BE547" s="111"/>
      <c r="BF547" s="111"/>
      <c r="BG547" s="111"/>
      <c r="BH547" s="111"/>
      <c r="BI547" s="111"/>
      <c r="BJ547" s="111"/>
      <c r="BK547" s="111"/>
      <c r="BL547" s="111"/>
      <c r="BM547" s="111"/>
      <c r="BN547" s="111"/>
      <c r="BO547" s="111"/>
      <c r="BP547" s="111"/>
      <c r="BQ547" s="111"/>
      <c r="BR547" s="111"/>
      <c r="BS547" s="111"/>
      <c r="BT547" s="111"/>
      <c r="BU547" s="111"/>
      <c r="BV547" s="111"/>
    </row>
    <row r="548" spans="1:74" s="87" customFormat="1" ht="14.25" x14ac:dyDescent="0.2">
      <c r="A548" s="76" t="s">
        <v>1596</v>
      </c>
      <c r="B548" s="77" t="s">
        <v>1595</v>
      </c>
      <c r="C548" s="41"/>
      <c r="D548" s="41"/>
      <c r="E548" s="41"/>
      <c r="F548" s="41"/>
      <c r="G548" s="41">
        <v>1820196924.4300001</v>
      </c>
      <c r="H548" s="41"/>
      <c r="I548" s="41"/>
      <c r="J548" s="41"/>
      <c r="K548" s="41"/>
      <c r="L548" s="41"/>
      <c r="M548" s="41"/>
      <c r="N548" s="41"/>
      <c r="O548" s="140">
        <f t="shared" si="266"/>
        <v>1820196924.4300001</v>
      </c>
      <c r="P548" s="86">
        <v>1820196924.4300001</v>
      </c>
      <c r="Q548" s="108">
        <f t="shared" si="268"/>
        <v>0</v>
      </c>
      <c r="R548" s="86"/>
      <c r="S548" s="86"/>
      <c r="T548" s="86"/>
      <c r="U548" s="86"/>
      <c r="V548" s="86"/>
      <c r="W548" s="86"/>
      <c r="X548" s="86"/>
      <c r="Y548" s="86"/>
      <c r="Z548" s="86"/>
      <c r="AA548" s="86"/>
      <c r="AB548" s="86"/>
      <c r="AC548" s="86"/>
      <c r="AD548" s="86"/>
      <c r="AE548" s="86"/>
      <c r="AF548" s="86"/>
      <c r="AG548" s="86"/>
      <c r="AH548" s="86"/>
      <c r="AI548" s="86"/>
      <c r="AJ548" s="86"/>
      <c r="AK548" s="86"/>
      <c r="AL548" s="86"/>
      <c r="AM548" s="86"/>
      <c r="AN548" s="86"/>
      <c r="AO548" s="86"/>
      <c r="AP548" s="86"/>
      <c r="AQ548" s="86"/>
      <c r="AR548" s="86"/>
      <c r="AS548" s="86"/>
      <c r="AT548" s="86"/>
      <c r="AU548" s="86"/>
      <c r="AV548" s="86"/>
      <c r="AW548" s="86"/>
      <c r="AX548" s="86"/>
      <c r="AY548" s="86"/>
      <c r="AZ548" s="86"/>
      <c r="BA548" s="86"/>
      <c r="BB548" s="86"/>
      <c r="BC548" s="86"/>
      <c r="BD548" s="86"/>
      <c r="BE548" s="86"/>
      <c r="BF548" s="86"/>
      <c r="BG548" s="86"/>
      <c r="BH548" s="86"/>
      <c r="BI548" s="86"/>
      <c r="BJ548" s="86"/>
      <c r="BK548" s="86"/>
      <c r="BL548" s="86"/>
      <c r="BM548" s="86"/>
      <c r="BN548" s="86"/>
      <c r="BO548" s="86"/>
      <c r="BP548" s="86"/>
      <c r="BQ548" s="86"/>
      <c r="BR548" s="86"/>
      <c r="BS548" s="86"/>
      <c r="BT548" s="86"/>
      <c r="BU548" s="86"/>
      <c r="BV548" s="86"/>
    </row>
    <row r="549" spans="1:74" s="112" customFormat="1" ht="31.5" x14ac:dyDescent="0.2">
      <c r="A549" s="81" t="s">
        <v>1597</v>
      </c>
      <c r="B549" s="79" t="s">
        <v>1598</v>
      </c>
      <c r="C549" s="146">
        <f>+C550</f>
        <v>0</v>
      </c>
      <c r="D549" s="146">
        <f>+D550</f>
        <v>0</v>
      </c>
      <c r="E549" s="146">
        <f>+E550</f>
        <v>0</v>
      </c>
      <c r="F549" s="146">
        <f t="shared" ref="F549:N549" si="278">+F550</f>
        <v>0</v>
      </c>
      <c r="G549" s="146">
        <f t="shared" si="278"/>
        <v>26914974.489999998</v>
      </c>
      <c r="H549" s="146">
        <f t="shared" si="278"/>
        <v>0</v>
      </c>
      <c r="I549" s="146">
        <f t="shared" si="278"/>
        <v>0</v>
      </c>
      <c r="J549" s="146">
        <f t="shared" si="278"/>
        <v>0</v>
      </c>
      <c r="K549" s="146">
        <f t="shared" si="278"/>
        <v>0</v>
      </c>
      <c r="L549" s="146">
        <f t="shared" si="278"/>
        <v>0</v>
      </c>
      <c r="M549" s="146">
        <f t="shared" si="278"/>
        <v>0</v>
      </c>
      <c r="N549" s="146">
        <f t="shared" si="278"/>
        <v>0</v>
      </c>
      <c r="O549" s="309">
        <f t="shared" si="266"/>
        <v>26914974.489999998</v>
      </c>
      <c r="P549" s="86">
        <v>26914974.489999998</v>
      </c>
      <c r="Q549" s="108">
        <f t="shared" si="268"/>
        <v>0</v>
      </c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1"/>
      <c r="AM549" s="111"/>
      <c r="AN549" s="111"/>
      <c r="AO549" s="111"/>
      <c r="AP549" s="111"/>
      <c r="AQ549" s="111"/>
      <c r="AR549" s="111"/>
      <c r="AS549" s="111"/>
      <c r="AT549" s="111"/>
      <c r="AU549" s="111"/>
      <c r="AV549" s="111"/>
      <c r="AW549" s="111"/>
      <c r="AX549" s="111"/>
      <c r="AY549" s="111"/>
      <c r="AZ549" s="111"/>
      <c r="BA549" s="111"/>
      <c r="BB549" s="111"/>
      <c r="BC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V549" s="111"/>
    </row>
    <row r="550" spans="1:74" s="87" customFormat="1" ht="28.5" x14ac:dyDescent="0.2">
      <c r="A550" s="76" t="s">
        <v>1599</v>
      </c>
      <c r="B550" s="77" t="s">
        <v>1598</v>
      </c>
      <c r="C550" s="41"/>
      <c r="D550" s="41"/>
      <c r="E550" s="41"/>
      <c r="F550" s="41"/>
      <c r="G550" s="41">
        <v>26914974.489999998</v>
      </c>
      <c r="H550" s="41"/>
      <c r="I550" s="41"/>
      <c r="J550" s="41"/>
      <c r="K550" s="41"/>
      <c r="L550" s="41"/>
      <c r="M550" s="41"/>
      <c r="N550" s="41"/>
      <c r="O550" s="140">
        <f t="shared" si="266"/>
        <v>26914974.489999998</v>
      </c>
      <c r="P550" s="86">
        <v>26914974.489999998</v>
      </c>
      <c r="Q550" s="108">
        <f t="shared" si="268"/>
        <v>0</v>
      </c>
      <c r="R550" s="86"/>
      <c r="S550" s="86"/>
      <c r="T550" s="86"/>
      <c r="U550" s="86"/>
      <c r="V550" s="86"/>
      <c r="W550" s="86"/>
      <c r="X550" s="86"/>
      <c r="Y550" s="86"/>
      <c r="Z550" s="86"/>
      <c r="AA550" s="86"/>
      <c r="AB550" s="86"/>
      <c r="AC550" s="86"/>
      <c r="AD550" s="86"/>
      <c r="AE550" s="86"/>
      <c r="AF550" s="86"/>
      <c r="AG550" s="86"/>
      <c r="AH550" s="86"/>
      <c r="AI550" s="86"/>
      <c r="AJ550" s="86"/>
      <c r="AK550" s="86"/>
      <c r="AL550" s="86"/>
      <c r="AM550" s="86"/>
      <c r="AN550" s="86"/>
      <c r="AO550" s="86"/>
      <c r="AP550" s="86"/>
      <c r="AQ550" s="86"/>
      <c r="AR550" s="86"/>
      <c r="AS550" s="86"/>
      <c r="AT550" s="86"/>
      <c r="AU550" s="86"/>
      <c r="AV550" s="86"/>
      <c r="AW550" s="86"/>
      <c r="AX550" s="86"/>
      <c r="AY550" s="86"/>
      <c r="AZ550" s="86"/>
      <c r="BA550" s="86"/>
      <c r="BB550" s="86"/>
      <c r="BC550" s="86"/>
      <c r="BD550" s="86"/>
      <c r="BE550" s="86"/>
      <c r="BF550" s="86"/>
      <c r="BG550" s="86"/>
      <c r="BH550" s="86"/>
      <c r="BI550" s="86"/>
      <c r="BJ550" s="86"/>
      <c r="BK550" s="86"/>
      <c r="BL550" s="86"/>
      <c r="BM550" s="86"/>
      <c r="BN550" s="86"/>
      <c r="BO550" s="86"/>
      <c r="BP550" s="86"/>
      <c r="BQ550" s="86"/>
      <c r="BR550" s="86"/>
      <c r="BS550" s="86"/>
      <c r="BT550" s="86"/>
      <c r="BU550" s="86"/>
      <c r="BV550" s="86"/>
    </row>
    <row r="551" spans="1:74" s="112" customFormat="1" ht="31.5" x14ac:dyDescent="0.2">
      <c r="A551" s="81" t="s">
        <v>1600</v>
      </c>
      <c r="B551" s="79" t="s">
        <v>1601</v>
      </c>
      <c r="C551" s="146">
        <f>+C552</f>
        <v>0</v>
      </c>
      <c r="D551" s="146">
        <f>+D552</f>
        <v>0</v>
      </c>
      <c r="E551" s="146">
        <f>+E552</f>
        <v>0</v>
      </c>
      <c r="F551" s="146">
        <f t="shared" ref="F551:N551" si="279">+F552</f>
        <v>0</v>
      </c>
      <c r="G551" s="146">
        <f t="shared" si="279"/>
        <v>64231303.409999996</v>
      </c>
      <c r="H551" s="146">
        <f t="shared" si="279"/>
        <v>0</v>
      </c>
      <c r="I551" s="146">
        <f t="shared" si="279"/>
        <v>0</v>
      </c>
      <c r="J551" s="146">
        <f t="shared" si="279"/>
        <v>0</v>
      </c>
      <c r="K551" s="146">
        <f t="shared" si="279"/>
        <v>0</v>
      </c>
      <c r="L551" s="146">
        <f t="shared" si="279"/>
        <v>0</v>
      </c>
      <c r="M551" s="146">
        <f t="shared" si="279"/>
        <v>0</v>
      </c>
      <c r="N551" s="146">
        <f t="shared" si="279"/>
        <v>0</v>
      </c>
      <c r="O551" s="309">
        <f t="shared" si="266"/>
        <v>64231303.409999996</v>
      </c>
      <c r="P551" s="86">
        <v>64231303.409999996</v>
      </c>
      <c r="Q551" s="108">
        <f t="shared" si="268"/>
        <v>0</v>
      </c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  <c r="AN551" s="111"/>
      <c r="AO551" s="111"/>
      <c r="AP551" s="111"/>
      <c r="AQ551" s="111"/>
      <c r="AR551" s="111"/>
      <c r="AS551" s="111"/>
      <c r="AT551" s="111"/>
      <c r="AU551" s="111"/>
      <c r="AV551" s="111"/>
      <c r="AW551" s="111"/>
      <c r="AX551" s="111"/>
      <c r="AY551" s="111"/>
      <c r="AZ551" s="111"/>
      <c r="BA551" s="111"/>
      <c r="BB551" s="111"/>
      <c r="BC551" s="111"/>
      <c r="BD551" s="111"/>
      <c r="BE551" s="111"/>
      <c r="BF551" s="111"/>
      <c r="BG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V551" s="111"/>
    </row>
    <row r="552" spans="1:74" s="87" customFormat="1" ht="28.5" x14ac:dyDescent="0.2">
      <c r="A552" s="76" t="s">
        <v>1602</v>
      </c>
      <c r="B552" s="77" t="s">
        <v>1601</v>
      </c>
      <c r="C552" s="41"/>
      <c r="D552" s="41"/>
      <c r="E552" s="41"/>
      <c r="F552" s="41"/>
      <c r="G552" s="41">
        <v>64231303.409999996</v>
      </c>
      <c r="H552" s="41"/>
      <c r="I552" s="41"/>
      <c r="J552" s="41"/>
      <c r="K552" s="41"/>
      <c r="L552" s="41"/>
      <c r="M552" s="41"/>
      <c r="N552" s="41"/>
      <c r="O552" s="140">
        <f t="shared" si="266"/>
        <v>64231303.409999996</v>
      </c>
      <c r="P552" s="86">
        <v>64231303.409999996</v>
      </c>
      <c r="Q552" s="108">
        <f t="shared" si="268"/>
        <v>0</v>
      </c>
      <c r="R552" s="86"/>
      <c r="S552" s="86"/>
      <c r="T552" s="86"/>
      <c r="U552" s="86"/>
      <c r="V552" s="86"/>
      <c r="W552" s="86"/>
      <c r="X552" s="86"/>
      <c r="Y552" s="86"/>
      <c r="Z552" s="86"/>
      <c r="AA552" s="86"/>
      <c r="AB552" s="86"/>
      <c r="AC552" s="86"/>
      <c r="AD552" s="86"/>
      <c r="AE552" s="86"/>
      <c r="AF552" s="86"/>
      <c r="AG552" s="86"/>
      <c r="AH552" s="86"/>
      <c r="AI552" s="86"/>
      <c r="AJ552" s="86"/>
      <c r="AK552" s="86"/>
      <c r="AL552" s="86"/>
      <c r="AM552" s="86"/>
      <c r="AN552" s="86"/>
      <c r="AO552" s="86"/>
      <c r="AP552" s="86"/>
      <c r="AQ552" s="86"/>
      <c r="AR552" s="86"/>
      <c r="AS552" s="86"/>
      <c r="AT552" s="86"/>
      <c r="AU552" s="86"/>
      <c r="AV552" s="86"/>
      <c r="AW552" s="86"/>
      <c r="AX552" s="86"/>
      <c r="AY552" s="86"/>
      <c r="AZ552" s="86"/>
      <c r="BA552" s="86"/>
      <c r="BB552" s="86"/>
      <c r="BC552" s="86"/>
      <c r="BD552" s="86"/>
      <c r="BE552" s="86"/>
      <c r="BF552" s="86"/>
      <c r="BG552" s="86"/>
      <c r="BH552" s="86"/>
      <c r="BI552" s="86"/>
      <c r="BJ552" s="86"/>
      <c r="BK552" s="86"/>
      <c r="BL552" s="86"/>
      <c r="BM552" s="86"/>
      <c r="BN552" s="86"/>
      <c r="BO552" s="86"/>
      <c r="BP552" s="86"/>
      <c r="BQ552" s="86"/>
      <c r="BR552" s="86"/>
      <c r="BS552" s="86"/>
      <c r="BT552" s="86"/>
      <c r="BU552" s="86"/>
      <c r="BV552" s="86"/>
    </row>
    <row r="553" spans="1:74" s="112" customFormat="1" ht="31.5" x14ac:dyDescent="0.2">
      <c r="A553" s="81" t="s">
        <v>1603</v>
      </c>
      <c r="B553" s="79" t="s">
        <v>1601</v>
      </c>
      <c r="C553" s="146">
        <f>+C554</f>
        <v>0</v>
      </c>
      <c r="D553" s="146">
        <f>+D554</f>
        <v>0</v>
      </c>
      <c r="E553" s="146">
        <f>+E554</f>
        <v>0</v>
      </c>
      <c r="F553" s="146">
        <f t="shared" ref="F553:N553" si="280">+F554</f>
        <v>0</v>
      </c>
      <c r="G553" s="146">
        <f t="shared" si="280"/>
        <v>18464558</v>
      </c>
      <c r="H553" s="146">
        <f t="shared" si="280"/>
        <v>0</v>
      </c>
      <c r="I553" s="146">
        <f t="shared" si="280"/>
        <v>0</v>
      </c>
      <c r="J553" s="146">
        <f t="shared" si="280"/>
        <v>0</v>
      </c>
      <c r="K553" s="146">
        <f t="shared" si="280"/>
        <v>0</v>
      </c>
      <c r="L553" s="146">
        <f t="shared" si="280"/>
        <v>0</v>
      </c>
      <c r="M553" s="146">
        <f t="shared" si="280"/>
        <v>0</v>
      </c>
      <c r="N553" s="146">
        <f t="shared" si="280"/>
        <v>0</v>
      </c>
      <c r="O553" s="309">
        <f t="shared" si="266"/>
        <v>18464558</v>
      </c>
      <c r="P553" s="86">
        <v>18464558</v>
      </c>
      <c r="Q553" s="108">
        <f t="shared" si="268"/>
        <v>0</v>
      </c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  <c r="AS553" s="111"/>
      <c r="AT553" s="111"/>
      <c r="AU553" s="111"/>
      <c r="AV553" s="111"/>
      <c r="AW553" s="111"/>
      <c r="AX553" s="111"/>
      <c r="AY553" s="111"/>
      <c r="AZ553" s="111"/>
      <c r="BA553" s="111"/>
      <c r="BB553" s="111"/>
      <c r="BC553" s="111"/>
      <c r="BD553" s="111"/>
      <c r="BE553" s="111"/>
      <c r="BF553" s="111"/>
      <c r="BG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V553" s="111"/>
    </row>
    <row r="554" spans="1:74" s="87" customFormat="1" ht="28.5" x14ac:dyDescent="0.2">
      <c r="A554" s="76" t="s">
        <v>1604</v>
      </c>
      <c r="B554" s="77" t="s">
        <v>1605</v>
      </c>
      <c r="C554" s="41"/>
      <c r="D554" s="41"/>
      <c r="E554" s="41"/>
      <c r="F554" s="41"/>
      <c r="G554" s="41">
        <v>18464558</v>
      </c>
      <c r="H554" s="41"/>
      <c r="I554" s="41"/>
      <c r="J554" s="41"/>
      <c r="K554" s="41"/>
      <c r="L554" s="41"/>
      <c r="M554" s="41"/>
      <c r="N554" s="41"/>
      <c r="O554" s="140">
        <f t="shared" si="266"/>
        <v>18464558</v>
      </c>
      <c r="P554" s="86">
        <v>18464558</v>
      </c>
      <c r="Q554" s="108">
        <f t="shared" si="268"/>
        <v>0</v>
      </c>
      <c r="R554" s="86"/>
      <c r="S554" s="86"/>
      <c r="T554" s="86"/>
      <c r="U554" s="86"/>
      <c r="V554" s="86"/>
      <c r="W554" s="86"/>
      <c r="X554" s="86"/>
      <c r="Y554" s="86"/>
      <c r="Z554" s="86"/>
      <c r="AA554" s="86"/>
      <c r="AB554" s="86"/>
      <c r="AC554" s="86"/>
      <c r="AD554" s="86"/>
      <c r="AE554" s="86"/>
      <c r="AF554" s="86"/>
      <c r="AG554" s="86"/>
      <c r="AH554" s="86"/>
      <c r="AI554" s="86"/>
      <c r="AJ554" s="86"/>
      <c r="AK554" s="86"/>
      <c r="AL554" s="86"/>
      <c r="AM554" s="86"/>
      <c r="AN554" s="86"/>
      <c r="AO554" s="86"/>
      <c r="AP554" s="86"/>
      <c r="AQ554" s="86"/>
      <c r="AR554" s="86"/>
      <c r="AS554" s="86"/>
      <c r="AT554" s="86"/>
      <c r="AU554" s="86"/>
      <c r="AV554" s="86"/>
      <c r="AW554" s="86"/>
      <c r="AX554" s="86"/>
      <c r="AY554" s="86"/>
      <c r="AZ554" s="86"/>
      <c r="BA554" s="86"/>
      <c r="BB554" s="86"/>
      <c r="BC554" s="86"/>
      <c r="BD554" s="86"/>
      <c r="BE554" s="86"/>
      <c r="BF554" s="86"/>
      <c r="BG554" s="86"/>
      <c r="BH554" s="86"/>
      <c r="BI554" s="86"/>
      <c r="BJ554" s="86"/>
      <c r="BK554" s="86"/>
      <c r="BL554" s="86"/>
      <c r="BM554" s="86"/>
      <c r="BN554" s="86"/>
      <c r="BO554" s="86"/>
      <c r="BP554" s="86"/>
      <c r="BQ554" s="86"/>
      <c r="BR554" s="86"/>
      <c r="BS554" s="86"/>
      <c r="BT554" s="86"/>
      <c r="BU554" s="86"/>
      <c r="BV554" s="86"/>
    </row>
    <row r="555" spans="1:74" s="112" customFormat="1" ht="15.75" x14ac:dyDescent="0.2">
      <c r="A555" s="81" t="s">
        <v>1606</v>
      </c>
      <c r="B555" s="79" t="s">
        <v>1607</v>
      </c>
      <c r="C555" s="146">
        <f>+C556+C558</f>
        <v>0</v>
      </c>
      <c r="D555" s="146">
        <f t="shared" ref="D555:N555" si="281">+D556+D558</f>
        <v>0</v>
      </c>
      <c r="E555" s="146">
        <f t="shared" si="281"/>
        <v>0</v>
      </c>
      <c r="F555" s="146">
        <f t="shared" si="281"/>
        <v>0</v>
      </c>
      <c r="G555" s="146">
        <f t="shared" si="281"/>
        <v>575059092</v>
      </c>
      <c r="H555" s="146">
        <f t="shared" si="281"/>
        <v>0</v>
      </c>
      <c r="I555" s="146">
        <f t="shared" si="281"/>
        <v>0</v>
      </c>
      <c r="J555" s="146">
        <f t="shared" si="281"/>
        <v>0</v>
      </c>
      <c r="K555" s="146">
        <f t="shared" si="281"/>
        <v>0</v>
      </c>
      <c r="L555" s="146">
        <f t="shared" si="281"/>
        <v>0</v>
      </c>
      <c r="M555" s="146">
        <f t="shared" si="281"/>
        <v>0</v>
      </c>
      <c r="N555" s="146">
        <f t="shared" si="281"/>
        <v>0</v>
      </c>
      <c r="O555" s="309">
        <f t="shared" si="266"/>
        <v>575059092</v>
      </c>
      <c r="P555" s="86">
        <v>575059092</v>
      </c>
      <c r="Q555" s="108">
        <f t="shared" si="268"/>
        <v>0</v>
      </c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  <c r="AN555" s="111"/>
      <c r="AO555" s="111"/>
      <c r="AP555" s="111"/>
      <c r="AQ555" s="111"/>
      <c r="AR555" s="111"/>
      <c r="AS555" s="111"/>
      <c r="AT555" s="111"/>
      <c r="AU555" s="111"/>
      <c r="AV555" s="111"/>
      <c r="AW555" s="111"/>
      <c r="AX555" s="111"/>
      <c r="AY555" s="111"/>
      <c r="AZ555" s="111"/>
      <c r="BA555" s="111"/>
      <c r="BB555" s="111"/>
      <c r="BC555" s="111"/>
      <c r="BD555" s="111"/>
      <c r="BE555" s="111"/>
      <c r="BF555" s="111"/>
      <c r="BG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V555" s="111"/>
    </row>
    <row r="556" spans="1:74" s="112" customFormat="1" ht="31.5" x14ac:dyDescent="0.2">
      <c r="A556" s="81" t="s">
        <v>1608</v>
      </c>
      <c r="B556" s="79" t="s">
        <v>1609</v>
      </c>
      <c r="C556" s="146">
        <f>+C557</f>
        <v>0</v>
      </c>
      <c r="D556" s="146">
        <f>+D557</f>
        <v>0</v>
      </c>
      <c r="E556" s="146">
        <f>+E557</f>
        <v>0</v>
      </c>
      <c r="F556" s="146">
        <f t="shared" ref="F556:N556" si="282">+F557</f>
        <v>0</v>
      </c>
      <c r="G556" s="146">
        <f t="shared" si="282"/>
        <v>516752058</v>
      </c>
      <c r="H556" s="146">
        <f t="shared" si="282"/>
        <v>0</v>
      </c>
      <c r="I556" s="146">
        <f t="shared" si="282"/>
        <v>0</v>
      </c>
      <c r="J556" s="146">
        <f t="shared" si="282"/>
        <v>0</v>
      </c>
      <c r="K556" s="146">
        <f t="shared" si="282"/>
        <v>0</v>
      </c>
      <c r="L556" s="146">
        <f t="shared" si="282"/>
        <v>0</v>
      </c>
      <c r="M556" s="146">
        <f t="shared" si="282"/>
        <v>0</v>
      </c>
      <c r="N556" s="146">
        <f t="shared" si="282"/>
        <v>0</v>
      </c>
      <c r="O556" s="309">
        <f t="shared" si="266"/>
        <v>516752058</v>
      </c>
      <c r="P556" s="86">
        <v>516752058</v>
      </c>
      <c r="Q556" s="108">
        <f t="shared" si="268"/>
        <v>0</v>
      </c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111"/>
      <c r="AZ556" s="111"/>
      <c r="BA556" s="111"/>
      <c r="BB556" s="111"/>
      <c r="BC556" s="111"/>
      <c r="BD556" s="111"/>
      <c r="BE556" s="111"/>
      <c r="BF556" s="111"/>
      <c r="BG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V556" s="111"/>
    </row>
    <row r="557" spans="1:74" s="87" customFormat="1" ht="28.5" x14ac:dyDescent="0.2">
      <c r="A557" s="76" t="s">
        <v>1610</v>
      </c>
      <c r="B557" s="77" t="s">
        <v>1611</v>
      </c>
      <c r="C557" s="41"/>
      <c r="D557" s="41"/>
      <c r="E557" s="41"/>
      <c r="F557" s="41"/>
      <c r="G557" s="41">
        <v>516752058</v>
      </c>
      <c r="H557" s="41"/>
      <c r="I557" s="41"/>
      <c r="J557" s="41"/>
      <c r="K557" s="41"/>
      <c r="L557" s="41"/>
      <c r="M557" s="41"/>
      <c r="N557" s="41"/>
      <c r="O557" s="140">
        <f t="shared" si="266"/>
        <v>516752058</v>
      </c>
      <c r="P557" s="86">
        <v>516752058</v>
      </c>
      <c r="Q557" s="108">
        <f t="shared" si="268"/>
        <v>0</v>
      </c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86"/>
      <c r="BG557" s="86"/>
      <c r="BH557" s="86"/>
      <c r="BI557" s="86"/>
      <c r="BJ557" s="86"/>
      <c r="BK557" s="86"/>
      <c r="BL557" s="86"/>
      <c r="BM557" s="86"/>
      <c r="BN557" s="86"/>
      <c r="BO557" s="86"/>
      <c r="BP557" s="86"/>
      <c r="BQ557" s="86"/>
      <c r="BR557" s="86"/>
      <c r="BS557" s="86"/>
      <c r="BT557" s="86"/>
      <c r="BU557" s="86"/>
      <c r="BV557" s="86"/>
    </row>
    <row r="558" spans="1:74" s="112" customFormat="1" ht="31.5" x14ac:dyDescent="0.2">
      <c r="A558" s="81" t="s">
        <v>1612</v>
      </c>
      <c r="B558" s="79" t="s">
        <v>1613</v>
      </c>
      <c r="C558" s="146">
        <f>+C559</f>
        <v>0</v>
      </c>
      <c r="D558" s="146">
        <f>+D559</f>
        <v>0</v>
      </c>
      <c r="E558" s="146">
        <f>+E559</f>
        <v>0</v>
      </c>
      <c r="F558" s="146">
        <f t="shared" ref="F558:N558" si="283">+F559</f>
        <v>0</v>
      </c>
      <c r="G558" s="146">
        <f t="shared" si="283"/>
        <v>58307034</v>
      </c>
      <c r="H558" s="146">
        <f t="shared" si="283"/>
        <v>0</v>
      </c>
      <c r="I558" s="146">
        <f t="shared" si="283"/>
        <v>0</v>
      </c>
      <c r="J558" s="146">
        <f t="shared" si="283"/>
        <v>0</v>
      </c>
      <c r="K558" s="146">
        <f t="shared" si="283"/>
        <v>0</v>
      </c>
      <c r="L558" s="146">
        <f t="shared" si="283"/>
        <v>0</v>
      </c>
      <c r="M558" s="146">
        <f t="shared" si="283"/>
        <v>0</v>
      </c>
      <c r="N558" s="146">
        <f t="shared" si="283"/>
        <v>0</v>
      </c>
      <c r="O558" s="309">
        <f t="shared" si="266"/>
        <v>58307034</v>
      </c>
      <c r="P558" s="86">
        <v>58307034</v>
      </c>
      <c r="Q558" s="108">
        <f t="shared" si="268"/>
        <v>0</v>
      </c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1"/>
      <c r="AM558" s="111"/>
      <c r="AN558" s="111"/>
      <c r="AO558" s="111"/>
      <c r="AP558" s="111"/>
      <c r="AQ558" s="111"/>
      <c r="AR558" s="111"/>
      <c r="AS558" s="111"/>
      <c r="AT558" s="111"/>
      <c r="AU558" s="111"/>
      <c r="AV558" s="111"/>
      <c r="AW558" s="111"/>
      <c r="AX558" s="111"/>
      <c r="AY558" s="111"/>
      <c r="AZ558" s="111"/>
      <c r="BA558" s="111"/>
      <c r="BB558" s="111"/>
      <c r="BC558" s="111"/>
      <c r="BD558" s="111"/>
      <c r="BE558" s="111"/>
      <c r="BF558" s="111"/>
      <c r="BG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V558" s="111"/>
    </row>
    <row r="559" spans="1:74" s="87" customFormat="1" ht="28.5" x14ac:dyDescent="0.2">
      <c r="A559" s="76" t="s">
        <v>1614</v>
      </c>
      <c r="B559" s="77" t="s">
        <v>1613</v>
      </c>
      <c r="C559" s="41"/>
      <c r="D559" s="41"/>
      <c r="E559" s="41"/>
      <c r="F559" s="41"/>
      <c r="G559" s="41">
        <v>58307034</v>
      </c>
      <c r="H559" s="41"/>
      <c r="I559" s="41"/>
      <c r="J559" s="41"/>
      <c r="K559" s="41"/>
      <c r="L559" s="41"/>
      <c r="M559" s="41"/>
      <c r="N559" s="41"/>
      <c r="O559" s="140">
        <f t="shared" si="266"/>
        <v>58307034</v>
      </c>
      <c r="P559" s="86">
        <v>58307034</v>
      </c>
      <c r="Q559" s="108">
        <f t="shared" si="268"/>
        <v>0</v>
      </c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  <c r="AK559" s="86"/>
      <c r="AL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86"/>
      <c r="BG559" s="86"/>
      <c r="BH559" s="86"/>
      <c r="BI559" s="86"/>
      <c r="BJ559" s="86"/>
      <c r="BK559" s="86"/>
      <c r="BL559" s="86"/>
      <c r="BM559" s="86"/>
      <c r="BN559" s="86"/>
      <c r="BO559" s="86"/>
      <c r="BP559" s="86"/>
      <c r="BQ559" s="86"/>
      <c r="BR559" s="86"/>
      <c r="BS559" s="86"/>
      <c r="BT559" s="86"/>
      <c r="BU559" s="86"/>
      <c r="BV559" s="86"/>
    </row>
    <row r="560" spans="1:74" s="112" customFormat="1" ht="31.5" x14ac:dyDescent="0.2">
      <c r="A560" s="81" t="s">
        <v>1615</v>
      </c>
      <c r="B560" s="79" t="s">
        <v>1616</v>
      </c>
      <c r="C560" s="146">
        <f t="shared" ref="C560:E561" si="284">+C561</f>
        <v>0</v>
      </c>
      <c r="D560" s="146">
        <f t="shared" si="284"/>
        <v>0</v>
      </c>
      <c r="E560" s="146">
        <f t="shared" si="284"/>
        <v>0</v>
      </c>
      <c r="F560" s="146">
        <f t="shared" ref="F560:N561" si="285">+F561</f>
        <v>0</v>
      </c>
      <c r="G560" s="146">
        <f t="shared" si="285"/>
        <v>40452895.149999999</v>
      </c>
      <c r="H560" s="146">
        <f t="shared" si="285"/>
        <v>0</v>
      </c>
      <c r="I560" s="146">
        <f t="shared" si="285"/>
        <v>0</v>
      </c>
      <c r="J560" s="146">
        <f t="shared" si="285"/>
        <v>0</v>
      </c>
      <c r="K560" s="146">
        <f t="shared" si="285"/>
        <v>0</v>
      </c>
      <c r="L560" s="146">
        <f t="shared" si="285"/>
        <v>0</v>
      </c>
      <c r="M560" s="146">
        <f t="shared" si="285"/>
        <v>0</v>
      </c>
      <c r="N560" s="146">
        <f t="shared" si="285"/>
        <v>0</v>
      </c>
      <c r="O560" s="309">
        <f t="shared" si="266"/>
        <v>40452895.149999999</v>
      </c>
      <c r="P560" s="86">
        <v>40452895.149999999</v>
      </c>
      <c r="Q560" s="108">
        <f t="shared" si="268"/>
        <v>0</v>
      </c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1"/>
      <c r="AM560" s="111"/>
      <c r="AN560" s="111"/>
      <c r="AO560" s="111"/>
      <c r="AP560" s="111"/>
      <c r="AQ560" s="111"/>
      <c r="AR560" s="111"/>
      <c r="AS560" s="111"/>
      <c r="AT560" s="111"/>
      <c r="AU560" s="111"/>
      <c r="AV560" s="111"/>
      <c r="AW560" s="111"/>
      <c r="AX560" s="111"/>
      <c r="AY560" s="111"/>
      <c r="AZ560" s="111"/>
      <c r="BA560" s="111"/>
      <c r="BB560" s="111"/>
      <c r="BC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V560" s="111"/>
    </row>
    <row r="561" spans="1:74" s="112" customFormat="1" ht="31.5" x14ac:dyDescent="0.2">
      <c r="A561" s="81" t="s">
        <v>1617</v>
      </c>
      <c r="B561" s="79" t="s">
        <v>1618</v>
      </c>
      <c r="C561" s="146">
        <f t="shared" si="284"/>
        <v>0</v>
      </c>
      <c r="D561" s="146">
        <f t="shared" si="284"/>
        <v>0</v>
      </c>
      <c r="E561" s="146">
        <f t="shared" si="284"/>
        <v>0</v>
      </c>
      <c r="F561" s="146">
        <f t="shared" si="285"/>
        <v>0</v>
      </c>
      <c r="G561" s="146">
        <f t="shared" si="285"/>
        <v>40452895.149999999</v>
      </c>
      <c r="H561" s="146">
        <f t="shared" si="285"/>
        <v>0</v>
      </c>
      <c r="I561" s="146">
        <f t="shared" si="285"/>
        <v>0</v>
      </c>
      <c r="J561" s="146">
        <f t="shared" si="285"/>
        <v>0</v>
      </c>
      <c r="K561" s="146">
        <f t="shared" si="285"/>
        <v>0</v>
      </c>
      <c r="L561" s="146">
        <f t="shared" si="285"/>
        <v>0</v>
      </c>
      <c r="M561" s="146">
        <f t="shared" si="285"/>
        <v>0</v>
      </c>
      <c r="N561" s="146">
        <f t="shared" si="285"/>
        <v>0</v>
      </c>
      <c r="O561" s="309">
        <f t="shared" si="266"/>
        <v>40452895.149999999</v>
      </c>
      <c r="P561" s="86">
        <v>40452895.149999999</v>
      </c>
      <c r="Q561" s="108">
        <f t="shared" si="268"/>
        <v>0</v>
      </c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  <c r="AN561" s="111"/>
      <c r="AO561" s="111"/>
      <c r="AP561" s="111"/>
      <c r="AQ561" s="111"/>
      <c r="AR561" s="111"/>
      <c r="AS561" s="111"/>
      <c r="AT561" s="111"/>
      <c r="AU561" s="111"/>
      <c r="AV561" s="111"/>
      <c r="AW561" s="111"/>
      <c r="AX561" s="111"/>
      <c r="AY561" s="111"/>
      <c r="AZ561" s="111"/>
      <c r="BA561" s="111"/>
      <c r="BB561" s="111"/>
      <c r="BC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V561" s="111"/>
    </row>
    <row r="562" spans="1:74" s="87" customFormat="1" ht="28.5" x14ac:dyDescent="0.2">
      <c r="A562" s="76" t="s">
        <v>1619</v>
      </c>
      <c r="B562" s="77" t="s">
        <v>1618</v>
      </c>
      <c r="C562" s="41"/>
      <c r="D562" s="41"/>
      <c r="E562" s="41"/>
      <c r="F562" s="41"/>
      <c r="G562" s="41">
        <v>40452895.149999999</v>
      </c>
      <c r="H562" s="41"/>
      <c r="I562" s="41"/>
      <c r="J562" s="41"/>
      <c r="K562" s="41"/>
      <c r="L562" s="41"/>
      <c r="M562" s="41"/>
      <c r="N562" s="41"/>
      <c r="O562" s="140">
        <f t="shared" si="266"/>
        <v>40452895.149999999</v>
      </c>
      <c r="P562" s="86">
        <v>40452895.149999999</v>
      </c>
      <c r="Q562" s="108">
        <f t="shared" si="268"/>
        <v>0</v>
      </c>
      <c r="R562" s="86"/>
      <c r="S562" s="86"/>
      <c r="T562" s="86"/>
      <c r="U562" s="86"/>
      <c r="V562" s="86"/>
      <c r="W562" s="86"/>
      <c r="X562" s="86"/>
      <c r="Y562" s="86"/>
      <c r="Z562" s="86"/>
      <c r="AA562" s="86"/>
      <c r="AB562" s="86"/>
      <c r="AC562" s="86"/>
      <c r="AD562" s="86"/>
      <c r="AE562" s="86"/>
      <c r="AF562" s="86"/>
      <c r="AG562" s="86"/>
      <c r="AH562" s="86"/>
      <c r="AI562" s="86"/>
      <c r="AJ562" s="86"/>
      <c r="AK562" s="86"/>
      <c r="AL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86"/>
      <c r="BB562" s="86"/>
      <c r="BC562" s="86"/>
      <c r="BD562" s="86"/>
      <c r="BE562" s="86"/>
      <c r="BF562" s="86"/>
      <c r="BG562" s="86"/>
      <c r="BH562" s="86"/>
      <c r="BI562" s="86"/>
      <c r="BJ562" s="86"/>
      <c r="BK562" s="86"/>
      <c r="BL562" s="86"/>
      <c r="BM562" s="86"/>
      <c r="BN562" s="86"/>
      <c r="BO562" s="86"/>
      <c r="BP562" s="86"/>
      <c r="BQ562" s="86"/>
      <c r="BR562" s="86"/>
      <c r="BS562" s="86"/>
      <c r="BT562" s="86"/>
      <c r="BU562" s="86"/>
      <c r="BV562" s="86"/>
    </row>
    <row r="563" spans="1:74" s="112" customFormat="1" ht="31.5" x14ac:dyDescent="0.2">
      <c r="A563" s="81" t="s">
        <v>1620</v>
      </c>
      <c r="B563" s="79" t="s">
        <v>1621</v>
      </c>
      <c r="C563" s="146">
        <f>SUM(C564:C565)</f>
        <v>0</v>
      </c>
      <c r="D563" s="146">
        <f>SUM(D564:D565)</f>
        <v>0</v>
      </c>
      <c r="E563" s="146">
        <f>SUM(E564:E565)</f>
        <v>0</v>
      </c>
      <c r="F563" s="146">
        <f t="shared" ref="F563:N563" si="286">SUM(F564:F565)</f>
        <v>0</v>
      </c>
      <c r="G563" s="146">
        <f t="shared" si="286"/>
        <v>1688537021.8899999</v>
      </c>
      <c r="H563" s="146">
        <f t="shared" si="286"/>
        <v>0</v>
      </c>
      <c r="I563" s="146">
        <f t="shared" si="286"/>
        <v>0</v>
      </c>
      <c r="J563" s="146">
        <f t="shared" si="286"/>
        <v>0</v>
      </c>
      <c r="K563" s="146">
        <f t="shared" si="286"/>
        <v>0</v>
      </c>
      <c r="L563" s="146">
        <f t="shared" si="286"/>
        <v>0</v>
      </c>
      <c r="M563" s="146">
        <f t="shared" si="286"/>
        <v>0</v>
      </c>
      <c r="N563" s="146">
        <f t="shared" si="286"/>
        <v>0</v>
      </c>
      <c r="O563" s="309">
        <f t="shared" si="266"/>
        <v>1688537021.8899999</v>
      </c>
      <c r="P563" s="86">
        <v>1688537021.8900001</v>
      </c>
      <c r="Q563" s="108">
        <f t="shared" si="268"/>
        <v>0</v>
      </c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  <c r="AN563" s="111"/>
      <c r="AO563" s="111"/>
      <c r="AP563" s="111"/>
      <c r="AQ563" s="111"/>
      <c r="AR563" s="111"/>
      <c r="AS563" s="111"/>
      <c r="AT563" s="111"/>
      <c r="AU563" s="111"/>
      <c r="AV563" s="111"/>
      <c r="AW563" s="111"/>
      <c r="AX563" s="111"/>
      <c r="AY563" s="111"/>
      <c r="AZ563" s="111"/>
      <c r="BA563" s="111"/>
      <c r="BB563" s="111"/>
      <c r="BC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V563" s="111"/>
    </row>
    <row r="564" spans="1:74" s="87" customFormat="1" ht="57" x14ac:dyDescent="0.2">
      <c r="A564" s="76" t="s">
        <v>1622</v>
      </c>
      <c r="B564" s="77" t="s">
        <v>1623</v>
      </c>
      <c r="C564" s="41"/>
      <c r="D564" s="41"/>
      <c r="E564" s="41"/>
      <c r="F564" s="41"/>
      <c r="G564" s="41">
        <v>619767114</v>
      </c>
      <c r="H564" s="41"/>
      <c r="I564" s="41"/>
      <c r="J564" s="41"/>
      <c r="K564" s="41"/>
      <c r="L564" s="41"/>
      <c r="M564" s="41"/>
      <c r="N564" s="41"/>
      <c r="O564" s="140">
        <f t="shared" si="266"/>
        <v>619767114</v>
      </c>
      <c r="P564" s="86">
        <v>619767114</v>
      </c>
      <c r="Q564" s="108">
        <f t="shared" si="268"/>
        <v>0</v>
      </c>
      <c r="R564" s="86"/>
      <c r="S564" s="86"/>
      <c r="T564" s="86"/>
      <c r="U564" s="86"/>
      <c r="V564" s="86"/>
      <c r="W564" s="86"/>
      <c r="X564" s="86"/>
      <c r="Y564" s="86"/>
      <c r="Z564" s="86"/>
      <c r="AA564" s="86"/>
      <c r="AB564" s="86"/>
      <c r="AC564" s="86"/>
      <c r="AD564" s="86"/>
      <c r="AE564" s="86"/>
      <c r="AF564" s="86"/>
      <c r="AG564" s="86"/>
      <c r="AH564" s="86"/>
      <c r="AI564" s="86"/>
      <c r="AJ564" s="86"/>
      <c r="AK564" s="86"/>
      <c r="AL564" s="86"/>
      <c r="AM564" s="86"/>
      <c r="AN564" s="86"/>
      <c r="AO564" s="86"/>
      <c r="AP564" s="86"/>
      <c r="AQ564" s="86"/>
      <c r="AR564" s="86"/>
      <c r="AS564" s="86"/>
      <c r="AT564" s="86"/>
      <c r="AU564" s="86"/>
      <c r="AV564" s="86"/>
      <c r="AW564" s="86"/>
      <c r="AX564" s="86"/>
      <c r="AY564" s="86"/>
      <c r="AZ564" s="86"/>
      <c r="BA564" s="86"/>
      <c r="BB564" s="86"/>
      <c r="BC564" s="86"/>
      <c r="BD564" s="86"/>
      <c r="BE564" s="86"/>
      <c r="BF564" s="86"/>
      <c r="BG564" s="86"/>
      <c r="BH564" s="86"/>
      <c r="BI564" s="86"/>
      <c r="BJ564" s="86"/>
      <c r="BK564" s="86"/>
      <c r="BL564" s="86"/>
      <c r="BM564" s="86"/>
      <c r="BN564" s="86"/>
      <c r="BO564" s="86"/>
      <c r="BP564" s="86"/>
      <c r="BQ564" s="86"/>
      <c r="BR564" s="86"/>
      <c r="BS564" s="86"/>
      <c r="BT564" s="86"/>
      <c r="BU564" s="86"/>
      <c r="BV564" s="86"/>
    </row>
    <row r="565" spans="1:74" s="87" customFormat="1" ht="28.5" x14ac:dyDescent="0.2">
      <c r="A565" s="76" t="s">
        <v>1624</v>
      </c>
      <c r="B565" s="77" t="s">
        <v>1625</v>
      </c>
      <c r="C565" s="41"/>
      <c r="D565" s="41"/>
      <c r="E565" s="41"/>
      <c r="F565" s="41"/>
      <c r="G565" s="41">
        <v>1068769907.89</v>
      </c>
      <c r="H565" s="41"/>
      <c r="I565" s="41"/>
      <c r="J565" s="41"/>
      <c r="K565" s="41"/>
      <c r="L565" s="41"/>
      <c r="M565" s="41"/>
      <c r="N565" s="41"/>
      <c r="O565" s="140">
        <f t="shared" si="266"/>
        <v>1068769907.89</v>
      </c>
      <c r="P565" s="86">
        <v>1068769907.89</v>
      </c>
      <c r="Q565" s="108">
        <f t="shared" si="268"/>
        <v>0</v>
      </c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  <c r="AK565" s="86"/>
      <c r="AL565" s="86"/>
      <c r="AM565" s="86"/>
      <c r="AN565" s="86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86"/>
      <c r="AZ565" s="86"/>
      <c r="BA565" s="86"/>
      <c r="BB565" s="86"/>
      <c r="BC565" s="86"/>
      <c r="BD565" s="86"/>
      <c r="BE565" s="86"/>
      <c r="BF565" s="86"/>
      <c r="BG565" s="86"/>
      <c r="BH565" s="86"/>
      <c r="BI565" s="86"/>
      <c r="BJ565" s="86"/>
      <c r="BK565" s="86"/>
      <c r="BL565" s="86"/>
      <c r="BM565" s="86"/>
      <c r="BN565" s="86"/>
      <c r="BO565" s="86"/>
      <c r="BP565" s="86"/>
      <c r="BQ565" s="86"/>
      <c r="BR565" s="86"/>
      <c r="BS565" s="86"/>
      <c r="BT565" s="86"/>
      <c r="BU565" s="86"/>
      <c r="BV565" s="86"/>
    </row>
    <row r="566" spans="1:74" s="87" customFormat="1" ht="19.5" x14ac:dyDescent="0.2">
      <c r="A566" s="81" t="s">
        <v>838</v>
      </c>
      <c r="B566" s="79" t="s">
        <v>839</v>
      </c>
      <c r="C566" s="217">
        <f t="shared" ref="C566:N566" si="287">+C567+C570</f>
        <v>0</v>
      </c>
      <c r="D566" s="217">
        <f t="shared" si="287"/>
        <v>0</v>
      </c>
      <c r="E566" s="217">
        <f t="shared" si="287"/>
        <v>0</v>
      </c>
      <c r="F566" s="217">
        <f t="shared" si="287"/>
        <v>0</v>
      </c>
      <c r="G566" s="217">
        <f t="shared" si="287"/>
        <v>0</v>
      </c>
      <c r="H566" s="217">
        <f t="shared" si="287"/>
        <v>0</v>
      </c>
      <c r="I566" s="217">
        <f t="shared" si="287"/>
        <v>0</v>
      </c>
      <c r="J566" s="217">
        <f t="shared" si="287"/>
        <v>0</v>
      </c>
      <c r="K566" s="217">
        <f t="shared" si="287"/>
        <v>0</v>
      </c>
      <c r="L566" s="217">
        <f t="shared" si="287"/>
        <v>0</v>
      </c>
      <c r="M566" s="217">
        <f t="shared" si="287"/>
        <v>0</v>
      </c>
      <c r="N566" s="217">
        <f t="shared" si="287"/>
        <v>0</v>
      </c>
      <c r="O566" s="140">
        <f t="shared" si="266"/>
        <v>0</v>
      </c>
      <c r="P566" s="86">
        <v>0</v>
      </c>
      <c r="Q566" s="108">
        <f t="shared" si="268"/>
        <v>0</v>
      </c>
      <c r="R566" s="86"/>
      <c r="S566" s="86"/>
      <c r="T566" s="86"/>
      <c r="U566" s="86"/>
      <c r="V566" s="86"/>
      <c r="W566" s="86"/>
      <c r="X566" s="86"/>
      <c r="Y566" s="86"/>
      <c r="Z566" s="86"/>
      <c r="AA566" s="86"/>
      <c r="AB566" s="86"/>
      <c r="AC566" s="86"/>
      <c r="AD566" s="86"/>
      <c r="AE566" s="86"/>
      <c r="AF566" s="86"/>
      <c r="AG566" s="86"/>
      <c r="AH566" s="86"/>
      <c r="AI566" s="86"/>
      <c r="AJ566" s="86"/>
      <c r="AK566" s="86"/>
      <c r="AL566" s="86"/>
      <c r="AM566" s="86"/>
      <c r="AN566" s="86"/>
      <c r="AO566" s="86"/>
      <c r="AP566" s="86"/>
      <c r="AQ566" s="86"/>
      <c r="AR566" s="86"/>
      <c r="AS566" s="86"/>
      <c r="AT566" s="86"/>
      <c r="AU566" s="86"/>
      <c r="AV566" s="86"/>
      <c r="AW566" s="86"/>
      <c r="AX566" s="86"/>
      <c r="AY566" s="86"/>
      <c r="AZ566" s="86"/>
      <c r="BA566" s="86"/>
      <c r="BB566" s="86"/>
      <c r="BC566" s="86"/>
      <c r="BD566" s="86"/>
      <c r="BE566" s="86"/>
      <c r="BF566" s="86"/>
      <c r="BG566" s="86"/>
      <c r="BH566" s="86"/>
      <c r="BI566" s="86"/>
      <c r="BJ566" s="86"/>
      <c r="BK566" s="86"/>
      <c r="BL566" s="86"/>
      <c r="BM566" s="86"/>
      <c r="BN566" s="86"/>
      <c r="BO566" s="86"/>
      <c r="BP566" s="86"/>
      <c r="BQ566" s="86"/>
      <c r="BR566" s="86"/>
      <c r="BS566" s="86"/>
      <c r="BT566" s="86"/>
      <c r="BU566" s="86"/>
      <c r="BV566" s="86"/>
    </row>
    <row r="567" spans="1:74" s="87" customFormat="1" ht="63" x14ac:dyDescent="0.2">
      <c r="A567" s="81" t="s">
        <v>840</v>
      </c>
      <c r="B567" s="79" t="s">
        <v>841</v>
      </c>
      <c r="C567" s="217">
        <f t="shared" ref="C567:N567" si="288">SUM(C568:C569)</f>
        <v>0</v>
      </c>
      <c r="D567" s="217">
        <f t="shared" si="288"/>
        <v>0</v>
      </c>
      <c r="E567" s="217">
        <f t="shared" si="288"/>
        <v>0</v>
      </c>
      <c r="F567" s="217">
        <f t="shared" si="288"/>
        <v>0</v>
      </c>
      <c r="G567" s="217">
        <f t="shared" si="288"/>
        <v>0</v>
      </c>
      <c r="H567" s="217">
        <f t="shared" si="288"/>
        <v>0</v>
      </c>
      <c r="I567" s="217">
        <f t="shared" si="288"/>
        <v>0</v>
      </c>
      <c r="J567" s="217">
        <f t="shared" si="288"/>
        <v>0</v>
      </c>
      <c r="K567" s="217">
        <f t="shared" si="288"/>
        <v>0</v>
      </c>
      <c r="L567" s="217">
        <f t="shared" si="288"/>
        <v>0</v>
      </c>
      <c r="M567" s="217">
        <f t="shared" si="288"/>
        <v>0</v>
      </c>
      <c r="N567" s="217">
        <f t="shared" si="288"/>
        <v>0</v>
      </c>
      <c r="O567" s="140">
        <f t="shared" si="266"/>
        <v>0</v>
      </c>
      <c r="P567" s="86">
        <v>0</v>
      </c>
      <c r="Q567" s="108">
        <f t="shared" si="268"/>
        <v>0</v>
      </c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  <c r="AK567" s="86"/>
      <c r="AL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86"/>
      <c r="BG567" s="86"/>
      <c r="BH567" s="86"/>
      <c r="BI567" s="86"/>
      <c r="BJ567" s="86"/>
      <c r="BK567" s="86"/>
      <c r="BL567" s="86"/>
      <c r="BM567" s="86"/>
      <c r="BN567" s="86"/>
      <c r="BO567" s="86"/>
      <c r="BP567" s="86"/>
      <c r="BQ567" s="86"/>
      <c r="BR567" s="86"/>
      <c r="BS567" s="86"/>
      <c r="BT567" s="86"/>
      <c r="BU567" s="86"/>
      <c r="BV567" s="86"/>
    </row>
    <row r="568" spans="1:74" s="87" customFormat="1" ht="42.75" x14ac:dyDescent="0.2">
      <c r="A568" s="76" t="s">
        <v>842</v>
      </c>
      <c r="B568" s="77" t="s">
        <v>843</v>
      </c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140">
        <f t="shared" si="266"/>
        <v>0</v>
      </c>
      <c r="P568" s="109">
        <v>0</v>
      </c>
      <c r="Q568" s="108">
        <f t="shared" si="268"/>
        <v>0</v>
      </c>
      <c r="R568" s="86"/>
      <c r="S568" s="86"/>
      <c r="T568" s="86"/>
      <c r="U568" s="86"/>
      <c r="V568" s="86"/>
      <c r="W568" s="86"/>
      <c r="X568" s="86"/>
      <c r="Y568" s="86"/>
      <c r="Z568" s="86"/>
      <c r="AA568" s="86"/>
      <c r="AB568" s="86"/>
      <c r="AC568" s="86"/>
      <c r="AD568" s="86"/>
      <c r="AE568" s="86"/>
      <c r="AF568" s="86"/>
      <c r="AG568" s="86"/>
      <c r="AH568" s="86"/>
      <c r="AI568" s="86"/>
      <c r="AJ568" s="86"/>
      <c r="AK568" s="86"/>
      <c r="AL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86"/>
      <c r="BB568" s="86"/>
      <c r="BC568" s="86"/>
      <c r="BD568" s="86"/>
      <c r="BE568" s="86"/>
      <c r="BF568" s="86"/>
      <c r="BG568" s="86"/>
      <c r="BH568" s="86"/>
      <c r="BI568" s="86"/>
      <c r="BJ568" s="86"/>
      <c r="BK568" s="86"/>
      <c r="BL568" s="86"/>
      <c r="BM568" s="86"/>
      <c r="BN568" s="86"/>
      <c r="BO568" s="86"/>
      <c r="BP568" s="86"/>
      <c r="BQ568" s="86"/>
      <c r="BR568" s="86"/>
      <c r="BS568" s="86"/>
      <c r="BT568" s="86"/>
      <c r="BU568" s="86"/>
      <c r="BV568" s="86"/>
    </row>
    <row r="569" spans="1:74" s="87" customFormat="1" ht="42.75" x14ac:dyDescent="0.2">
      <c r="A569" s="76" t="s">
        <v>844</v>
      </c>
      <c r="B569" s="77" t="s">
        <v>845</v>
      </c>
      <c r="C569" s="128"/>
      <c r="D569" s="128"/>
      <c r="E569" s="128"/>
      <c r="F569" s="128"/>
      <c r="G569" s="128"/>
      <c r="H569" s="128"/>
      <c r="I569" s="128"/>
      <c r="J569" s="128"/>
      <c r="K569" s="128"/>
      <c r="L569" s="128"/>
      <c r="M569" s="128"/>
      <c r="N569" s="128"/>
      <c r="O569" s="140">
        <f t="shared" si="266"/>
        <v>0</v>
      </c>
      <c r="P569" s="109">
        <v>0</v>
      </c>
      <c r="Q569" s="108">
        <f t="shared" si="268"/>
        <v>0</v>
      </c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86"/>
      <c r="BL569" s="86"/>
      <c r="BM569" s="86"/>
      <c r="BN569" s="86"/>
      <c r="BO569" s="86"/>
      <c r="BP569" s="86"/>
      <c r="BQ569" s="86"/>
      <c r="BR569" s="86"/>
      <c r="BS569" s="86"/>
      <c r="BT569" s="86"/>
      <c r="BU569" s="86"/>
      <c r="BV569" s="86"/>
    </row>
    <row r="570" spans="1:74" s="87" customFormat="1" ht="79.5" customHeight="1" x14ac:dyDescent="0.2">
      <c r="A570" s="81" t="s">
        <v>846</v>
      </c>
      <c r="B570" s="79" t="s">
        <v>847</v>
      </c>
      <c r="C570" s="217">
        <f t="shared" ref="C570:N570" si="289">+C571</f>
        <v>0</v>
      </c>
      <c r="D570" s="217">
        <f t="shared" si="289"/>
        <v>0</v>
      </c>
      <c r="E570" s="217">
        <f t="shared" si="289"/>
        <v>0</v>
      </c>
      <c r="F570" s="217">
        <f t="shared" si="289"/>
        <v>0</v>
      </c>
      <c r="G570" s="217">
        <f t="shared" si="289"/>
        <v>0</v>
      </c>
      <c r="H570" s="217">
        <f t="shared" si="289"/>
        <v>0</v>
      </c>
      <c r="I570" s="217">
        <f t="shared" si="289"/>
        <v>0</v>
      </c>
      <c r="J570" s="217">
        <f t="shared" si="289"/>
        <v>0</v>
      </c>
      <c r="K570" s="217">
        <f t="shared" si="289"/>
        <v>0</v>
      </c>
      <c r="L570" s="217">
        <f t="shared" si="289"/>
        <v>0</v>
      </c>
      <c r="M570" s="217">
        <f t="shared" si="289"/>
        <v>0</v>
      </c>
      <c r="N570" s="217">
        <f t="shared" si="289"/>
        <v>0</v>
      </c>
      <c r="O570" s="140">
        <f t="shared" si="266"/>
        <v>0</v>
      </c>
      <c r="P570" s="109">
        <v>0</v>
      </c>
      <c r="Q570" s="108">
        <f t="shared" si="268"/>
        <v>0</v>
      </c>
      <c r="R570" s="86"/>
      <c r="S570" s="86"/>
      <c r="T570" s="86"/>
      <c r="U570" s="86"/>
      <c r="V570" s="86"/>
      <c r="W570" s="86"/>
      <c r="X570" s="86"/>
      <c r="Y570" s="86"/>
      <c r="Z570" s="86"/>
      <c r="AA570" s="86"/>
      <c r="AB570" s="86"/>
      <c r="AC570" s="86"/>
      <c r="AD570" s="86"/>
      <c r="AE570" s="86"/>
      <c r="AF570" s="86"/>
      <c r="AG570" s="86"/>
      <c r="AH570" s="86"/>
      <c r="AI570" s="86"/>
      <c r="AJ570" s="86"/>
      <c r="AK570" s="86"/>
      <c r="AL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86"/>
      <c r="BG570" s="86"/>
      <c r="BH570" s="86"/>
      <c r="BI570" s="86"/>
      <c r="BJ570" s="86"/>
      <c r="BK570" s="86"/>
      <c r="BL570" s="86"/>
      <c r="BM570" s="86"/>
      <c r="BN570" s="86"/>
      <c r="BO570" s="86"/>
      <c r="BP570" s="86"/>
      <c r="BQ570" s="86"/>
      <c r="BR570" s="86"/>
      <c r="BS570" s="86"/>
      <c r="BT570" s="86"/>
      <c r="BU570" s="86"/>
      <c r="BV570" s="86"/>
    </row>
    <row r="571" spans="1:74" s="87" customFormat="1" ht="14.25" x14ac:dyDescent="0.2">
      <c r="A571" s="76" t="s">
        <v>848</v>
      </c>
      <c r="B571" s="77" t="s">
        <v>849</v>
      </c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140">
        <f t="shared" si="266"/>
        <v>0</v>
      </c>
      <c r="P571" s="109">
        <v>0</v>
      </c>
      <c r="Q571" s="108">
        <f t="shared" si="268"/>
        <v>0</v>
      </c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86"/>
      <c r="BG571" s="86"/>
      <c r="BH571" s="86"/>
      <c r="BI571" s="86"/>
      <c r="BJ571" s="86"/>
      <c r="BK571" s="86"/>
      <c r="BL571" s="86"/>
      <c r="BM571" s="86"/>
      <c r="BN571" s="86"/>
      <c r="BO571" s="86"/>
      <c r="BP571" s="86"/>
      <c r="BQ571" s="86"/>
      <c r="BR571" s="86"/>
      <c r="BS571" s="86"/>
      <c r="BT571" s="86"/>
      <c r="BU571" s="86"/>
      <c r="BV571" s="86"/>
    </row>
    <row r="572" spans="1:74" s="87" customFormat="1" ht="31.5" x14ac:dyDescent="0.2">
      <c r="A572" s="81" t="s">
        <v>850</v>
      </c>
      <c r="B572" s="79" t="s">
        <v>851</v>
      </c>
      <c r="C572" s="281">
        <f t="shared" ref="C572:N572" si="290">+C573</f>
        <v>0</v>
      </c>
      <c r="D572" s="281">
        <f t="shared" si="290"/>
        <v>0</v>
      </c>
      <c r="E572" s="281">
        <f t="shared" si="290"/>
        <v>0</v>
      </c>
      <c r="F572" s="281">
        <f t="shared" si="290"/>
        <v>6881458116.8400002</v>
      </c>
      <c r="G572" s="281">
        <f t="shared" si="290"/>
        <v>0</v>
      </c>
      <c r="H572" s="281">
        <f t="shared" si="290"/>
        <v>427564239.73000002</v>
      </c>
      <c r="I572" s="281">
        <f t="shared" si="290"/>
        <v>0</v>
      </c>
      <c r="J572" s="281">
        <f t="shared" si="290"/>
        <v>0</v>
      </c>
      <c r="K572" s="281">
        <f t="shared" si="290"/>
        <v>0</v>
      </c>
      <c r="L572" s="281">
        <f t="shared" si="290"/>
        <v>0</v>
      </c>
      <c r="M572" s="281">
        <f t="shared" si="290"/>
        <v>0</v>
      </c>
      <c r="N572" s="281">
        <f t="shared" si="290"/>
        <v>0</v>
      </c>
      <c r="O572" s="140">
        <f t="shared" si="266"/>
        <v>7309022356.5699997</v>
      </c>
      <c r="P572" s="109">
        <v>6881458116.8400002</v>
      </c>
      <c r="Q572" s="108">
        <f t="shared" si="268"/>
        <v>-427564239.72999954</v>
      </c>
      <c r="R572" s="86"/>
      <c r="S572" s="86"/>
      <c r="T572" s="86"/>
      <c r="U572" s="86"/>
      <c r="V572" s="86"/>
      <c r="W572" s="86"/>
      <c r="X572" s="86"/>
      <c r="Y572" s="86"/>
      <c r="Z572" s="86"/>
      <c r="AA572" s="86"/>
      <c r="AB572" s="86"/>
      <c r="AC572" s="86"/>
      <c r="AD572" s="86"/>
      <c r="AE572" s="86"/>
      <c r="AF572" s="86"/>
      <c r="AG572" s="86"/>
      <c r="AH572" s="86"/>
      <c r="AI572" s="86"/>
      <c r="AJ572" s="86"/>
      <c r="AK572" s="86"/>
      <c r="AL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86"/>
      <c r="BB572" s="86"/>
      <c r="BC572" s="86"/>
      <c r="BD572" s="86"/>
      <c r="BE572" s="86"/>
      <c r="BF572" s="86"/>
      <c r="BG572" s="86"/>
      <c r="BH572" s="86"/>
      <c r="BI572" s="86"/>
      <c r="BJ572" s="86"/>
      <c r="BK572" s="86"/>
      <c r="BL572" s="86"/>
      <c r="BM572" s="86"/>
      <c r="BN572" s="86"/>
      <c r="BO572" s="86"/>
      <c r="BP572" s="86"/>
      <c r="BQ572" s="86"/>
      <c r="BR572" s="86"/>
      <c r="BS572" s="86"/>
      <c r="BT572" s="86"/>
      <c r="BU572" s="86"/>
      <c r="BV572" s="86"/>
    </row>
    <row r="573" spans="1:74" s="87" customFormat="1" ht="18.75" x14ac:dyDescent="0.2">
      <c r="A573" s="81" t="s">
        <v>852</v>
      </c>
      <c r="B573" s="79" t="s">
        <v>853</v>
      </c>
      <c r="C573" s="281">
        <f>+C574+C575+C577+C595+C596+C597+C598+C599+C601+C602+C603+C604+C605+C606+C607+C608+C609+C610+C611+C612+C613+C614+C615+C616+C617+C618+C619+C621+C622+C623+C624+C625+C626+C627+C628+C629+C630+C631+C632+C633+C634+C635+C636+C637+C638+C639+C640+C641+C642+C643+C644+C645+C646+C647+C648+C649+C600+C620+C576</f>
        <v>0</v>
      </c>
      <c r="D573" s="281">
        <f t="shared" ref="D573:N573" si="291">+D574+D575+D577+D595+D596+D597+D598+D599+D601+D602+D603+D604+D605+D606+D607+D608+D609+D610+D611+D612+D613+D614+D615+D616+D617+D618+D619+D621+D622+D623+D624+D625+D626+D627+D628+D629+D630+D631+D632+D633+D634+D635+D636+D637+D638+D639+D640+D641+D642+D643+D644+D645+D646+D647+D648+D649+D600+D620+D576</f>
        <v>0</v>
      </c>
      <c r="E573" s="281">
        <f t="shared" si="291"/>
        <v>0</v>
      </c>
      <c r="F573" s="281">
        <f t="shared" si="291"/>
        <v>6881458116.8400002</v>
      </c>
      <c r="G573" s="281">
        <f t="shared" si="291"/>
        <v>0</v>
      </c>
      <c r="H573" s="281">
        <f t="shared" si="291"/>
        <v>427564239.73000002</v>
      </c>
      <c r="I573" s="281">
        <f t="shared" si="291"/>
        <v>0</v>
      </c>
      <c r="J573" s="281">
        <f t="shared" si="291"/>
        <v>0</v>
      </c>
      <c r="K573" s="281">
        <f t="shared" si="291"/>
        <v>0</v>
      </c>
      <c r="L573" s="281">
        <f t="shared" si="291"/>
        <v>0</v>
      </c>
      <c r="M573" s="281">
        <f t="shared" si="291"/>
        <v>0</v>
      </c>
      <c r="N573" s="281">
        <f t="shared" si="291"/>
        <v>0</v>
      </c>
      <c r="O573" s="140">
        <f t="shared" si="266"/>
        <v>7309022356.5699997</v>
      </c>
      <c r="P573" s="109">
        <v>6881458116.8400002</v>
      </c>
      <c r="Q573" s="108">
        <f t="shared" si="268"/>
        <v>-427564239.72999954</v>
      </c>
      <c r="R573" s="86"/>
      <c r="S573" s="86"/>
      <c r="T573" s="86"/>
      <c r="U573" s="86"/>
      <c r="V573" s="86"/>
      <c r="W573" s="86"/>
      <c r="X573" s="86"/>
      <c r="Y573" s="86"/>
      <c r="Z573" s="86"/>
      <c r="AA573" s="86"/>
      <c r="AB573" s="86"/>
      <c r="AC573" s="86"/>
      <c r="AD573" s="86"/>
      <c r="AE573" s="86"/>
      <c r="AF573" s="86"/>
      <c r="AG573" s="86"/>
      <c r="AH573" s="86"/>
      <c r="AI573" s="86"/>
      <c r="AJ573" s="86"/>
      <c r="AK573" s="86"/>
      <c r="AL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86"/>
      <c r="BB573" s="86"/>
      <c r="BC573" s="86"/>
      <c r="BD573" s="86"/>
      <c r="BE573" s="86"/>
      <c r="BF573" s="86"/>
      <c r="BG573" s="86"/>
      <c r="BH573" s="86"/>
      <c r="BI573" s="86"/>
      <c r="BJ573" s="86"/>
      <c r="BK573" s="86"/>
      <c r="BL573" s="86"/>
      <c r="BM573" s="86"/>
      <c r="BN573" s="86"/>
      <c r="BO573" s="86"/>
      <c r="BP573" s="86"/>
      <c r="BQ573" s="86"/>
      <c r="BR573" s="86"/>
      <c r="BS573" s="86"/>
      <c r="BT573" s="86"/>
      <c r="BU573" s="86"/>
      <c r="BV573" s="86"/>
    </row>
    <row r="574" spans="1:74" s="87" customFormat="1" ht="14.25" x14ac:dyDescent="0.2">
      <c r="A574" s="76" t="s">
        <v>854</v>
      </c>
      <c r="B574" s="77" t="s">
        <v>284</v>
      </c>
      <c r="C574" s="128"/>
      <c r="D574" s="128"/>
      <c r="E574" s="128"/>
      <c r="F574" s="128"/>
      <c r="G574" s="128"/>
      <c r="H574" s="128"/>
      <c r="I574" s="128"/>
      <c r="J574" s="128"/>
      <c r="K574" s="128"/>
      <c r="L574" s="128"/>
      <c r="M574" s="128"/>
      <c r="N574" s="128"/>
      <c r="O574" s="140">
        <f t="shared" si="266"/>
        <v>0</v>
      </c>
      <c r="P574" s="109">
        <v>0</v>
      </c>
      <c r="Q574" s="108">
        <f t="shared" si="268"/>
        <v>0</v>
      </c>
      <c r="R574" s="86"/>
      <c r="S574" s="86"/>
      <c r="T574" s="86"/>
      <c r="U574" s="86"/>
      <c r="V574" s="86"/>
      <c r="W574" s="86"/>
      <c r="X574" s="86"/>
      <c r="Y574" s="86"/>
      <c r="Z574" s="86"/>
      <c r="AA574" s="86"/>
      <c r="AB574" s="86"/>
      <c r="AC574" s="86"/>
      <c r="AD574" s="86"/>
      <c r="AE574" s="86"/>
      <c r="AF574" s="86"/>
      <c r="AG574" s="86"/>
      <c r="AH574" s="86"/>
      <c r="AI574" s="86"/>
      <c r="AJ574" s="86"/>
      <c r="AK574" s="86"/>
      <c r="AL574" s="86"/>
      <c r="AM574" s="86"/>
      <c r="AN574" s="86"/>
      <c r="AO574" s="86"/>
      <c r="AP574" s="86"/>
      <c r="AQ574" s="86"/>
      <c r="AR574" s="86"/>
      <c r="AS574" s="86"/>
      <c r="AT574" s="86"/>
      <c r="AU574" s="86"/>
      <c r="AV574" s="86"/>
      <c r="AW574" s="86"/>
      <c r="AX574" s="86"/>
      <c r="AY574" s="86"/>
      <c r="AZ574" s="86"/>
      <c r="BA574" s="86"/>
      <c r="BB574" s="86"/>
      <c r="BC574" s="86"/>
      <c r="BD574" s="86"/>
      <c r="BE574" s="86"/>
      <c r="BF574" s="86"/>
      <c r="BG574" s="86"/>
      <c r="BH574" s="86"/>
      <c r="BI574" s="86"/>
      <c r="BJ574" s="86"/>
      <c r="BK574" s="86"/>
      <c r="BL574" s="86"/>
      <c r="BM574" s="86"/>
      <c r="BN574" s="86"/>
      <c r="BO574" s="86"/>
      <c r="BP574" s="86"/>
      <c r="BQ574" s="86"/>
      <c r="BR574" s="86"/>
      <c r="BS574" s="86"/>
      <c r="BT574" s="86"/>
      <c r="BU574" s="86"/>
      <c r="BV574" s="86"/>
    </row>
    <row r="575" spans="1:74" s="87" customFormat="1" ht="14.25" x14ac:dyDescent="0.2">
      <c r="A575" s="76" t="s">
        <v>855</v>
      </c>
      <c r="B575" s="77" t="s">
        <v>285</v>
      </c>
      <c r="C575" s="128"/>
      <c r="D575" s="128"/>
      <c r="E575" s="128"/>
      <c r="F575" s="128"/>
      <c r="G575" s="128"/>
      <c r="H575" s="128"/>
      <c r="I575" s="128"/>
      <c r="J575" s="128"/>
      <c r="K575" s="128"/>
      <c r="L575" s="128"/>
      <c r="M575" s="128"/>
      <c r="N575" s="128"/>
      <c r="O575" s="140">
        <f t="shared" si="266"/>
        <v>0</v>
      </c>
      <c r="P575" s="109">
        <v>0</v>
      </c>
      <c r="Q575" s="108">
        <f t="shared" si="268"/>
        <v>0</v>
      </c>
      <c r="R575" s="86"/>
      <c r="S575" s="86"/>
      <c r="T575" s="86"/>
      <c r="U575" s="86"/>
      <c r="V575" s="86"/>
      <c r="W575" s="86"/>
      <c r="X575" s="86"/>
      <c r="Y575" s="86"/>
      <c r="Z575" s="86"/>
      <c r="AA575" s="86"/>
      <c r="AB575" s="86"/>
      <c r="AC575" s="86"/>
      <c r="AD575" s="86"/>
      <c r="AE575" s="86"/>
      <c r="AF575" s="86"/>
      <c r="AG575" s="86"/>
      <c r="AH575" s="86"/>
      <c r="AI575" s="86"/>
      <c r="AJ575" s="86"/>
      <c r="AK575" s="86"/>
      <c r="AL575" s="86"/>
      <c r="AM575" s="86"/>
      <c r="AN575" s="86"/>
      <c r="AO575" s="86"/>
      <c r="AP575" s="86"/>
      <c r="AQ575" s="86"/>
      <c r="AR575" s="86"/>
      <c r="AS575" s="86"/>
      <c r="AT575" s="86"/>
      <c r="AU575" s="86"/>
      <c r="AV575" s="86"/>
      <c r="AW575" s="86"/>
      <c r="AX575" s="86"/>
      <c r="AY575" s="86"/>
      <c r="AZ575" s="86"/>
      <c r="BA575" s="86"/>
      <c r="BB575" s="86"/>
      <c r="BC575" s="86"/>
      <c r="BD575" s="86"/>
      <c r="BE575" s="86"/>
      <c r="BF575" s="86"/>
      <c r="BG575" s="86"/>
      <c r="BH575" s="86"/>
      <c r="BI575" s="86"/>
      <c r="BJ575" s="86"/>
      <c r="BK575" s="86"/>
      <c r="BL575" s="86"/>
      <c r="BM575" s="86"/>
      <c r="BN575" s="86"/>
      <c r="BO575" s="86"/>
      <c r="BP575" s="86"/>
      <c r="BQ575" s="86"/>
      <c r="BR575" s="86"/>
      <c r="BS575" s="86"/>
      <c r="BT575" s="86"/>
      <c r="BU575" s="86"/>
      <c r="BV575" s="86"/>
    </row>
    <row r="576" spans="1:74" s="87" customFormat="1" ht="14.25" x14ac:dyDescent="0.2">
      <c r="A576" s="76" t="s">
        <v>855</v>
      </c>
      <c r="B576" s="77" t="s">
        <v>285</v>
      </c>
      <c r="C576" s="128"/>
      <c r="D576" s="128"/>
      <c r="E576" s="128"/>
      <c r="F576" s="128"/>
      <c r="G576" s="128"/>
      <c r="H576" s="128">
        <v>427564239.73000002</v>
      </c>
      <c r="I576" s="128"/>
      <c r="J576" s="128"/>
      <c r="K576" s="128"/>
      <c r="L576" s="128"/>
      <c r="M576" s="128"/>
      <c r="N576" s="128"/>
      <c r="O576" s="140">
        <f t="shared" si="266"/>
        <v>427564239.73000002</v>
      </c>
      <c r="P576" s="109"/>
      <c r="Q576" s="108"/>
      <c r="R576" s="86"/>
      <c r="S576" s="86"/>
      <c r="T576" s="86"/>
      <c r="U576" s="86"/>
      <c r="V576" s="86"/>
      <c r="W576" s="86"/>
      <c r="X576" s="86"/>
      <c r="Y576" s="86"/>
      <c r="Z576" s="86"/>
      <c r="AA576" s="86"/>
      <c r="AB576" s="86"/>
      <c r="AC576" s="86"/>
      <c r="AD576" s="86"/>
      <c r="AE576" s="86"/>
      <c r="AF576" s="86"/>
      <c r="AG576" s="86"/>
      <c r="AH576" s="86"/>
      <c r="AI576" s="86"/>
      <c r="AJ576" s="86"/>
      <c r="AK576" s="86"/>
      <c r="AL576" s="86"/>
      <c r="AM576" s="86"/>
      <c r="AN576" s="86"/>
      <c r="AO576" s="86"/>
      <c r="AP576" s="86"/>
      <c r="AQ576" s="86"/>
      <c r="AR576" s="86"/>
      <c r="AS576" s="86"/>
      <c r="AT576" s="86"/>
      <c r="AU576" s="86"/>
      <c r="AV576" s="86"/>
      <c r="AW576" s="86"/>
      <c r="AX576" s="86"/>
      <c r="AY576" s="86"/>
      <c r="AZ576" s="86"/>
      <c r="BA576" s="86"/>
      <c r="BB576" s="86"/>
      <c r="BC576" s="86"/>
      <c r="BD576" s="86"/>
      <c r="BE576" s="86"/>
      <c r="BF576" s="86"/>
      <c r="BG576" s="86"/>
      <c r="BH576" s="86"/>
      <c r="BI576" s="86"/>
      <c r="BJ576" s="86"/>
      <c r="BK576" s="86"/>
      <c r="BL576" s="86"/>
      <c r="BM576" s="86"/>
      <c r="BN576" s="86"/>
      <c r="BO576" s="86"/>
      <c r="BP576" s="86"/>
      <c r="BQ576" s="86"/>
      <c r="BR576" s="86"/>
      <c r="BS576" s="86"/>
      <c r="BT576" s="86"/>
      <c r="BU576" s="86"/>
      <c r="BV576" s="86"/>
    </row>
    <row r="577" spans="1:74" s="87" customFormat="1" ht="19.5" x14ac:dyDescent="0.2">
      <c r="A577" s="81" t="s">
        <v>856</v>
      </c>
      <c r="B577" s="79" t="s">
        <v>857</v>
      </c>
      <c r="C577" s="217">
        <f t="shared" ref="C577:N577" si="292">+C578+C580+C582+C584+C586+C589+C591</f>
        <v>0</v>
      </c>
      <c r="D577" s="217">
        <f t="shared" si="292"/>
        <v>0</v>
      </c>
      <c r="E577" s="217">
        <f t="shared" si="292"/>
        <v>0</v>
      </c>
      <c r="F577" s="217">
        <f t="shared" si="292"/>
        <v>4190433949.29</v>
      </c>
      <c r="G577" s="217">
        <f t="shared" si="292"/>
        <v>0</v>
      </c>
      <c r="H577" s="217">
        <f t="shared" si="292"/>
        <v>0</v>
      </c>
      <c r="I577" s="217">
        <f t="shared" si="292"/>
        <v>0</v>
      </c>
      <c r="J577" s="217">
        <f t="shared" si="292"/>
        <v>0</v>
      </c>
      <c r="K577" s="217">
        <f t="shared" si="292"/>
        <v>0</v>
      </c>
      <c r="L577" s="217">
        <f t="shared" si="292"/>
        <v>0</v>
      </c>
      <c r="M577" s="217">
        <f t="shared" si="292"/>
        <v>0</v>
      </c>
      <c r="N577" s="217">
        <f t="shared" si="292"/>
        <v>0</v>
      </c>
      <c r="O577" s="140">
        <f t="shared" si="266"/>
        <v>4190433949.29</v>
      </c>
      <c r="P577" s="109">
        <v>4190433949.29</v>
      </c>
      <c r="Q577" s="108">
        <f t="shared" si="268"/>
        <v>0</v>
      </c>
      <c r="R577" s="86"/>
      <c r="S577" s="86"/>
      <c r="T577" s="86"/>
      <c r="U577" s="86"/>
      <c r="V577" s="86"/>
      <c r="W577" s="86"/>
      <c r="X577" s="86"/>
      <c r="Y577" s="86"/>
      <c r="Z577" s="86"/>
      <c r="AA577" s="86"/>
      <c r="AB577" s="86"/>
      <c r="AC577" s="86"/>
      <c r="AD577" s="86"/>
      <c r="AE577" s="86"/>
      <c r="AF577" s="86"/>
      <c r="AG577" s="86"/>
      <c r="AH577" s="86"/>
      <c r="AI577" s="86"/>
      <c r="AJ577" s="86"/>
      <c r="AK577" s="86"/>
      <c r="AL577" s="86"/>
      <c r="AM577" s="86"/>
      <c r="AN577" s="86"/>
      <c r="AO577" s="86"/>
      <c r="AP577" s="86"/>
      <c r="AQ577" s="86"/>
      <c r="AR577" s="86"/>
      <c r="AS577" s="86"/>
      <c r="AT577" s="86"/>
      <c r="AU577" s="86"/>
      <c r="AV577" s="86"/>
      <c r="AW577" s="86"/>
      <c r="AX577" s="86"/>
      <c r="AY577" s="86"/>
      <c r="AZ577" s="86"/>
      <c r="BA577" s="86"/>
      <c r="BB577" s="86"/>
      <c r="BC577" s="86"/>
      <c r="BD577" s="86"/>
      <c r="BE577" s="86"/>
      <c r="BF577" s="86"/>
      <c r="BG577" s="86"/>
      <c r="BH577" s="86"/>
      <c r="BI577" s="86"/>
      <c r="BJ577" s="86"/>
      <c r="BK577" s="86"/>
      <c r="BL577" s="86"/>
      <c r="BM577" s="86"/>
      <c r="BN577" s="86"/>
      <c r="BO577" s="86"/>
      <c r="BP577" s="86"/>
      <c r="BQ577" s="86"/>
      <c r="BR577" s="86"/>
      <c r="BS577" s="86"/>
      <c r="BT577" s="86"/>
      <c r="BU577" s="86"/>
      <c r="BV577" s="86"/>
    </row>
    <row r="578" spans="1:74" s="87" customFormat="1" ht="30" x14ac:dyDescent="0.2">
      <c r="A578" s="193" t="s">
        <v>858</v>
      </c>
      <c r="B578" s="194" t="s">
        <v>286</v>
      </c>
      <c r="C578" s="217">
        <f t="shared" ref="C578:N578" si="293">+C579</f>
        <v>0</v>
      </c>
      <c r="D578" s="217">
        <f t="shared" si="293"/>
        <v>0</v>
      </c>
      <c r="E578" s="217">
        <f t="shared" si="293"/>
        <v>0</v>
      </c>
      <c r="F578" s="217">
        <f t="shared" si="293"/>
        <v>0</v>
      </c>
      <c r="G578" s="217">
        <f t="shared" si="293"/>
        <v>0</v>
      </c>
      <c r="H578" s="217">
        <f t="shared" si="293"/>
        <v>0</v>
      </c>
      <c r="I578" s="217">
        <f t="shared" si="293"/>
        <v>0</v>
      </c>
      <c r="J578" s="217">
        <f t="shared" si="293"/>
        <v>0</v>
      </c>
      <c r="K578" s="217">
        <f t="shared" si="293"/>
        <v>0</v>
      </c>
      <c r="L578" s="217">
        <f t="shared" si="293"/>
        <v>0</v>
      </c>
      <c r="M578" s="217">
        <f t="shared" si="293"/>
        <v>0</v>
      </c>
      <c r="N578" s="217">
        <f t="shared" si="293"/>
        <v>0</v>
      </c>
      <c r="O578" s="140">
        <f t="shared" si="266"/>
        <v>0</v>
      </c>
      <c r="P578" s="109">
        <v>0</v>
      </c>
      <c r="Q578" s="108">
        <f t="shared" si="268"/>
        <v>0</v>
      </c>
      <c r="R578" s="86"/>
      <c r="S578" s="86"/>
      <c r="T578" s="86"/>
      <c r="U578" s="86"/>
      <c r="V578" s="86"/>
      <c r="W578" s="86"/>
      <c r="X578" s="86"/>
      <c r="Y578" s="86"/>
      <c r="Z578" s="86"/>
      <c r="AA578" s="86"/>
      <c r="AB578" s="86"/>
      <c r="AC578" s="86"/>
      <c r="AD578" s="86"/>
      <c r="AE578" s="86"/>
      <c r="AF578" s="86"/>
      <c r="AG578" s="86"/>
      <c r="AH578" s="86"/>
      <c r="AI578" s="86"/>
      <c r="AJ578" s="86"/>
      <c r="AK578" s="86"/>
      <c r="AL578" s="86"/>
      <c r="AM578" s="86"/>
      <c r="AN578" s="86"/>
      <c r="AO578" s="86"/>
      <c r="AP578" s="86"/>
      <c r="AQ578" s="86"/>
      <c r="AR578" s="86"/>
      <c r="AS578" s="86"/>
      <c r="AT578" s="86"/>
      <c r="AU578" s="86"/>
      <c r="AV578" s="86"/>
      <c r="AW578" s="86"/>
      <c r="AX578" s="86"/>
      <c r="AY578" s="86"/>
      <c r="AZ578" s="86"/>
      <c r="BA578" s="86"/>
      <c r="BB578" s="86"/>
      <c r="BC578" s="86"/>
      <c r="BD578" s="86"/>
      <c r="BE578" s="86"/>
      <c r="BF578" s="86"/>
      <c r="BG578" s="86"/>
      <c r="BH578" s="86"/>
      <c r="BI578" s="86"/>
      <c r="BJ578" s="86"/>
      <c r="BK578" s="86"/>
      <c r="BL578" s="86"/>
      <c r="BM578" s="86"/>
      <c r="BN578" s="86"/>
      <c r="BO578" s="86"/>
      <c r="BP578" s="86"/>
      <c r="BQ578" s="86"/>
      <c r="BR578" s="86"/>
      <c r="BS578" s="86"/>
      <c r="BT578" s="86"/>
      <c r="BU578" s="86"/>
      <c r="BV578" s="86"/>
    </row>
    <row r="579" spans="1:74" s="87" customFormat="1" ht="28.5" x14ac:dyDescent="0.2">
      <c r="A579" s="76" t="s">
        <v>859</v>
      </c>
      <c r="B579" s="77" t="s">
        <v>286</v>
      </c>
      <c r="C579" s="128"/>
      <c r="D579" s="128"/>
      <c r="E579" s="128"/>
      <c r="F579" s="128"/>
      <c r="G579" s="128"/>
      <c r="H579" s="128"/>
      <c r="I579" s="128"/>
      <c r="J579" s="128"/>
      <c r="K579" s="128"/>
      <c r="L579" s="128"/>
      <c r="M579" s="128"/>
      <c r="N579" s="128"/>
      <c r="O579" s="140">
        <f t="shared" si="266"/>
        <v>0</v>
      </c>
      <c r="P579" s="86">
        <v>0</v>
      </c>
      <c r="Q579" s="108">
        <f t="shared" si="268"/>
        <v>0</v>
      </c>
      <c r="R579" s="86"/>
      <c r="S579" s="86"/>
      <c r="T579" s="86"/>
      <c r="U579" s="86"/>
      <c r="V579" s="86"/>
      <c r="W579" s="86"/>
      <c r="X579" s="86"/>
      <c r="Y579" s="86"/>
      <c r="Z579" s="86"/>
      <c r="AA579" s="86"/>
      <c r="AB579" s="86"/>
      <c r="AC579" s="86"/>
      <c r="AD579" s="86"/>
      <c r="AE579" s="86"/>
      <c r="AF579" s="86"/>
      <c r="AG579" s="86"/>
      <c r="AH579" s="86"/>
      <c r="AI579" s="86"/>
      <c r="AJ579" s="86"/>
      <c r="AK579" s="86"/>
      <c r="AL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86"/>
      <c r="BB579" s="86"/>
      <c r="BC579" s="86"/>
      <c r="BD579" s="86"/>
      <c r="BE579" s="86"/>
      <c r="BF579" s="86"/>
      <c r="BG579" s="86"/>
      <c r="BH579" s="86"/>
      <c r="BI579" s="86"/>
      <c r="BJ579" s="86"/>
      <c r="BK579" s="86"/>
      <c r="BL579" s="86"/>
      <c r="BM579" s="86"/>
      <c r="BN579" s="86"/>
      <c r="BO579" s="86"/>
      <c r="BP579" s="86"/>
      <c r="BQ579" s="86"/>
      <c r="BR579" s="86"/>
      <c r="BS579" s="86"/>
      <c r="BT579" s="86"/>
      <c r="BU579" s="86"/>
      <c r="BV579" s="86"/>
    </row>
    <row r="580" spans="1:74" s="87" customFormat="1" ht="33.75" customHeight="1" x14ac:dyDescent="0.2">
      <c r="A580" s="81" t="s">
        <v>860</v>
      </c>
      <c r="B580" s="79" t="s">
        <v>287</v>
      </c>
      <c r="C580" s="217">
        <f t="shared" ref="C580:N580" si="294">+C581</f>
        <v>0</v>
      </c>
      <c r="D580" s="217">
        <f t="shared" si="294"/>
        <v>0</v>
      </c>
      <c r="E580" s="217">
        <f t="shared" si="294"/>
        <v>0</v>
      </c>
      <c r="F580" s="217">
        <f t="shared" si="294"/>
        <v>0</v>
      </c>
      <c r="G580" s="217">
        <f t="shared" si="294"/>
        <v>0</v>
      </c>
      <c r="H580" s="217">
        <f t="shared" si="294"/>
        <v>0</v>
      </c>
      <c r="I580" s="217">
        <f t="shared" si="294"/>
        <v>0</v>
      </c>
      <c r="J580" s="217">
        <f t="shared" si="294"/>
        <v>0</v>
      </c>
      <c r="K580" s="217">
        <f t="shared" si="294"/>
        <v>0</v>
      </c>
      <c r="L580" s="217">
        <f t="shared" si="294"/>
        <v>0</v>
      </c>
      <c r="M580" s="217">
        <f t="shared" si="294"/>
        <v>0</v>
      </c>
      <c r="N580" s="217">
        <f t="shared" si="294"/>
        <v>0</v>
      </c>
      <c r="O580" s="140">
        <f t="shared" si="266"/>
        <v>0</v>
      </c>
      <c r="P580" s="86">
        <v>0</v>
      </c>
      <c r="Q580" s="108">
        <f t="shared" si="268"/>
        <v>0</v>
      </c>
      <c r="R580" s="86"/>
      <c r="S580" s="86"/>
      <c r="T580" s="86"/>
      <c r="U580" s="86"/>
      <c r="V580" s="86"/>
      <c r="W580" s="86"/>
      <c r="X580" s="86"/>
      <c r="Y580" s="86"/>
      <c r="Z580" s="86"/>
      <c r="AA580" s="86"/>
      <c r="AB580" s="86"/>
      <c r="AC580" s="86"/>
      <c r="AD580" s="86"/>
      <c r="AE580" s="86"/>
      <c r="AF580" s="86"/>
      <c r="AG580" s="86"/>
      <c r="AH580" s="86"/>
      <c r="AI580" s="86"/>
      <c r="AJ580" s="86"/>
      <c r="AK580" s="86"/>
      <c r="AL580" s="86"/>
      <c r="AM580" s="86"/>
      <c r="AN580" s="86"/>
      <c r="AO580" s="86"/>
      <c r="AP580" s="86"/>
      <c r="AQ580" s="86"/>
      <c r="AR580" s="86"/>
      <c r="AS580" s="86"/>
      <c r="AT580" s="86"/>
      <c r="AU580" s="86"/>
      <c r="AV580" s="86"/>
      <c r="AW580" s="86"/>
      <c r="AX580" s="86"/>
      <c r="AY580" s="86"/>
      <c r="AZ580" s="86"/>
      <c r="BA580" s="86"/>
      <c r="BB580" s="86"/>
      <c r="BC580" s="86"/>
      <c r="BD580" s="86"/>
      <c r="BE580" s="86"/>
      <c r="BF580" s="86"/>
      <c r="BG580" s="86"/>
      <c r="BH580" s="86"/>
      <c r="BI580" s="86"/>
      <c r="BJ580" s="86"/>
      <c r="BK580" s="86"/>
      <c r="BL580" s="86"/>
      <c r="BM580" s="86"/>
      <c r="BN580" s="86"/>
      <c r="BO580" s="86"/>
      <c r="BP580" s="86"/>
      <c r="BQ580" s="86"/>
      <c r="BR580" s="86"/>
      <c r="BS580" s="86"/>
      <c r="BT580" s="86"/>
      <c r="BU580" s="86"/>
      <c r="BV580" s="86"/>
    </row>
    <row r="581" spans="1:74" s="87" customFormat="1" ht="28.5" x14ac:dyDescent="0.2">
      <c r="A581" s="76" t="s">
        <v>861</v>
      </c>
      <c r="B581" s="77" t="s">
        <v>862</v>
      </c>
      <c r="C581" s="128"/>
      <c r="D581" s="128"/>
      <c r="E581" s="128"/>
      <c r="F581" s="128"/>
      <c r="G581" s="128"/>
      <c r="H581" s="128"/>
      <c r="I581" s="128"/>
      <c r="J581" s="128"/>
      <c r="K581" s="128"/>
      <c r="L581" s="128"/>
      <c r="M581" s="128"/>
      <c r="N581" s="128"/>
      <c r="O581" s="140">
        <f t="shared" si="266"/>
        <v>0</v>
      </c>
      <c r="P581" s="109">
        <v>0</v>
      </c>
      <c r="Q581" s="108">
        <f t="shared" si="268"/>
        <v>0</v>
      </c>
      <c r="R581" s="86"/>
      <c r="S581" s="86"/>
      <c r="T581" s="86"/>
      <c r="U581" s="86"/>
      <c r="V581" s="86"/>
      <c r="W581" s="86"/>
      <c r="X581" s="86"/>
      <c r="Y581" s="86"/>
      <c r="Z581" s="86"/>
      <c r="AA581" s="86"/>
      <c r="AB581" s="86"/>
      <c r="AC581" s="86"/>
      <c r="AD581" s="86"/>
      <c r="AE581" s="86"/>
      <c r="AF581" s="86"/>
      <c r="AG581" s="86"/>
      <c r="AH581" s="86"/>
      <c r="AI581" s="86"/>
      <c r="AJ581" s="86"/>
      <c r="AK581" s="86"/>
      <c r="AL581" s="86"/>
      <c r="AM581" s="86"/>
      <c r="AN581" s="86"/>
      <c r="AO581" s="86"/>
      <c r="AP581" s="86"/>
      <c r="AQ581" s="86"/>
      <c r="AR581" s="86"/>
      <c r="AS581" s="86"/>
      <c r="AT581" s="86"/>
      <c r="AU581" s="86"/>
      <c r="AV581" s="86"/>
      <c r="AW581" s="86"/>
      <c r="AX581" s="86"/>
      <c r="AY581" s="86"/>
      <c r="AZ581" s="86"/>
      <c r="BA581" s="86"/>
      <c r="BB581" s="86"/>
      <c r="BC581" s="86"/>
      <c r="BD581" s="86"/>
      <c r="BE581" s="86"/>
      <c r="BF581" s="86"/>
      <c r="BG581" s="86"/>
      <c r="BH581" s="86"/>
      <c r="BI581" s="86"/>
      <c r="BJ581" s="86"/>
      <c r="BK581" s="86"/>
      <c r="BL581" s="86"/>
      <c r="BM581" s="86"/>
      <c r="BN581" s="86"/>
      <c r="BO581" s="86"/>
      <c r="BP581" s="86"/>
      <c r="BQ581" s="86"/>
      <c r="BR581" s="86"/>
      <c r="BS581" s="86"/>
      <c r="BT581" s="86"/>
      <c r="BU581" s="86"/>
      <c r="BV581" s="86"/>
    </row>
    <row r="582" spans="1:74" s="87" customFormat="1" ht="19.5" x14ac:dyDescent="0.2">
      <c r="A582" s="81" t="s">
        <v>863</v>
      </c>
      <c r="B582" s="79" t="s">
        <v>288</v>
      </c>
      <c r="C582" s="217">
        <f t="shared" ref="C582:N582" si="295">+C583</f>
        <v>0</v>
      </c>
      <c r="D582" s="217">
        <f t="shared" si="295"/>
        <v>0</v>
      </c>
      <c r="E582" s="217">
        <f t="shared" si="295"/>
        <v>0</v>
      </c>
      <c r="F582" s="217">
        <f t="shared" si="295"/>
        <v>0</v>
      </c>
      <c r="G582" s="217">
        <f t="shared" si="295"/>
        <v>0</v>
      </c>
      <c r="H582" s="217">
        <f t="shared" si="295"/>
        <v>0</v>
      </c>
      <c r="I582" s="217">
        <f t="shared" si="295"/>
        <v>0</v>
      </c>
      <c r="J582" s="217">
        <f t="shared" si="295"/>
        <v>0</v>
      </c>
      <c r="K582" s="217">
        <f t="shared" si="295"/>
        <v>0</v>
      </c>
      <c r="L582" s="217">
        <f t="shared" si="295"/>
        <v>0</v>
      </c>
      <c r="M582" s="217">
        <f t="shared" si="295"/>
        <v>0</v>
      </c>
      <c r="N582" s="217">
        <f t="shared" si="295"/>
        <v>0</v>
      </c>
      <c r="O582" s="140">
        <f t="shared" si="266"/>
        <v>0</v>
      </c>
      <c r="P582" s="109">
        <v>0</v>
      </c>
      <c r="Q582" s="108">
        <f t="shared" si="268"/>
        <v>0</v>
      </c>
      <c r="R582" s="86"/>
      <c r="S582" s="86"/>
      <c r="T582" s="86"/>
      <c r="U582" s="86"/>
      <c r="V582" s="86"/>
      <c r="W582" s="86"/>
      <c r="X582" s="86"/>
      <c r="Y582" s="86"/>
      <c r="Z582" s="86"/>
      <c r="AA582" s="86"/>
      <c r="AB582" s="86"/>
      <c r="AC582" s="86"/>
      <c r="AD582" s="86"/>
      <c r="AE582" s="86"/>
      <c r="AF582" s="86"/>
      <c r="AG582" s="86"/>
      <c r="AH582" s="86"/>
      <c r="AI582" s="86"/>
      <c r="AJ582" s="86"/>
      <c r="AK582" s="86"/>
      <c r="AL582" s="86"/>
      <c r="AM582" s="86"/>
      <c r="AN582" s="86"/>
      <c r="AO582" s="86"/>
      <c r="AP582" s="86"/>
      <c r="AQ582" s="86"/>
      <c r="AR582" s="86"/>
      <c r="AS582" s="86"/>
      <c r="AT582" s="86"/>
      <c r="AU582" s="86"/>
      <c r="AV582" s="86"/>
      <c r="AW582" s="86"/>
      <c r="AX582" s="86"/>
      <c r="AY582" s="86"/>
      <c r="AZ582" s="86"/>
      <c r="BA582" s="86"/>
      <c r="BB582" s="86"/>
      <c r="BC582" s="86"/>
      <c r="BD582" s="86"/>
      <c r="BE582" s="86"/>
      <c r="BF582" s="86"/>
      <c r="BG582" s="86"/>
      <c r="BH582" s="86"/>
      <c r="BI582" s="86"/>
      <c r="BJ582" s="86"/>
      <c r="BK582" s="86"/>
      <c r="BL582" s="86"/>
      <c r="BM582" s="86"/>
      <c r="BN582" s="86"/>
      <c r="BO582" s="86"/>
      <c r="BP582" s="86"/>
      <c r="BQ582" s="86"/>
      <c r="BR582" s="86"/>
      <c r="BS582" s="86"/>
      <c r="BT582" s="86"/>
      <c r="BU582" s="86"/>
      <c r="BV582" s="86"/>
    </row>
    <row r="583" spans="1:74" s="87" customFormat="1" ht="14.25" x14ac:dyDescent="0.2">
      <c r="A583" s="76" t="s">
        <v>864</v>
      </c>
      <c r="B583" s="77" t="s">
        <v>865</v>
      </c>
      <c r="C583" s="128"/>
      <c r="D583" s="128"/>
      <c r="E583" s="128"/>
      <c r="F583" s="128"/>
      <c r="G583" s="128"/>
      <c r="H583" s="128"/>
      <c r="I583" s="128"/>
      <c r="J583" s="128"/>
      <c r="K583" s="128"/>
      <c r="L583" s="128"/>
      <c r="M583" s="128"/>
      <c r="N583" s="128"/>
      <c r="O583" s="140">
        <f t="shared" si="217"/>
        <v>0</v>
      </c>
      <c r="Q583" s="108">
        <f t="shared" si="268"/>
        <v>0</v>
      </c>
      <c r="R583" s="86"/>
      <c r="S583" s="86"/>
      <c r="T583" s="86"/>
      <c r="U583" s="86"/>
      <c r="V583" s="86"/>
      <c r="W583" s="86"/>
      <c r="X583" s="86"/>
      <c r="Y583" s="86"/>
      <c r="Z583" s="86"/>
      <c r="AA583" s="86"/>
      <c r="AB583" s="86"/>
      <c r="AC583" s="86"/>
      <c r="AD583" s="86"/>
      <c r="AE583" s="86"/>
      <c r="AF583" s="86"/>
      <c r="AG583" s="86"/>
      <c r="AH583" s="86"/>
      <c r="AI583" s="86"/>
      <c r="AJ583" s="86"/>
      <c r="AK583" s="86"/>
      <c r="AL583" s="86"/>
      <c r="AM583" s="86"/>
      <c r="AN583" s="86"/>
      <c r="AO583" s="86"/>
      <c r="AP583" s="86"/>
      <c r="AQ583" s="86"/>
      <c r="AR583" s="86"/>
      <c r="AS583" s="86"/>
      <c r="AT583" s="86"/>
      <c r="AU583" s="86"/>
      <c r="AV583" s="86"/>
      <c r="AW583" s="86"/>
      <c r="AX583" s="86"/>
      <c r="AY583" s="86"/>
      <c r="AZ583" s="86"/>
      <c r="BA583" s="86"/>
      <c r="BB583" s="86"/>
      <c r="BC583" s="86"/>
      <c r="BD583" s="86"/>
      <c r="BE583" s="86"/>
      <c r="BF583" s="86"/>
      <c r="BG583" s="86"/>
      <c r="BH583" s="86"/>
      <c r="BI583" s="86"/>
      <c r="BJ583" s="86"/>
      <c r="BK583" s="86"/>
      <c r="BL583" s="86"/>
      <c r="BM583" s="86"/>
      <c r="BN583" s="86"/>
      <c r="BO583" s="86"/>
      <c r="BP583" s="86"/>
      <c r="BQ583" s="86"/>
      <c r="BR583" s="86"/>
      <c r="BS583" s="86"/>
      <c r="BT583" s="86"/>
      <c r="BU583" s="86"/>
      <c r="BV583" s="86"/>
    </row>
    <row r="584" spans="1:74" s="87" customFormat="1" ht="19.5" x14ac:dyDescent="0.2">
      <c r="A584" s="81" t="s">
        <v>866</v>
      </c>
      <c r="B584" s="79" t="s">
        <v>289</v>
      </c>
      <c r="C584" s="217">
        <f t="shared" ref="C584:N584" si="296">+C585</f>
        <v>0</v>
      </c>
      <c r="D584" s="217">
        <f t="shared" si="296"/>
        <v>0</v>
      </c>
      <c r="E584" s="217">
        <f t="shared" si="296"/>
        <v>0</v>
      </c>
      <c r="F584" s="217">
        <f t="shared" si="296"/>
        <v>0</v>
      </c>
      <c r="G584" s="217">
        <f t="shared" si="296"/>
        <v>0</v>
      </c>
      <c r="H584" s="217">
        <f t="shared" si="296"/>
        <v>0</v>
      </c>
      <c r="I584" s="217">
        <f t="shared" si="296"/>
        <v>0</v>
      </c>
      <c r="J584" s="217">
        <f t="shared" si="296"/>
        <v>0</v>
      </c>
      <c r="K584" s="217">
        <f t="shared" si="296"/>
        <v>0</v>
      </c>
      <c r="L584" s="217">
        <f t="shared" si="296"/>
        <v>0</v>
      </c>
      <c r="M584" s="217">
        <f t="shared" si="296"/>
        <v>0</v>
      </c>
      <c r="N584" s="217">
        <f t="shared" si="296"/>
        <v>0</v>
      </c>
      <c r="O584" s="140">
        <f t="shared" si="217"/>
        <v>0</v>
      </c>
      <c r="Q584" s="108">
        <f t="shared" si="268"/>
        <v>0</v>
      </c>
      <c r="R584" s="86"/>
      <c r="S584" s="86"/>
      <c r="T584" s="86"/>
      <c r="U584" s="86"/>
      <c r="V584" s="86"/>
      <c r="W584" s="86"/>
      <c r="X584" s="86"/>
      <c r="Y584" s="86"/>
      <c r="Z584" s="86"/>
      <c r="AA584" s="86"/>
      <c r="AB584" s="86"/>
      <c r="AC584" s="86"/>
      <c r="AD584" s="86"/>
      <c r="AE584" s="86"/>
      <c r="AF584" s="86"/>
      <c r="AG584" s="86"/>
      <c r="AH584" s="86"/>
      <c r="AI584" s="86"/>
      <c r="AJ584" s="86"/>
      <c r="AK584" s="86"/>
      <c r="AL584" s="86"/>
      <c r="AM584" s="86"/>
      <c r="AN584" s="86"/>
      <c r="AO584" s="86"/>
      <c r="AP584" s="86"/>
      <c r="AQ584" s="86"/>
      <c r="AR584" s="86"/>
      <c r="AS584" s="86"/>
      <c r="AT584" s="86"/>
      <c r="AU584" s="86"/>
      <c r="AV584" s="86"/>
      <c r="AW584" s="86"/>
      <c r="AX584" s="86"/>
      <c r="AY584" s="86"/>
      <c r="AZ584" s="86"/>
      <c r="BA584" s="86"/>
      <c r="BB584" s="86"/>
      <c r="BC584" s="86"/>
      <c r="BD584" s="86"/>
      <c r="BE584" s="86"/>
      <c r="BF584" s="86"/>
      <c r="BG584" s="86"/>
      <c r="BH584" s="86"/>
      <c r="BI584" s="86"/>
      <c r="BJ584" s="86"/>
      <c r="BK584" s="86"/>
      <c r="BL584" s="86"/>
      <c r="BM584" s="86"/>
      <c r="BN584" s="86"/>
      <c r="BO584" s="86"/>
      <c r="BP584" s="86"/>
      <c r="BQ584" s="86"/>
      <c r="BR584" s="86"/>
      <c r="BS584" s="86"/>
      <c r="BT584" s="86"/>
      <c r="BU584" s="86"/>
      <c r="BV584" s="86"/>
    </row>
    <row r="585" spans="1:74" s="87" customFormat="1" ht="14.25" x14ac:dyDescent="0.2">
      <c r="A585" s="76" t="s">
        <v>867</v>
      </c>
      <c r="B585" s="77" t="s">
        <v>868</v>
      </c>
      <c r="C585" s="128"/>
      <c r="D585" s="128"/>
      <c r="E585" s="128"/>
      <c r="F585" s="128"/>
      <c r="G585" s="128"/>
      <c r="H585" s="128"/>
      <c r="I585" s="128"/>
      <c r="J585" s="128"/>
      <c r="K585" s="128"/>
      <c r="L585" s="128"/>
      <c r="M585" s="128"/>
      <c r="N585" s="128"/>
      <c r="O585" s="140">
        <f t="shared" si="217"/>
        <v>0</v>
      </c>
      <c r="Q585" s="108">
        <f t="shared" si="268"/>
        <v>0</v>
      </c>
      <c r="R585" s="86"/>
      <c r="S585" s="86"/>
      <c r="T585" s="86"/>
      <c r="U585" s="86"/>
      <c r="V585" s="86"/>
      <c r="W585" s="86"/>
      <c r="X585" s="86"/>
      <c r="Y585" s="86"/>
      <c r="Z585" s="86"/>
      <c r="AA585" s="86"/>
      <c r="AB585" s="86"/>
      <c r="AC585" s="86"/>
      <c r="AD585" s="86"/>
      <c r="AE585" s="86"/>
      <c r="AF585" s="86"/>
      <c r="AG585" s="86"/>
      <c r="AH585" s="86"/>
      <c r="AI585" s="86"/>
      <c r="AJ585" s="86"/>
      <c r="AK585" s="86"/>
      <c r="AL585" s="86"/>
      <c r="AM585" s="86"/>
      <c r="AN585" s="86"/>
      <c r="AO585" s="86"/>
      <c r="AP585" s="86"/>
      <c r="AQ585" s="86"/>
      <c r="AR585" s="86"/>
      <c r="AS585" s="86"/>
      <c r="AT585" s="86"/>
      <c r="AU585" s="86"/>
      <c r="AV585" s="86"/>
      <c r="AW585" s="86"/>
      <c r="AX585" s="86"/>
      <c r="AY585" s="86"/>
      <c r="AZ585" s="86"/>
      <c r="BA585" s="86"/>
      <c r="BB585" s="86"/>
      <c r="BC585" s="86"/>
      <c r="BD585" s="86"/>
      <c r="BE585" s="86"/>
      <c r="BF585" s="86"/>
      <c r="BG585" s="86"/>
      <c r="BH585" s="86"/>
      <c r="BI585" s="86"/>
      <c r="BJ585" s="86"/>
      <c r="BK585" s="86"/>
      <c r="BL585" s="86"/>
      <c r="BM585" s="86"/>
      <c r="BN585" s="86"/>
      <c r="BO585" s="86"/>
      <c r="BP585" s="86"/>
      <c r="BQ585" s="86"/>
      <c r="BR585" s="86"/>
      <c r="BS585" s="86"/>
      <c r="BT585" s="86"/>
      <c r="BU585" s="86"/>
      <c r="BV585" s="86"/>
    </row>
    <row r="586" spans="1:74" s="87" customFormat="1" ht="27.75" customHeight="1" x14ac:dyDescent="0.2">
      <c r="A586" s="81" t="s">
        <v>869</v>
      </c>
      <c r="B586" s="79" t="s">
        <v>290</v>
      </c>
      <c r="C586" s="217">
        <f>+C587+C588</f>
        <v>0</v>
      </c>
      <c r="D586" s="217">
        <f t="shared" ref="D586:N586" si="297">+D587+D588</f>
        <v>0</v>
      </c>
      <c r="E586" s="217">
        <f t="shared" si="297"/>
        <v>0</v>
      </c>
      <c r="F586" s="217">
        <f t="shared" si="297"/>
        <v>4190433949.29</v>
      </c>
      <c r="G586" s="217">
        <f t="shared" si="297"/>
        <v>0</v>
      </c>
      <c r="H586" s="217">
        <f t="shared" si="297"/>
        <v>0</v>
      </c>
      <c r="I586" s="217">
        <f t="shared" si="297"/>
        <v>0</v>
      </c>
      <c r="J586" s="217">
        <f t="shared" si="297"/>
        <v>0</v>
      </c>
      <c r="K586" s="217">
        <f t="shared" si="297"/>
        <v>0</v>
      </c>
      <c r="L586" s="217">
        <f t="shared" si="297"/>
        <v>0</v>
      </c>
      <c r="M586" s="217">
        <f t="shared" si="297"/>
        <v>0</v>
      </c>
      <c r="N586" s="217">
        <f t="shared" si="297"/>
        <v>0</v>
      </c>
      <c r="O586" s="140">
        <f t="shared" si="217"/>
        <v>4190433949.29</v>
      </c>
      <c r="P586" s="109">
        <v>4190433949.29</v>
      </c>
      <c r="Q586" s="108">
        <f t="shared" si="268"/>
        <v>0</v>
      </c>
      <c r="R586" s="86"/>
      <c r="S586" s="86"/>
      <c r="T586" s="86"/>
      <c r="U586" s="86"/>
      <c r="V586" s="86"/>
      <c r="W586" s="86"/>
      <c r="X586" s="86"/>
      <c r="Y586" s="86"/>
      <c r="Z586" s="86"/>
      <c r="AA586" s="86"/>
      <c r="AB586" s="86"/>
      <c r="AC586" s="86"/>
      <c r="AD586" s="86"/>
      <c r="AE586" s="86"/>
      <c r="AF586" s="86"/>
      <c r="AG586" s="86"/>
      <c r="AH586" s="86"/>
      <c r="AI586" s="86"/>
      <c r="AJ586" s="86"/>
      <c r="AK586" s="86"/>
      <c r="AL586" s="86"/>
      <c r="AM586" s="86"/>
      <c r="AN586" s="86"/>
      <c r="AO586" s="86"/>
      <c r="AP586" s="86"/>
      <c r="AQ586" s="86"/>
      <c r="AR586" s="86"/>
      <c r="AS586" s="86"/>
      <c r="AT586" s="86"/>
      <c r="AU586" s="86"/>
      <c r="AV586" s="86"/>
      <c r="AW586" s="86"/>
      <c r="AX586" s="86"/>
      <c r="AY586" s="86"/>
      <c r="AZ586" s="86"/>
      <c r="BA586" s="86"/>
      <c r="BB586" s="86"/>
      <c r="BC586" s="86"/>
      <c r="BD586" s="86"/>
      <c r="BE586" s="86"/>
      <c r="BF586" s="86"/>
      <c r="BG586" s="86"/>
      <c r="BH586" s="86"/>
      <c r="BI586" s="86"/>
      <c r="BJ586" s="86"/>
      <c r="BK586" s="86"/>
      <c r="BL586" s="86"/>
      <c r="BM586" s="86"/>
      <c r="BN586" s="86"/>
      <c r="BO586" s="86"/>
      <c r="BP586" s="86"/>
      <c r="BQ586" s="86"/>
      <c r="BR586" s="86"/>
      <c r="BS586" s="86"/>
      <c r="BT586" s="86"/>
      <c r="BU586" s="86"/>
      <c r="BV586" s="86"/>
    </row>
    <row r="587" spans="1:74" s="87" customFormat="1" ht="28.5" x14ac:dyDescent="0.2">
      <c r="A587" s="76" t="s">
        <v>870</v>
      </c>
      <c r="B587" s="77" t="s">
        <v>871</v>
      </c>
      <c r="C587" s="128"/>
      <c r="D587" s="128"/>
      <c r="E587" s="128"/>
      <c r="F587" s="128"/>
      <c r="G587" s="128"/>
      <c r="H587" s="128"/>
      <c r="I587" s="128"/>
      <c r="J587" s="128"/>
      <c r="K587" s="128"/>
      <c r="L587" s="128"/>
      <c r="M587" s="128"/>
      <c r="N587" s="128"/>
      <c r="O587" s="140">
        <f t="shared" si="217"/>
        <v>0</v>
      </c>
      <c r="P587" s="153">
        <v>0</v>
      </c>
      <c r="Q587" s="108">
        <f t="shared" si="268"/>
        <v>0</v>
      </c>
      <c r="R587" s="86"/>
      <c r="S587" s="86"/>
      <c r="T587" s="86"/>
      <c r="U587" s="86"/>
      <c r="V587" s="86"/>
      <c r="W587" s="86"/>
      <c r="X587" s="86"/>
      <c r="Y587" s="86"/>
      <c r="Z587" s="86"/>
      <c r="AA587" s="86"/>
      <c r="AB587" s="86"/>
      <c r="AC587" s="86"/>
      <c r="AD587" s="86"/>
      <c r="AE587" s="86"/>
      <c r="AF587" s="86"/>
      <c r="AG587" s="86"/>
      <c r="AH587" s="86"/>
      <c r="AI587" s="86"/>
      <c r="AJ587" s="86"/>
      <c r="AK587" s="86"/>
      <c r="AL587" s="86"/>
      <c r="AM587" s="86"/>
      <c r="AN587" s="86"/>
      <c r="AO587" s="86"/>
      <c r="AP587" s="86"/>
      <c r="AQ587" s="86"/>
      <c r="AR587" s="86"/>
      <c r="AS587" s="86"/>
      <c r="AT587" s="86"/>
      <c r="AU587" s="86"/>
      <c r="AV587" s="86"/>
      <c r="AW587" s="86"/>
      <c r="AX587" s="86"/>
      <c r="AY587" s="86"/>
      <c r="AZ587" s="86"/>
      <c r="BA587" s="86"/>
      <c r="BB587" s="86"/>
      <c r="BC587" s="86"/>
      <c r="BD587" s="86"/>
      <c r="BE587" s="86"/>
      <c r="BF587" s="86"/>
      <c r="BG587" s="86"/>
      <c r="BH587" s="86"/>
      <c r="BI587" s="86"/>
      <c r="BJ587" s="86"/>
      <c r="BK587" s="86"/>
      <c r="BL587" s="86"/>
      <c r="BM587" s="86"/>
      <c r="BN587" s="86"/>
      <c r="BO587" s="86"/>
      <c r="BP587" s="86"/>
      <c r="BQ587" s="86"/>
      <c r="BR587" s="86"/>
      <c r="BS587" s="86"/>
      <c r="BT587" s="86"/>
      <c r="BU587" s="86"/>
      <c r="BV587" s="86"/>
    </row>
    <row r="588" spans="1:74" s="87" customFormat="1" ht="28.5" x14ac:dyDescent="0.2">
      <c r="A588" s="76" t="s">
        <v>870</v>
      </c>
      <c r="B588" s="77" t="s">
        <v>871</v>
      </c>
      <c r="C588" s="128"/>
      <c r="D588" s="128"/>
      <c r="E588" s="128"/>
      <c r="F588" s="128">
        <v>4190433949.29</v>
      </c>
      <c r="G588" s="128"/>
      <c r="H588" s="128"/>
      <c r="I588" s="128"/>
      <c r="J588" s="128"/>
      <c r="K588" s="128"/>
      <c r="L588" s="128"/>
      <c r="M588" s="128"/>
      <c r="N588" s="128"/>
      <c r="O588" s="140">
        <f t="shared" ref="O588:O620" si="298">SUM(C588:N588)</f>
        <v>4190433949.29</v>
      </c>
      <c r="P588" s="86">
        <v>4190433949.29</v>
      </c>
      <c r="Q588" s="108">
        <f t="shared" si="268"/>
        <v>0</v>
      </c>
      <c r="R588" s="86"/>
      <c r="S588" s="86"/>
      <c r="T588" s="86"/>
      <c r="U588" s="86"/>
      <c r="V588" s="86"/>
      <c r="W588" s="86"/>
      <c r="X588" s="86"/>
      <c r="Y588" s="86"/>
      <c r="Z588" s="86"/>
      <c r="AA588" s="86"/>
      <c r="AB588" s="86"/>
      <c r="AC588" s="86"/>
      <c r="AD588" s="86"/>
      <c r="AE588" s="86"/>
      <c r="AF588" s="86"/>
      <c r="AG588" s="86"/>
      <c r="AH588" s="86"/>
      <c r="AI588" s="86"/>
      <c r="AJ588" s="86"/>
      <c r="AK588" s="86"/>
      <c r="AL588" s="86"/>
      <c r="AM588" s="86"/>
      <c r="AN588" s="86"/>
      <c r="AO588" s="86"/>
      <c r="AP588" s="86"/>
      <c r="AQ588" s="86"/>
      <c r="AR588" s="86"/>
      <c r="AS588" s="86"/>
      <c r="AT588" s="86"/>
      <c r="AU588" s="86"/>
      <c r="AV588" s="86"/>
      <c r="AW588" s="86"/>
      <c r="AX588" s="86"/>
      <c r="AY588" s="86"/>
      <c r="AZ588" s="86"/>
      <c r="BA588" s="86"/>
      <c r="BB588" s="86"/>
      <c r="BC588" s="86"/>
      <c r="BD588" s="86"/>
      <c r="BE588" s="86"/>
      <c r="BF588" s="86"/>
      <c r="BG588" s="86"/>
      <c r="BH588" s="86"/>
      <c r="BI588" s="86"/>
      <c r="BJ588" s="86"/>
      <c r="BK588" s="86"/>
      <c r="BL588" s="86"/>
      <c r="BM588" s="86"/>
      <c r="BN588" s="86"/>
      <c r="BO588" s="86"/>
      <c r="BP588" s="86"/>
      <c r="BQ588" s="86"/>
      <c r="BR588" s="86"/>
      <c r="BS588" s="86"/>
      <c r="BT588" s="86"/>
      <c r="BU588" s="86"/>
      <c r="BV588" s="86"/>
    </row>
    <row r="589" spans="1:74" s="87" customFormat="1" ht="19.5" x14ac:dyDescent="0.2">
      <c r="A589" s="81" t="s">
        <v>872</v>
      </c>
      <c r="B589" s="79" t="s">
        <v>291</v>
      </c>
      <c r="C589" s="217">
        <f t="shared" ref="C589:N589" si="299">+C590</f>
        <v>0</v>
      </c>
      <c r="D589" s="217">
        <f t="shared" si="299"/>
        <v>0</v>
      </c>
      <c r="E589" s="217">
        <f t="shared" si="299"/>
        <v>0</v>
      </c>
      <c r="F589" s="217">
        <f t="shared" si="299"/>
        <v>0</v>
      </c>
      <c r="G589" s="217">
        <f t="shared" si="299"/>
        <v>0</v>
      </c>
      <c r="H589" s="217">
        <f t="shared" si="299"/>
        <v>0</v>
      </c>
      <c r="I589" s="217">
        <f t="shared" si="299"/>
        <v>0</v>
      </c>
      <c r="J589" s="217">
        <f t="shared" si="299"/>
        <v>0</v>
      </c>
      <c r="K589" s="217">
        <f t="shared" si="299"/>
        <v>0</v>
      </c>
      <c r="L589" s="217">
        <f t="shared" si="299"/>
        <v>0</v>
      </c>
      <c r="M589" s="217">
        <f t="shared" si="299"/>
        <v>0</v>
      </c>
      <c r="N589" s="217">
        <f t="shared" si="299"/>
        <v>0</v>
      </c>
      <c r="O589" s="140">
        <f t="shared" si="298"/>
        <v>0</v>
      </c>
      <c r="P589" s="86">
        <v>0</v>
      </c>
      <c r="Q589" s="108">
        <f t="shared" si="268"/>
        <v>0</v>
      </c>
      <c r="R589" s="86"/>
      <c r="S589" s="86"/>
      <c r="T589" s="86"/>
      <c r="U589" s="86"/>
      <c r="V589" s="86"/>
      <c r="W589" s="86"/>
      <c r="X589" s="86"/>
      <c r="Y589" s="86"/>
      <c r="Z589" s="86"/>
      <c r="AA589" s="86"/>
      <c r="AB589" s="86"/>
      <c r="AC589" s="86"/>
      <c r="AD589" s="86"/>
      <c r="AE589" s="86"/>
      <c r="AF589" s="86"/>
      <c r="AG589" s="86"/>
      <c r="AH589" s="86"/>
      <c r="AI589" s="86"/>
      <c r="AJ589" s="86"/>
      <c r="AK589" s="86"/>
      <c r="AL589" s="86"/>
      <c r="AM589" s="86"/>
      <c r="AN589" s="86"/>
      <c r="AO589" s="86"/>
      <c r="AP589" s="86"/>
      <c r="AQ589" s="86"/>
      <c r="AR589" s="86"/>
      <c r="AS589" s="86"/>
      <c r="AT589" s="86"/>
      <c r="AU589" s="86"/>
      <c r="AV589" s="86"/>
      <c r="AW589" s="86"/>
      <c r="AX589" s="86"/>
      <c r="AY589" s="86"/>
      <c r="AZ589" s="86"/>
      <c r="BA589" s="86"/>
      <c r="BB589" s="86"/>
      <c r="BC589" s="86"/>
      <c r="BD589" s="86"/>
      <c r="BE589" s="86"/>
      <c r="BF589" s="86"/>
      <c r="BG589" s="86"/>
      <c r="BH589" s="86"/>
      <c r="BI589" s="86"/>
      <c r="BJ589" s="86"/>
      <c r="BK589" s="86"/>
      <c r="BL589" s="86"/>
      <c r="BM589" s="86"/>
      <c r="BN589" s="86"/>
      <c r="BO589" s="86"/>
      <c r="BP589" s="86"/>
      <c r="BQ589" s="86"/>
      <c r="BR589" s="86"/>
      <c r="BS589" s="86"/>
      <c r="BT589" s="86"/>
      <c r="BU589" s="86"/>
      <c r="BV589" s="86"/>
    </row>
    <row r="590" spans="1:74" s="87" customFormat="1" ht="14.25" x14ac:dyDescent="0.2">
      <c r="A590" s="76" t="s">
        <v>873</v>
      </c>
      <c r="B590" s="77" t="s">
        <v>291</v>
      </c>
      <c r="C590" s="128"/>
      <c r="D590" s="128"/>
      <c r="E590" s="128"/>
      <c r="F590" s="128"/>
      <c r="G590" s="128"/>
      <c r="H590" s="128"/>
      <c r="I590" s="128"/>
      <c r="J590" s="128"/>
      <c r="K590" s="128"/>
      <c r="L590" s="128"/>
      <c r="M590" s="128"/>
      <c r="N590" s="128"/>
      <c r="O590" s="140">
        <f t="shared" si="298"/>
        <v>0</v>
      </c>
      <c r="P590" s="86">
        <v>0</v>
      </c>
      <c r="Q590" s="108">
        <f t="shared" si="268"/>
        <v>0</v>
      </c>
      <c r="R590" s="86"/>
      <c r="S590" s="86"/>
      <c r="T590" s="86"/>
      <c r="U590" s="86"/>
      <c r="V590" s="86"/>
      <c r="W590" s="86"/>
      <c r="X590" s="86"/>
      <c r="Y590" s="86"/>
      <c r="Z590" s="86"/>
      <c r="AA590" s="86"/>
      <c r="AB590" s="86"/>
      <c r="AC590" s="86"/>
      <c r="AD590" s="86"/>
      <c r="AE590" s="86"/>
      <c r="AF590" s="86"/>
      <c r="AG590" s="86"/>
      <c r="AH590" s="86"/>
      <c r="AI590" s="86"/>
      <c r="AJ590" s="86"/>
      <c r="AK590" s="86"/>
      <c r="AL590" s="86"/>
      <c r="AM590" s="86"/>
      <c r="AN590" s="86"/>
      <c r="AO590" s="86"/>
      <c r="AP590" s="86"/>
      <c r="AQ590" s="86"/>
      <c r="AR590" s="86"/>
      <c r="AS590" s="86"/>
      <c r="AT590" s="86"/>
      <c r="AU590" s="86"/>
      <c r="AV590" s="86"/>
      <c r="AW590" s="86"/>
      <c r="AX590" s="86"/>
      <c r="AY590" s="86"/>
      <c r="AZ590" s="86"/>
      <c r="BA590" s="86"/>
      <c r="BB590" s="86"/>
      <c r="BC590" s="86"/>
      <c r="BD590" s="86"/>
      <c r="BE590" s="86"/>
      <c r="BF590" s="86"/>
      <c r="BG590" s="86"/>
      <c r="BH590" s="86"/>
      <c r="BI590" s="86"/>
      <c r="BJ590" s="86"/>
      <c r="BK590" s="86"/>
      <c r="BL590" s="86"/>
      <c r="BM590" s="86"/>
      <c r="BN590" s="86"/>
      <c r="BO590" s="86"/>
      <c r="BP590" s="86"/>
      <c r="BQ590" s="86"/>
      <c r="BR590" s="86"/>
      <c r="BS590" s="86"/>
      <c r="BT590" s="86"/>
      <c r="BU590" s="86"/>
      <c r="BV590" s="86"/>
    </row>
    <row r="591" spans="1:74" s="87" customFormat="1" ht="19.5" x14ac:dyDescent="0.2">
      <c r="A591" s="81" t="s">
        <v>874</v>
      </c>
      <c r="B591" s="79" t="s">
        <v>875</v>
      </c>
      <c r="C591" s="217">
        <f>SUM(C592:C594)</f>
        <v>0</v>
      </c>
      <c r="D591" s="217">
        <f t="shared" ref="D591:N591" si="300">SUM(D592:D594)</f>
        <v>0</v>
      </c>
      <c r="E591" s="217">
        <f t="shared" si="300"/>
        <v>0</v>
      </c>
      <c r="F591" s="217">
        <f t="shared" si="300"/>
        <v>0</v>
      </c>
      <c r="G591" s="217">
        <f t="shared" si="300"/>
        <v>0</v>
      </c>
      <c r="H591" s="217">
        <f t="shared" si="300"/>
        <v>0</v>
      </c>
      <c r="I591" s="217">
        <f t="shared" si="300"/>
        <v>0</v>
      </c>
      <c r="J591" s="217">
        <f t="shared" si="300"/>
        <v>0</v>
      </c>
      <c r="K591" s="217">
        <f t="shared" si="300"/>
        <v>0</v>
      </c>
      <c r="L591" s="217">
        <f t="shared" si="300"/>
        <v>0</v>
      </c>
      <c r="M591" s="217">
        <f t="shared" si="300"/>
        <v>0</v>
      </c>
      <c r="N591" s="217">
        <f t="shared" si="300"/>
        <v>0</v>
      </c>
      <c r="O591" s="140">
        <f t="shared" si="298"/>
        <v>0</v>
      </c>
      <c r="P591" s="86">
        <v>0</v>
      </c>
      <c r="Q591" s="108">
        <f t="shared" si="268"/>
        <v>0</v>
      </c>
      <c r="R591" s="86"/>
      <c r="S591" s="86"/>
      <c r="T591" s="86"/>
      <c r="U591" s="86"/>
      <c r="V591" s="86"/>
      <c r="W591" s="86"/>
      <c r="X591" s="86"/>
      <c r="Y591" s="86"/>
      <c r="Z591" s="86"/>
      <c r="AA591" s="86"/>
      <c r="AB591" s="86"/>
      <c r="AC591" s="86"/>
      <c r="AD591" s="86"/>
      <c r="AE591" s="86"/>
      <c r="AF591" s="86"/>
      <c r="AG591" s="86"/>
      <c r="AH591" s="86"/>
      <c r="AI591" s="86"/>
      <c r="AJ591" s="86"/>
      <c r="AK591" s="86"/>
      <c r="AL591" s="86"/>
      <c r="AM591" s="86"/>
      <c r="AN591" s="86"/>
      <c r="AO591" s="86"/>
      <c r="AP591" s="86"/>
      <c r="AQ591" s="86"/>
      <c r="AR591" s="86"/>
      <c r="AS591" s="86"/>
      <c r="AT591" s="86"/>
      <c r="AU591" s="86"/>
      <c r="AV591" s="86"/>
      <c r="AW591" s="86"/>
      <c r="AX591" s="86"/>
      <c r="AY591" s="86"/>
      <c r="AZ591" s="86"/>
      <c r="BA591" s="86"/>
      <c r="BB591" s="86"/>
      <c r="BC591" s="86"/>
      <c r="BD591" s="86"/>
      <c r="BE591" s="86"/>
      <c r="BF591" s="86"/>
      <c r="BG591" s="86"/>
      <c r="BH591" s="86"/>
      <c r="BI591" s="86"/>
      <c r="BJ591" s="86"/>
      <c r="BK591" s="86"/>
      <c r="BL591" s="86"/>
      <c r="BM591" s="86"/>
      <c r="BN591" s="86"/>
      <c r="BO591" s="86"/>
      <c r="BP591" s="86"/>
      <c r="BQ591" s="86"/>
      <c r="BR591" s="86"/>
      <c r="BS591" s="86"/>
      <c r="BT591" s="86"/>
      <c r="BU591" s="86"/>
      <c r="BV591" s="86"/>
    </row>
    <row r="592" spans="1:74" s="87" customFormat="1" ht="28.5" x14ac:dyDescent="0.2">
      <c r="A592" s="76" t="s">
        <v>876</v>
      </c>
      <c r="B592" s="77" t="s">
        <v>292</v>
      </c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140">
        <f t="shared" si="298"/>
        <v>0</v>
      </c>
      <c r="P592" s="86">
        <v>0</v>
      </c>
      <c r="Q592" s="108">
        <f t="shared" si="268"/>
        <v>0</v>
      </c>
      <c r="R592" s="86"/>
      <c r="S592" s="86"/>
      <c r="T592" s="86"/>
      <c r="U592" s="86"/>
      <c r="V592" s="86"/>
      <c r="W592" s="86"/>
      <c r="X592" s="86"/>
      <c r="Y592" s="86"/>
      <c r="Z592" s="86"/>
      <c r="AA592" s="86"/>
      <c r="AB592" s="86"/>
      <c r="AC592" s="86"/>
      <c r="AD592" s="86"/>
      <c r="AE592" s="86"/>
      <c r="AF592" s="86"/>
      <c r="AG592" s="86"/>
      <c r="AH592" s="86"/>
      <c r="AI592" s="86"/>
      <c r="AJ592" s="86"/>
      <c r="AK592" s="86"/>
      <c r="AL592" s="86"/>
      <c r="AM592" s="86"/>
      <c r="AN592" s="86"/>
      <c r="AO592" s="86"/>
      <c r="AP592" s="86"/>
      <c r="AQ592" s="86"/>
      <c r="AR592" s="86"/>
      <c r="AS592" s="86"/>
      <c r="AT592" s="86"/>
      <c r="AU592" s="86"/>
      <c r="AV592" s="86"/>
      <c r="AW592" s="86"/>
      <c r="AX592" s="86"/>
      <c r="AY592" s="86"/>
      <c r="AZ592" s="86"/>
      <c r="BA592" s="86"/>
      <c r="BB592" s="86"/>
      <c r="BC592" s="86"/>
      <c r="BD592" s="86"/>
      <c r="BE592" s="86"/>
      <c r="BF592" s="86"/>
      <c r="BG592" s="86"/>
      <c r="BH592" s="86"/>
      <c r="BI592" s="86"/>
      <c r="BJ592" s="86"/>
      <c r="BK592" s="86"/>
      <c r="BL592" s="86"/>
      <c r="BM592" s="86"/>
      <c r="BN592" s="86"/>
      <c r="BO592" s="86"/>
      <c r="BP592" s="86"/>
      <c r="BQ592" s="86"/>
      <c r="BR592" s="86"/>
      <c r="BS592" s="86"/>
      <c r="BT592" s="86"/>
      <c r="BU592" s="86"/>
      <c r="BV592" s="86"/>
    </row>
    <row r="593" spans="1:74" s="87" customFormat="1" ht="28.5" x14ac:dyDescent="0.2">
      <c r="A593" s="76" t="s">
        <v>877</v>
      </c>
      <c r="B593" s="77" t="s">
        <v>293</v>
      </c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140">
        <f t="shared" si="298"/>
        <v>0</v>
      </c>
      <c r="P593" s="86">
        <v>0</v>
      </c>
      <c r="Q593" s="108">
        <f t="shared" si="268"/>
        <v>0</v>
      </c>
      <c r="R593" s="86"/>
      <c r="S593" s="86"/>
      <c r="T593" s="86"/>
      <c r="U593" s="86"/>
      <c r="V593" s="86"/>
      <c r="W593" s="86"/>
      <c r="X593" s="86"/>
      <c r="Y593" s="86"/>
      <c r="Z593" s="86"/>
      <c r="AA593" s="86"/>
      <c r="AB593" s="86"/>
      <c r="AC593" s="86"/>
      <c r="AD593" s="86"/>
      <c r="AE593" s="86"/>
      <c r="AF593" s="86"/>
      <c r="AG593" s="86"/>
      <c r="AH593" s="86"/>
      <c r="AI593" s="86"/>
      <c r="AJ593" s="86"/>
      <c r="AK593" s="86"/>
      <c r="AL593" s="86"/>
      <c r="AM593" s="86"/>
      <c r="AN593" s="86"/>
      <c r="AO593" s="86"/>
      <c r="AP593" s="86"/>
      <c r="AQ593" s="86"/>
      <c r="AR593" s="86"/>
      <c r="AS593" s="86"/>
      <c r="AT593" s="86"/>
      <c r="AU593" s="86"/>
      <c r="AV593" s="86"/>
      <c r="AW593" s="86"/>
      <c r="AX593" s="86"/>
      <c r="AY593" s="86"/>
      <c r="AZ593" s="86"/>
      <c r="BA593" s="86"/>
      <c r="BB593" s="86"/>
      <c r="BC593" s="86"/>
      <c r="BD593" s="86"/>
      <c r="BE593" s="86"/>
      <c r="BF593" s="86"/>
      <c r="BG593" s="86"/>
      <c r="BH593" s="86"/>
      <c r="BI593" s="86"/>
      <c r="BJ593" s="86"/>
      <c r="BK593" s="86"/>
      <c r="BL593" s="86"/>
      <c r="BM593" s="86"/>
      <c r="BN593" s="86"/>
      <c r="BO593" s="86"/>
      <c r="BP593" s="86"/>
      <c r="BQ593" s="86"/>
      <c r="BR593" s="86"/>
      <c r="BS593" s="86"/>
      <c r="BT593" s="86"/>
      <c r="BU593" s="86"/>
      <c r="BV593" s="86"/>
    </row>
    <row r="594" spans="1:74" s="87" customFormat="1" ht="28.5" x14ac:dyDescent="0.2">
      <c r="A594" s="76" t="s">
        <v>878</v>
      </c>
      <c r="B594" s="77" t="s">
        <v>294</v>
      </c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140">
        <f t="shared" si="298"/>
        <v>0</v>
      </c>
      <c r="P594" s="109">
        <v>0</v>
      </c>
      <c r="Q594" s="108">
        <f t="shared" si="268"/>
        <v>0</v>
      </c>
      <c r="R594" s="86"/>
      <c r="S594" s="86"/>
      <c r="T594" s="86"/>
      <c r="U594" s="86"/>
      <c r="V594" s="86"/>
      <c r="W594" s="86"/>
      <c r="X594" s="86"/>
      <c r="Y594" s="86"/>
      <c r="Z594" s="86"/>
      <c r="AA594" s="86"/>
      <c r="AB594" s="86"/>
      <c r="AC594" s="86"/>
      <c r="AD594" s="86"/>
      <c r="AE594" s="86"/>
      <c r="AF594" s="86"/>
      <c r="AG594" s="86"/>
      <c r="AH594" s="86"/>
      <c r="AI594" s="86"/>
      <c r="AJ594" s="86"/>
      <c r="AK594" s="86"/>
      <c r="AL594" s="86"/>
      <c r="AM594" s="86"/>
      <c r="AN594" s="86"/>
      <c r="AO594" s="86"/>
      <c r="AP594" s="86"/>
      <c r="AQ594" s="86"/>
      <c r="AR594" s="86"/>
      <c r="AS594" s="86"/>
      <c r="AT594" s="86"/>
      <c r="AU594" s="86"/>
      <c r="AV594" s="86"/>
      <c r="AW594" s="86"/>
      <c r="AX594" s="86"/>
      <c r="AY594" s="86"/>
      <c r="AZ594" s="86"/>
      <c r="BA594" s="86"/>
      <c r="BB594" s="86"/>
      <c r="BC594" s="86"/>
      <c r="BD594" s="86"/>
      <c r="BE594" s="86"/>
      <c r="BF594" s="86"/>
      <c r="BG594" s="86"/>
      <c r="BH594" s="86"/>
      <c r="BI594" s="86"/>
      <c r="BJ594" s="86"/>
      <c r="BK594" s="86"/>
      <c r="BL594" s="86"/>
      <c r="BM594" s="86"/>
      <c r="BN594" s="86"/>
      <c r="BO594" s="86"/>
      <c r="BP594" s="86"/>
      <c r="BQ594" s="86"/>
      <c r="BR594" s="86"/>
      <c r="BS594" s="86"/>
      <c r="BT594" s="86"/>
      <c r="BU594" s="86"/>
      <c r="BV594" s="86"/>
    </row>
    <row r="595" spans="1:74" s="87" customFormat="1" ht="14.25" x14ac:dyDescent="0.2">
      <c r="A595" s="76" t="s">
        <v>879</v>
      </c>
      <c r="B595" s="77" t="s">
        <v>295</v>
      </c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140">
        <f t="shared" si="298"/>
        <v>0</v>
      </c>
      <c r="P595" s="109">
        <v>0</v>
      </c>
      <c r="Q595" s="108">
        <f t="shared" si="268"/>
        <v>0</v>
      </c>
      <c r="R595" s="86"/>
      <c r="S595" s="86"/>
      <c r="T595" s="86"/>
      <c r="U595" s="86"/>
      <c r="V595" s="86"/>
      <c r="W595" s="86"/>
      <c r="X595" s="86"/>
      <c r="Y595" s="86"/>
      <c r="Z595" s="86"/>
      <c r="AA595" s="86"/>
      <c r="AB595" s="86"/>
      <c r="AC595" s="86"/>
      <c r="AD595" s="86"/>
      <c r="AE595" s="86"/>
      <c r="AF595" s="86"/>
      <c r="AG595" s="86"/>
      <c r="AH595" s="86"/>
      <c r="AI595" s="86"/>
      <c r="AJ595" s="86"/>
      <c r="AK595" s="86"/>
      <c r="AL595" s="86"/>
      <c r="AM595" s="86"/>
      <c r="AN595" s="86"/>
      <c r="AO595" s="86"/>
      <c r="AP595" s="86"/>
      <c r="AQ595" s="86"/>
      <c r="AR595" s="86"/>
      <c r="AS595" s="86"/>
      <c r="AT595" s="86"/>
      <c r="AU595" s="86"/>
      <c r="AV595" s="86"/>
      <c r="AW595" s="86"/>
      <c r="AX595" s="86"/>
      <c r="AY595" s="86"/>
      <c r="AZ595" s="86"/>
      <c r="BA595" s="86"/>
      <c r="BB595" s="86"/>
      <c r="BC595" s="86"/>
      <c r="BD595" s="86"/>
      <c r="BE595" s="86"/>
      <c r="BF595" s="86"/>
      <c r="BG595" s="86"/>
      <c r="BH595" s="86"/>
      <c r="BI595" s="86"/>
      <c r="BJ595" s="86"/>
      <c r="BK595" s="86"/>
      <c r="BL595" s="86"/>
      <c r="BM595" s="86"/>
      <c r="BN595" s="86"/>
      <c r="BO595" s="86"/>
      <c r="BP595" s="86"/>
      <c r="BQ595" s="86"/>
      <c r="BR595" s="86"/>
      <c r="BS595" s="86"/>
      <c r="BT595" s="86"/>
      <c r="BU595" s="86"/>
      <c r="BV595" s="86"/>
    </row>
    <row r="596" spans="1:74" s="87" customFormat="1" ht="14.25" x14ac:dyDescent="0.2">
      <c r="A596" s="76" t="s">
        <v>880</v>
      </c>
      <c r="B596" s="77" t="s">
        <v>296</v>
      </c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140">
        <f t="shared" si="298"/>
        <v>0</v>
      </c>
      <c r="P596" s="109">
        <v>0</v>
      </c>
      <c r="Q596" s="108">
        <f t="shared" ref="Q596:Q662" si="301">+P596-O596</f>
        <v>0</v>
      </c>
      <c r="R596" s="86"/>
      <c r="S596" s="86"/>
      <c r="T596" s="86"/>
      <c r="U596" s="86"/>
      <c r="V596" s="86"/>
      <c r="W596" s="86"/>
      <c r="X596" s="86"/>
      <c r="Y596" s="86"/>
      <c r="Z596" s="86"/>
      <c r="AA596" s="86"/>
      <c r="AB596" s="86"/>
      <c r="AC596" s="86"/>
      <c r="AD596" s="86"/>
      <c r="AE596" s="86"/>
      <c r="AF596" s="86"/>
      <c r="AG596" s="86"/>
      <c r="AH596" s="86"/>
      <c r="AI596" s="86"/>
      <c r="AJ596" s="86"/>
      <c r="AK596" s="86"/>
      <c r="AL596" s="86"/>
      <c r="AM596" s="86"/>
      <c r="AN596" s="86"/>
      <c r="AO596" s="86"/>
      <c r="AP596" s="86"/>
      <c r="AQ596" s="86"/>
      <c r="AR596" s="86"/>
      <c r="AS596" s="86"/>
      <c r="AT596" s="86"/>
      <c r="AU596" s="86"/>
      <c r="AV596" s="86"/>
      <c r="AW596" s="86"/>
      <c r="AX596" s="86"/>
      <c r="AY596" s="86"/>
      <c r="AZ596" s="86"/>
      <c r="BA596" s="86"/>
      <c r="BB596" s="86"/>
      <c r="BC596" s="86"/>
      <c r="BD596" s="86"/>
      <c r="BE596" s="86"/>
      <c r="BF596" s="86"/>
      <c r="BG596" s="86"/>
      <c r="BH596" s="86"/>
      <c r="BI596" s="86"/>
      <c r="BJ596" s="86"/>
      <c r="BK596" s="86"/>
      <c r="BL596" s="86"/>
      <c r="BM596" s="86"/>
      <c r="BN596" s="86"/>
      <c r="BO596" s="86"/>
      <c r="BP596" s="86"/>
      <c r="BQ596" s="86"/>
      <c r="BR596" s="86"/>
      <c r="BS596" s="86"/>
      <c r="BT596" s="86"/>
      <c r="BU596" s="86"/>
      <c r="BV596" s="86"/>
    </row>
    <row r="597" spans="1:74" s="87" customFormat="1" ht="14.25" x14ac:dyDescent="0.2">
      <c r="A597" s="76" t="s">
        <v>881</v>
      </c>
      <c r="B597" s="77" t="s">
        <v>297</v>
      </c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140">
        <f t="shared" si="298"/>
        <v>0</v>
      </c>
      <c r="P597" s="109">
        <v>0</v>
      </c>
      <c r="Q597" s="108">
        <f t="shared" si="301"/>
        <v>0</v>
      </c>
      <c r="R597" s="86"/>
      <c r="S597" s="86"/>
      <c r="T597" s="86"/>
      <c r="U597" s="86"/>
      <c r="V597" s="86"/>
      <c r="W597" s="86"/>
      <c r="X597" s="86"/>
      <c r="Y597" s="86"/>
      <c r="Z597" s="86"/>
      <c r="AA597" s="86"/>
      <c r="AB597" s="86"/>
      <c r="AC597" s="86"/>
      <c r="AD597" s="86"/>
      <c r="AE597" s="86"/>
      <c r="AF597" s="86"/>
      <c r="AG597" s="86"/>
      <c r="AH597" s="86"/>
      <c r="AI597" s="86"/>
      <c r="AJ597" s="86"/>
      <c r="AK597" s="86"/>
      <c r="AL597" s="86"/>
      <c r="AM597" s="86"/>
      <c r="AN597" s="86"/>
      <c r="AO597" s="86"/>
      <c r="AP597" s="86"/>
      <c r="AQ597" s="86"/>
      <c r="AR597" s="86"/>
      <c r="AS597" s="86"/>
      <c r="AT597" s="86"/>
      <c r="AU597" s="86"/>
      <c r="AV597" s="86"/>
      <c r="AW597" s="86"/>
      <c r="AX597" s="86"/>
      <c r="AY597" s="86"/>
      <c r="AZ597" s="86"/>
      <c r="BA597" s="86"/>
      <c r="BB597" s="86"/>
      <c r="BC597" s="86"/>
      <c r="BD597" s="86"/>
      <c r="BE597" s="86"/>
      <c r="BF597" s="86"/>
      <c r="BG597" s="86"/>
      <c r="BH597" s="86"/>
      <c r="BI597" s="86"/>
      <c r="BJ597" s="86"/>
      <c r="BK597" s="86"/>
      <c r="BL597" s="86"/>
      <c r="BM597" s="86"/>
      <c r="BN597" s="86"/>
      <c r="BO597" s="86"/>
      <c r="BP597" s="86"/>
      <c r="BQ597" s="86"/>
      <c r="BR597" s="86"/>
      <c r="BS597" s="86"/>
      <c r="BT597" s="86"/>
      <c r="BU597" s="86"/>
      <c r="BV597" s="86"/>
    </row>
    <row r="598" spans="1:74" s="87" customFormat="1" ht="14.25" x14ac:dyDescent="0.2">
      <c r="A598" s="76" t="s">
        <v>882</v>
      </c>
      <c r="B598" s="77" t="s">
        <v>298</v>
      </c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140">
        <f t="shared" si="298"/>
        <v>0</v>
      </c>
      <c r="P598" s="109">
        <v>0</v>
      </c>
      <c r="Q598" s="108">
        <f t="shared" si="301"/>
        <v>0</v>
      </c>
      <c r="R598" s="86"/>
      <c r="S598" s="86"/>
      <c r="T598" s="86"/>
      <c r="U598" s="86"/>
      <c r="V598" s="86"/>
      <c r="W598" s="86"/>
      <c r="X598" s="86"/>
      <c r="Y598" s="86"/>
      <c r="Z598" s="86"/>
      <c r="AA598" s="86"/>
      <c r="AB598" s="86"/>
      <c r="AC598" s="86"/>
      <c r="AD598" s="86"/>
      <c r="AE598" s="86"/>
      <c r="AF598" s="86"/>
      <c r="AG598" s="86"/>
      <c r="AH598" s="86"/>
      <c r="AI598" s="86"/>
      <c r="AJ598" s="86"/>
      <c r="AK598" s="86"/>
      <c r="AL598" s="86"/>
      <c r="AM598" s="86"/>
      <c r="AN598" s="86"/>
      <c r="AO598" s="86"/>
      <c r="AP598" s="86"/>
      <c r="AQ598" s="86"/>
      <c r="AR598" s="86"/>
      <c r="AS598" s="86"/>
      <c r="AT598" s="86"/>
      <c r="AU598" s="86"/>
      <c r="AV598" s="86"/>
      <c r="AW598" s="86"/>
      <c r="AX598" s="86"/>
      <c r="AY598" s="86"/>
      <c r="AZ598" s="86"/>
      <c r="BA598" s="86"/>
      <c r="BB598" s="86"/>
      <c r="BC598" s="86"/>
      <c r="BD598" s="86"/>
      <c r="BE598" s="86"/>
      <c r="BF598" s="86"/>
      <c r="BG598" s="86"/>
      <c r="BH598" s="86"/>
      <c r="BI598" s="86"/>
      <c r="BJ598" s="86"/>
      <c r="BK598" s="86"/>
      <c r="BL598" s="86"/>
      <c r="BM598" s="86"/>
      <c r="BN598" s="86"/>
      <c r="BO598" s="86"/>
      <c r="BP598" s="86"/>
      <c r="BQ598" s="86"/>
      <c r="BR598" s="86"/>
      <c r="BS598" s="86"/>
      <c r="BT598" s="86"/>
      <c r="BU598" s="86"/>
      <c r="BV598" s="86"/>
    </row>
    <row r="599" spans="1:74" s="87" customFormat="1" ht="28.5" x14ac:dyDescent="0.2">
      <c r="A599" s="76" t="s">
        <v>883</v>
      </c>
      <c r="B599" s="77" t="s">
        <v>299</v>
      </c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140">
        <f t="shared" si="298"/>
        <v>0</v>
      </c>
      <c r="Q599" s="108">
        <f t="shared" si="301"/>
        <v>0</v>
      </c>
      <c r="R599" s="86"/>
      <c r="S599" s="86"/>
      <c r="T599" s="86"/>
      <c r="U599" s="86"/>
      <c r="V599" s="86"/>
      <c r="W599" s="86"/>
      <c r="X599" s="86"/>
      <c r="Y599" s="86"/>
      <c r="Z599" s="86"/>
      <c r="AA599" s="86"/>
      <c r="AB599" s="86"/>
      <c r="AC599" s="86"/>
      <c r="AD599" s="86"/>
      <c r="AE599" s="86"/>
      <c r="AF599" s="86"/>
      <c r="AG599" s="86"/>
      <c r="AH599" s="86"/>
      <c r="AI599" s="86"/>
      <c r="AJ599" s="86"/>
      <c r="AK599" s="86"/>
      <c r="AL599" s="86"/>
      <c r="AM599" s="86"/>
      <c r="AN599" s="86"/>
      <c r="AO599" s="86"/>
      <c r="AP599" s="86"/>
      <c r="AQ599" s="86"/>
      <c r="AR599" s="86"/>
      <c r="AS599" s="86"/>
      <c r="AT599" s="86"/>
      <c r="AU599" s="86"/>
      <c r="AV599" s="86"/>
      <c r="AW599" s="86"/>
      <c r="AX599" s="86"/>
      <c r="AY599" s="86"/>
      <c r="AZ599" s="86"/>
      <c r="BA599" s="86"/>
      <c r="BB599" s="86"/>
      <c r="BC599" s="86"/>
      <c r="BD599" s="86"/>
      <c r="BE599" s="86"/>
      <c r="BF599" s="86"/>
      <c r="BG599" s="86"/>
      <c r="BH599" s="86"/>
      <c r="BI599" s="86"/>
      <c r="BJ599" s="86"/>
      <c r="BK599" s="86"/>
      <c r="BL599" s="86"/>
      <c r="BM599" s="86"/>
      <c r="BN599" s="86"/>
      <c r="BO599" s="86"/>
      <c r="BP599" s="86"/>
      <c r="BQ599" s="86"/>
      <c r="BR599" s="86"/>
      <c r="BS599" s="86"/>
      <c r="BT599" s="86"/>
      <c r="BU599" s="86"/>
      <c r="BV599" s="86"/>
    </row>
    <row r="600" spans="1:74" s="87" customFormat="1" ht="28.5" x14ac:dyDescent="0.2">
      <c r="A600" s="76" t="s">
        <v>883</v>
      </c>
      <c r="B600" s="77" t="s">
        <v>299</v>
      </c>
      <c r="C600" s="41"/>
      <c r="D600" s="41"/>
      <c r="E600" s="41"/>
      <c r="F600" s="41">
        <v>2281458860.8000002</v>
      </c>
      <c r="G600" s="41"/>
      <c r="H600" s="41"/>
      <c r="I600" s="41"/>
      <c r="J600" s="41"/>
      <c r="K600" s="41"/>
      <c r="L600" s="41"/>
      <c r="M600" s="41"/>
      <c r="N600" s="41"/>
      <c r="O600" s="140">
        <f t="shared" si="298"/>
        <v>2281458860.8000002</v>
      </c>
      <c r="P600" s="109">
        <v>2281458860.8000002</v>
      </c>
      <c r="Q600" s="108">
        <f t="shared" si="301"/>
        <v>0</v>
      </c>
      <c r="R600" s="86"/>
      <c r="S600" s="86"/>
      <c r="T600" s="86"/>
      <c r="U600" s="86"/>
      <c r="V600" s="86"/>
      <c r="W600" s="86"/>
      <c r="X600" s="86"/>
      <c r="Y600" s="86"/>
      <c r="Z600" s="86"/>
      <c r="AA600" s="86"/>
      <c r="AB600" s="86"/>
      <c r="AC600" s="86"/>
      <c r="AD600" s="86"/>
      <c r="AE600" s="86"/>
      <c r="AF600" s="86"/>
      <c r="AG600" s="86"/>
      <c r="AH600" s="86"/>
      <c r="AI600" s="86"/>
      <c r="AJ600" s="86"/>
      <c r="AK600" s="86"/>
      <c r="AL600" s="86"/>
      <c r="AM600" s="86"/>
      <c r="AN600" s="86"/>
      <c r="AO600" s="86"/>
      <c r="AP600" s="86"/>
      <c r="AQ600" s="86"/>
      <c r="AR600" s="86"/>
      <c r="AS600" s="86"/>
      <c r="AT600" s="86"/>
      <c r="AU600" s="86"/>
      <c r="AV600" s="86"/>
      <c r="AW600" s="86"/>
      <c r="AX600" s="86"/>
      <c r="AY600" s="86"/>
      <c r="AZ600" s="86"/>
      <c r="BA600" s="86"/>
      <c r="BB600" s="86"/>
      <c r="BC600" s="86"/>
      <c r="BD600" s="86"/>
      <c r="BE600" s="86"/>
      <c r="BF600" s="86"/>
      <c r="BG600" s="86"/>
      <c r="BH600" s="86"/>
      <c r="BI600" s="86"/>
      <c r="BJ600" s="86"/>
      <c r="BK600" s="86"/>
      <c r="BL600" s="86"/>
      <c r="BM600" s="86"/>
      <c r="BN600" s="86"/>
      <c r="BO600" s="86"/>
      <c r="BP600" s="86"/>
      <c r="BQ600" s="86"/>
      <c r="BR600" s="86"/>
      <c r="BS600" s="86"/>
      <c r="BT600" s="86"/>
      <c r="BU600" s="86"/>
      <c r="BV600" s="86"/>
    </row>
    <row r="601" spans="1:74" s="87" customFormat="1" ht="28.5" x14ac:dyDescent="0.2">
      <c r="A601" s="76" t="s">
        <v>884</v>
      </c>
      <c r="B601" s="77" t="s">
        <v>300</v>
      </c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140">
        <f t="shared" si="298"/>
        <v>0</v>
      </c>
      <c r="P601" s="109">
        <v>0</v>
      </c>
      <c r="Q601" s="108">
        <f t="shared" si="301"/>
        <v>0</v>
      </c>
      <c r="R601" s="86"/>
      <c r="S601" s="86"/>
      <c r="T601" s="86"/>
      <c r="U601" s="86"/>
      <c r="V601" s="86"/>
      <c r="W601" s="86"/>
      <c r="X601" s="86"/>
      <c r="Y601" s="86"/>
      <c r="Z601" s="86"/>
      <c r="AA601" s="86"/>
      <c r="AB601" s="86"/>
      <c r="AC601" s="86"/>
      <c r="AD601" s="86"/>
      <c r="AE601" s="86"/>
      <c r="AF601" s="86"/>
      <c r="AG601" s="86"/>
      <c r="AH601" s="86"/>
      <c r="AI601" s="86"/>
      <c r="AJ601" s="86"/>
      <c r="AK601" s="86"/>
      <c r="AL601" s="86"/>
      <c r="AM601" s="86"/>
      <c r="AN601" s="86"/>
      <c r="AO601" s="86"/>
      <c r="AP601" s="86"/>
      <c r="AQ601" s="86"/>
      <c r="AR601" s="86"/>
      <c r="AS601" s="86"/>
      <c r="AT601" s="86"/>
      <c r="AU601" s="86"/>
      <c r="AV601" s="86"/>
      <c r="AW601" s="86"/>
      <c r="AX601" s="86"/>
      <c r="AY601" s="86"/>
      <c r="AZ601" s="86"/>
      <c r="BA601" s="86"/>
      <c r="BB601" s="86"/>
      <c r="BC601" s="86"/>
      <c r="BD601" s="86"/>
      <c r="BE601" s="86"/>
      <c r="BF601" s="86"/>
      <c r="BG601" s="86"/>
      <c r="BH601" s="86"/>
      <c r="BI601" s="86"/>
      <c r="BJ601" s="86"/>
      <c r="BK601" s="86"/>
      <c r="BL601" s="86"/>
      <c r="BM601" s="86"/>
      <c r="BN601" s="86"/>
      <c r="BO601" s="86"/>
      <c r="BP601" s="86"/>
      <c r="BQ601" s="86"/>
      <c r="BR601" s="86"/>
      <c r="BS601" s="86"/>
      <c r="BT601" s="86"/>
      <c r="BU601" s="86"/>
      <c r="BV601" s="86"/>
    </row>
    <row r="602" spans="1:74" s="110" customFormat="1" ht="28.5" x14ac:dyDescent="0.2">
      <c r="A602" s="76" t="s">
        <v>885</v>
      </c>
      <c r="B602" s="77" t="s">
        <v>301</v>
      </c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140">
        <f t="shared" si="298"/>
        <v>0</v>
      </c>
      <c r="P602" s="86">
        <v>0</v>
      </c>
      <c r="Q602" s="108">
        <f t="shared" si="301"/>
        <v>0</v>
      </c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  <c r="BO602" s="109"/>
      <c r="BP602" s="109"/>
      <c r="BQ602" s="109"/>
      <c r="BR602" s="109"/>
      <c r="BS602" s="109"/>
      <c r="BT602" s="109"/>
      <c r="BU602" s="109"/>
      <c r="BV602" s="109"/>
    </row>
    <row r="603" spans="1:74" s="110" customFormat="1" ht="42.75" x14ac:dyDescent="0.2">
      <c r="A603" s="76" t="s">
        <v>886</v>
      </c>
      <c r="B603" s="77" t="s">
        <v>302</v>
      </c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140">
        <f t="shared" si="298"/>
        <v>0</v>
      </c>
      <c r="P603" s="86">
        <v>0</v>
      </c>
      <c r="Q603" s="108">
        <f t="shared" si="301"/>
        <v>0</v>
      </c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  <c r="BO603" s="109"/>
      <c r="BP603" s="109"/>
      <c r="BQ603" s="109"/>
      <c r="BR603" s="109"/>
      <c r="BS603" s="109"/>
      <c r="BT603" s="109"/>
      <c r="BU603" s="109"/>
      <c r="BV603" s="109"/>
    </row>
    <row r="604" spans="1:74" s="110" customFormat="1" ht="28.5" x14ac:dyDescent="0.2">
      <c r="A604" s="76" t="s">
        <v>887</v>
      </c>
      <c r="B604" s="77" t="s">
        <v>303</v>
      </c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140">
        <f t="shared" si="298"/>
        <v>0</v>
      </c>
      <c r="P604" s="86">
        <v>0</v>
      </c>
      <c r="Q604" s="108">
        <f t="shared" si="301"/>
        <v>0</v>
      </c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  <c r="BO604" s="109"/>
      <c r="BP604" s="109"/>
      <c r="BQ604" s="109"/>
      <c r="BR604" s="109"/>
      <c r="BS604" s="109"/>
      <c r="BT604" s="109"/>
      <c r="BU604" s="109"/>
      <c r="BV604" s="109"/>
    </row>
    <row r="605" spans="1:74" s="110" customFormat="1" ht="28.5" x14ac:dyDescent="0.2">
      <c r="A605" s="76" t="s">
        <v>888</v>
      </c>
      <c r="B605" s="77" t="s">
        <v>304</v>
      </c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140">
        <f t="shared" si="298"/>
        <v>0</v>
      </c>
      <c r="P605" s="86">
        <v>0</v>
      </c>
      <c r="Q605" s="108">
        <f t="shared" si="301"/>
        <v>0</v>
      </c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  <c r="BO605" s="109"/>
      <c r="BP605" s="109"/>
      <c r="BQ605" s="109"/>
      <c r="BR605" s="109"/>
      <c r="BS605" s="109"/>
      <c r="BT605" s="109"/>
      <c r="BU605" s="109"/>
      <c r="BV605" s="109"/>
    </row>
    <row r="606" spans="1:74" s="110" customFormat="1" ht="28.5" x14ac:dyDescent="0.2">
      <c r="A606" s="76" t="s">
        <v>889</v>
      </c>
      <c r="B606" s="77" t="s">
        <v>890</v>
      </c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140">
        <f t="shared" si="298"/>
        <v>0</v>
      </c>
      <c r="P606" s="109">
        <v>0</v>
      </c>
      <c r="Q606" s="108">
        <f t="shared" si="301"/>
        <v>0</v>
      </c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  <c r="BO606" s="109"/>
      <c r="BP606" s="109"/>
      <c r="BQ606" s="109"/>
      <c r="BR606" s="109"/>
      <c r="BS606" s="109"/>
      <c r="BT606" s="109"/>
      <c r="BU606" s="109"/>
      <c r="BV606" s="109"/>
    </row>
    <row r="607" spans="1:74" s="110" customFormat="1" ht="28.5" x14ac:dyDescent="0.2">
      <c r="A607" s="76" t="s">
        <v>891</v>
      </c>
      <c r="B607" s="77" t="s">
        <v>305</v>
      </c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140">
        <f t="shared" si="298"/>
        <v>0</v>
      </c>
      <c r="P607" s="109">
        <v>0</v>
      </c>
      <c r="Q607" s="108">
        <f t="shared" si="301"/>
        <v>0</v>
      </c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  <c r="BO607" s="109"/>
      <c r="BP607" s="109"/>
      <c r="BQ607" s="109"/>
      <c r="BR607" s="109"/>
      <c r="BS607" s="109"/>
      <c r="BT607" s="109"/>
      <c r="BU607" s="109"/>
      <c r="BV607" s="109"/>
    </row>
    <row r="608" spans="1:74" s="110" customFormat="1" ht="28.5" x14ac:dyDescent="0.2">
      <c r="A608" s="76" t="s">
        <v>892</v>
      </c>
      <c r="B608" s="77" t="s">
        <v>306</v>
      </c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140">
        <f t="shared" si="298"/>
        <v>0</v>
      </c>
      <c r="P608" s="86">
        <v>0</v>
      </c>
      <c r="Q608" s="108">
        <f t="shared" si="301"/>
        <v>0</v>
      </c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  <c r="BO608" s="109"/>
      <c r="BP608" s="109"/>
      <c r="BQ608" s="109"/>
      <c r="BR608" s="109"/>
      <c r="BS608" s="109"/>
      <c r="BT608" s="109"/>
      <c r="BU608" s="109"/>
      <c r="BV608" s="109"/>
    </row>
    <row r="609" spans="1:74" s="110" customFormat="1" ht="28.5" x14ac:dyDescent="0.2">
      <c r="A609" s="76" t="s">
        <v>893</v>
      </c>
      <c r="B609" s="77" t="s">
        <v>894</v>
      </c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140">
        <f t="shared" si="298"/>
        <v>0</v>
      </c>
      <c r="P609" s="109">
        <v>0</v>
      </c>
      <c r="Q609" s="108">
        <f t="shared" si="301"/>
        <v>0</v>
      </c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  <c r="BO609" s="109"/>
      <c r="BP609" s="109"/>
      <c r="BQ609" s="109"/>
      <c r="BR609" s="109"/>
      <c r="BS609" s="109"/>
      <c r="BT609" s="109"/>
      <c r="BU609" s="109"/>
      <c r="BV609" s="109"/>
    </row>
    <row r="610" spans="1:74" s="110" customFormat="1" ht="28.5" x14ac:dyDescent="0.2">
      <c r="A610" s="76" t="s">
        <v>895</v>
      </c>
      <c r="B610" s="77" t="s">
        <v>896</v>
      </c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140">
        <f t="shared" si="298"/>
        <v>0</v>
      </c>
      <c r="P610" s="109">
        <v>0</v>
      </c>
      <c r="Q610" s="108">
        <f t="shared" si="301"/>
        <v>0</v>
      </c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  <c r="BO610" s="109"/>
      <c r="BP610" s="109"/>
      <c r="BQ610" s="109"/>
      <c r="BR610" s="109"/>
      <c r="BS610" s="109"/>
      <c r="BT610" s="109"/>
      <c r="BU610" s="109"/>
      <c r="BV610" s="109"/>
    </row>
    <row r="611" spans="1:74" s="110" customFormat="1" ht="14.25" x14ac:dyDescent="0.2">
      <c r="A611" s="76" t="s">
        <v>897</v>
      </c>
      <c r="B611" s="77" t="s">
        <v>898</v>
      </c>
      <c r="C611" s="128"/>
      <c r="D611" s="128"/>
      <c r="E611" s="128"/>
      <c r="F611" s="128"/>
      <c r="G611" s="128"/>
      <c r="H611" s="128"/>
      <c r="I611" s="128"/>
      <c r="J611" s="128"/>
      <c r="K611" s="128"/>
      <c r="L611" s="128"/>
      <c r="M611" s="128"/>
      <c r="N611" s="128"/>
      <c r="O611" s="140">
        <f t="shared" si="298"/>
        <v>0</v>
      </c>
      <c r="P611" s="109">
        <v>0</v>
      </c>
      <c r="Q611" s="108">
        <f t="shared" si="301"/>
        <v>0</v>
      </c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  <c r="BO611" s="109"/>
      <c r="BP611" s="109"/>
      <c r="BQ611" s="109"/>
      <c r="BR611" s="109"/>
      <c r="BS611" s="109"/>
      <c r="BT611" s="109"/>
      <c r="BU611" s="109"/>
      <c r="BV611" s="109"/>
    </row>
    <row r="612" spans="1:74" s="87" customFormat="1" ht="14.25" x14ac:dyDescent="0.2">
      <c r="A612" s="76" t="s">
        <v>899</v>
      </c>
      <c r="B612" s="77" t="s">
        <v>900</v>
      </c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140">
        <f t="shared" si="298"/>
        <v>0</v>
      </c>
      <c r="P612" s="86">
        <v>0</v>
      </c>
      <c r="Q612" s="108">
        <f t="shared" si="301"/>
        <v>0</v>
      </c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  <c r="AC612" s="86"/>
      <c r="AD612" s="86"/>
      <c r="AE612" s="86"/>
      <c r="AF612" s="86"/>
      <c r="AG612" s="86"/>
      <c r="AH612" s="86"/>
      <c r="AI612" s="86"/>
      <c r="AJ612" s="86"/>
      <c r="AK612" s="86"/>
      <c r="AL612" s="86"/>
      <c r="AM612" s="86"/>
      <c r="AN612" s="86"/>
      <c r="AO612" s="86"/>
      <c r="AP612" s="86"/>
      <c r="AQ612" s="86"/>
      <c r="AR612" s="86"/>
      <c r="AS612" s="86"/>
      <c r="AT612" s="86"/>
      <c r="AU612" s="86"/>
      <c r="AV612" s="86"/>
      <c r="AW612" s="86"/>
      <c r="AX612" s="86"/>
      <c r="AY612" s="86"/>
      <c r="AZ612" s="86"/>
      <c r="BA612" s="86"/>
      <c r="BB612" s="86"/>
      <c r="BC612" s="86"/>
      <c r="BD612" s="86"/>
      <c r="BE612" s="86"/>
      <c r="BF612" s="86"/>
      <c r="BG612" s="86"/>
      <c r="BH612" s="86"/>
      <c r="BI612" s="86"/>
      <c r="BJ612" s="86"/>
      <c r="BK612" s="86"/>
      <c r="BL612" s="86"/>
      <c r="BM612" s="86"/>
      <c r="BN612" s="86"/>
      <c r="BO612" s="86"/>
      <c r="BP612" s="86"/>
      <c r="BQ612" s="86"/>
      <c r="BR612" s="86"/>
      <c r="BS612" s="86"/>
      <c r="BT612" s="86"/>
      <c r="BU612" s="86"/>
      <c r="BV612" s="86"/>
    </row>
    <row r="613" spans="1:74" s="87" customFormat="1" ht="30" x14ac:dyDescent="0.2">
      <c r="A613" s="193" t="s">
        <v>901</v>
      </c>
      <c r="B613" s="194" t="s">
        <v>325</v>
      </c>
      <c r="C613" s="127"/>
      <c r="D613" s="127"/>
      <c r="E613" s="127"/>
      <c r="F613" s="127"/>
      <c r="G613" s="127"/>
      <c r="H613" s="127"/>
      <c r="I613" s="127"/>
      <c r="J613" s="127"/>
      <c r="K613" s="127"/>
      <c r="L613" s="127"/>
      <c r="M613" s="127"/>
      <c r="N613" s="127"/>
      <c r="O613" s="140">
        <f t="shared" si="298"/>
        <v>0</v>
      </c>
      <c r="P613" s="109">
        <v>0</v>
      </c>
      <c r="Q613" s="108">
        <f t="shared" si="301"/>
        <v>0</v>
      </c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  <c r="AC613" s="86"/>
      <c r="AD613" s="86"/>
      <c r="AE613" s="86"/>
      <c r="AF613" s="86"/>
      <c r="AG613" s="86"/>
      <c r="AH613" s="86"/>
      <c r="AI613" s="86"/>
      <c r="AJ613" s="86"/>
      <c r="AK613" s="86"/>
      <c r="AL613" s="86"/>
      <c r="AM613" s="86"/>
      <c r="AN613" s="86"/>
      <c r="AO613" s="86"/>
      <c r="AP613" s="86"/>
      <c r="AQ613" s="86"/>
      <c r="AR613" s="86"/>
      <c r="AS613" s="86"/>
      <c r="AT613" s="86"/>
      <c r="AU613" s="86"/>
      <c r="AV613" s="86"/>
      <c r="AW613" s="86"/>
      <c r="AX613" s="86"/>
      <c r="AY613" s="86"/>
      <c r="AZ613" s="86"/>
      <c r="BA613" s="86"/>
      <c r="BB613" s="86"/>
      <c r="BC613" s="86"/>
      <c r="BD613" s="86"/>
      <c r="BE613" s="86"/>
      <c r="BF613" s="86"/>
      <c r="BG613" s="86"/>
      <c r="BH613" s="86"/>
      <c r="BI613" s="86"/>
      <c r="BJ613" s="86"/>
      <c r="BK613" s="86"/>
      <c r="BL613" s="86"/>
      <c r="BM613" s="86"/>
      <c r="BN613" s="86"/>
      <c r="BO613" s="86"/>
      <c r="BP613" s="86"/>
      <c r="BQ613" s="86"/>
      <c r="BR613" s="86"/>
      <c r="BS613" s="86"/>
      <c r="BT613" s="86"/>
      <c r="BU613" s="86"/>
      <c r="BV613" s="86"/>
    </row>
    <row r="614" spans="1:74" s="110" customFormat="1" ht="28.5" x14ac:dyDescent="0.2">
      <c r="A614" s="76" t="s">
        <v>902</v>
      </c>
      <c r="B614" s="77" t="s">
        <v>903</v>
      </c>
      <c r="C614" s="128"/>
      <c r="D614" s="128"/>
      <c r="E614" s="128"/>
      <c r="F614" s="128"/>
      <c r="G614" s="128"/>
      <c r="H614" s="128"/>
      <c r="I614" s="128"/>
      <c r="J614" s="128"/>
      <c r="K614" s="128"/>
      <c r="L614" s="128"/>
      <c r="M614" s="128"/>
      <c r="N614" s="128"/>
      <c r="O614" s="140">
        <f t="shared" si="298"/>
        <v>0</v>
      </c>
      <c r="P614" s="109">
        <v>0</v>
      </c>
      <c r="Q614" s="108">
        <f t="shared" si="301"/>
        <v>0</v>
      </c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</row>
    <row r="615" spans="1:74" s="110" customFormat="1" ht="28.5" x14ac:dyDescent="0.2">
      <c r="A615" s="76" t="s">
        <v>904</v>
      </c>
      <c r="B615" s="77" t="s">
        <v>905</v>
      </c>
      <c r="C615" s="128"/>
      <c r="D615" s="128"/>
      <c r="E615" s="128"/>
      <c r="F615" s="128"/>
      <c r="G615" s="128"/>
      <c r="H615" s="128"/>
      <c r="I615" s="128"/>
      <c r="J615" s="128"/>
      <c r="K615" s="128"/>
      <c r="L615" s="128"/>
      <c r="M615" s="128"/>
      <c r="N615" s="128"/>
      <c r="O615" s="140">
        <f t="shared" si="298"/>
        <v>0</v>
      </c>
      <c r="P615" s="86">
        <v>0</v>
      </c>
      <c r="Q615" s="108">
        <f t="shared" si="301"/>
        <v>0</v>
      </c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  <c r="BO615" s="109"/>
      <c r="BP615" s="109"/>
      <c r="BQ615" s="109"/>
      <c r="BR615" s="109"/>
      <c r="BS615" s="109"/>
      <c r="BT615" s="109"/>
      <c r="BU615" s="109"/>
      <c r="BV615" s="109"/>
    </row>
    <row r="616" spans="1:74" s="110" customFormat="1" ht="28.5" x14ac:dyDescent="0.2">
      <c r="A616" s="76" t="s">
        <v>906</v>
      </c>
      <c r="B616" s="77" t="s">
        <v>307</v>
      </c>
      <c r="C616" s="128"/>
      <c r="D616" s="128"/>
      <c r="E616" s="128"/>
      <c r="F616" s="128"/>
      <c r="G616" s="128"/>
      <c r="H616" s="128"/>
      <c r="I616" s="128"/>
      <c r="J616" s="128"/>
      <c r="K616" s="128"/>
      <c r="L616" s="128"/>
      <c r="M616" s="128"/>
      <c r="N616" s="128"/>
      <c r="O616" s="140">
        <f t="shared" si="298"/>
        <v>0</v>
      </c>
      <c r="P616" s="86">
        <v>0</v>
      </c>
      <c r="Q616" s="108">
        <f t="shared" si="301"/>
        <v>0</v>
      </c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  <c r="BO616" s="109"/>
      <c r="BP616" s="109"/>
      <c r="BQ616" s="109"/>
      <c r="BR616" s="109"/>
      <c r="BS616" s="109"/>
      <c r="BT616" s="109"/>
      <c r="BU616" s="109"/>
      <c r="BV616" s="109"/>
    </row>
    <row r="617" spans="1:74" s="110" customFormat="1" ht="28.5" x14ac:dyDescent="0.2">
      <c r="A617" s="76" t="s">
        <v>907</v>
      </c>
      <c r="B617" s="77" t="s">
        <v>908</v>
      </c>
      <c r="C617" s="128"/>
      <c r="D617" s="128"/>
      <c r="E617" s="128"/>
      <c r="F617" s="128"/>
      <c r="G617" s="128"/>
      <c r="H617" s="128"/>
      <c r="I617" s="128"/>
      <c r="J617" s="128"/>
      <c r="K617" s="128"/>
      <c r="L617" s="128"/>
      <c r="M617" s="128"/>
      <c r="N617" s="128"/>
      <c r="O617" s="140">
        <f t="shared" si="298"/>
        <v>0</v>
      </c>
      <c r="P617" s="109">
        <v>0</v>
      </c>
      <c r="Q617" s="108">
        <f t="shared" si="301"/>
        <v>0</v>
      </c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  <c r="BO617" s="109"/>
      <c r="BP617" s="109"/>
      <c r="BQ617" s="109"/>
      <c r="BR617" s="109"/>
      <c r="BS617" s="109"/>
      <c r="BT617" s="109"/>
      <c r="BU617" s="109"/>
      <c r="BV617" s="109"/>
    </row>
    <row r="618" spans="1:74" s="87" customFormat="1" ht="28.5" x14ac:dyDescent="0.2">
      <c r="A618" s="76" t="s">
        <v>909</v>
      </c>
      <c r="B618" s="77" t="s">
        <v>910</v>
      </c>
      <c r="C618" s="128"/>
      <c r="D618" s="128"/>
      <c r="E618" s="128"/>
      <c r="F618" s="128"/>
      <c r="G618" s="128"/>
      <c r="H618" s="128"/>
      <c r="I618" s="128"/>
      <c r="J618" s="128"/>
      <c r="K618" s="128"/>
      <c r="L618" s="128"/>
      <c r="M618" s="128"/>
      <c r="N618" s="128"/>
      <c r="O618" s="140">
        <f t="shared" si="298"/>
        <v>0</v>
      </c>
      <c r="P618" s="109">
        <v>0</v>
      </c>
      <c r="Q618" s="108">
        <f t="shared" si="301"/>
        <v>0</v>
      </c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  <c r="AC618" s="86"/>
      <c r="AD618" s="86"/>
      <c r="AE618" s="86"/>
      <c r="AF618" s="86"/>
      <c r="AG618" s="86"/>
      <c r="AH618" s="86"/>
      <c r="AI618" s="86"/>
      <c r="AJ618" s="86"/>
      <c r="AK618" s="86"/>
      <c r="AL618" s="86"/>
      <c r="AM618" s="86"/>
      <c r="AN618" s="86"/>
      <c r="AO618" s="86"/>
      <c r="AP618" s="86"/>
      <c r="AQ618" s="86"/>
      <c r="AR618" s="86"/>
      <c r="AS618" s="86"/>
      <c r="AT618" s="86"/>
      <c r="AU618" s="86"/>
      <c r="AV618" s="86"/>
      <c r="AW618" s="86"/>
      <c r="AX618" s="86"/>
      <c r="AY618" s="86"/>
      <c r="AZ618" s="86"/>
      <c r="BA618" s="86"/>
      <c r="BB618" s="86"/>
      <c r="BC618" s="86"/>
      <c r="BD618" s="86"/>
      <c r="BE618" s="86"/>
      <c r="BF618" s="86"/>
      <c r="BG618" s="86"/>
      <c r="BH618" s="86"/>
      <c r="BI618" s="86"/>
      <c r="BJ618" s="86"/>
      <c r="BK618" s="86"/>
      <c r="BL618" s="86"/>
      <c r="BM618" s="86"/>
      <c r="BN618" s="86"/>
      <c r="BO618" s="86"/>
      <c r="BP618" s="86"/>
      <c r="BQ618" s="86"/>
      <c r="BR618" s="86"/>
      <c r="BS618" s="86"/>
      <c r="BT618" s="86"/>
      <c r="BU618" s="86"/>
      <c r="BV618" s="86"/>
    </row>
    <row r="619" spans="1:74" s="87" customFormat="1" ht="28.5" x14ac:dyDescent="0.2">
      <c r="A619" s="76" t="s">
        <v>911</v>
      </c>
      <c r="B619" s="77" t="s">
        <v>912</v>
      </c>
      <c r="C619" s="128"/>
      <c r="D619" s="128"/>
      <c r="E619" s="128"/>
      <c r="F619" s="128"/>
      <c r="G619" s="128"/>
      <c r="H619" s="128"/>
      <c r="I619" s="128"/>
      <c r="J619" s="128"/>
      <c r="K619" s="128"/>
      <c r="L619" s="128"/>
      <c r="M619" s="128"/>
      <c r="N619" s="128"/>
      <c r="O619" s="140">
        <f t="shared" si="298"/>
        <v>0</v>
      </c>
      <c r="P619" s="109">
        <v>0</v>
      </c>
      <c r="Q619" s="108">
        <f t="shared" si="301"/>
        <v>0</v>
      </c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  <c r="AC619" s="86"/>
      <c r="AD619" s="86"/>
      <c r="AE619" s="86"/>
      <c r="AF619" s="86"/>
      <c r="AG619" s="86"/>
      <c r="AH619" s="86"/>
      <c r="AI619" s="86"/>
      <c r="AJ619" s="86"/>
      <c r="AK619" s="86"/>
      <c r="AL619" s="86"/>
      <c r="AM619" s="86"/>
      <c r="AN619" s="86"/>
      <c r="AO619" s="86"/>
      <c r="AP619" s="86"/>
      <c r="AQ619" s="86"/>
      <c r="AR619" s="86"/>
      <c r="AS619" s="86"/>
      <c r="AT619" s="86"/>
      <c r="AU619" s="86"/>
      <c r="AV619" s="86"/>
      <c r="AW619" s="86"/>
      <c r="AX619" s="86"/>
      <c r="AY619" s="86"/>
      <c r="AZ619" s="86"/>
      <c r="BA619" s="86"/>
      <c r="BB619" s="86"/>
      <c r="BC619" s="86"/>
      <c r="BD619" s="86"/>
      <c r="BE619" s="86"/>
      <c r="BF619" s="86"/>
      <c r="BG619" s="86"/>
      <c r="BH619" s="86"/>
      <c r="BI619" s="86"/>
      <c r="BJ619" s="86"/>
      <c r="BK619" s="86"/>
      <c r="BL619" s="86"/>
      <c r="BM619" s="86"/>
      <c r="BN619" s="86"/>
      <c r="BO619" s="86"/>
      <c r="BP619" s="86"/>
      <c r="BQ619" s="86"/>
      <c r="BR619" s="86"/>
      <c r="BS619" s="86"/>
      <c r="BT619" s="86"/>
      <c r="BU619" s="86"/>
      <c r="BV619" s="86"/>
    </row>
    <row r="620" spans="1:74" s="87" customFormat="1" ht="28.5" x14ac:dyDescent="0.2">
      <c r="A620" s="76" t="s">
        <v>911</v>
      </c>
      <c r="B620" s="77" t="s">
        <v>912</v>
      </c>
      <c r="C620" s="128"/>
      <c r="D620" s="128"/>
      <c r="E620" s="128"/>
      <c r="F620" s="128">
        <v>409565306.75</v>
      </c>
      <c r="G620" s="128"/>
      <c r="H620" s="128"/>
      <c r="I620" s="128"/>
      <c r="J620" s="128"/>
      <c r="K620" s="128"/>
      <c r="L620" s="128"/>
      <c r="M620" s="128"/>
      <c r="N620" s="128"/>
      <c r="O620" s="140">
        <f t="shared" si="298"/>
        <v>409565306.75</v>
      </c>
      <c r="P620" s="109">
        <v>409565306.75</v>
      </c>
      <c r="Q620" s="108">
        <f t="shared" si="301"/>
        <v>0</v>
      </c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  <c r="AC620" s="86"/>
      <c r="AD620" s="86"/>
      <c r="AE620" s="86"/>
      <c r="AF620" s="86"/>
      <c r="AG620" s="86"/>
      <c r="AH620" s="86"/>
      <c r="AI620" s="86"/>
      <c r="AJ620" s="86"/>
      <c r="AK620" s="86"/>
      <c r="AL620" s="86"/>
      <c r="AM620" s="86"/>
      <c r="AN620" s="86"/>
      <c r="AO620" s="86"/>
      <c r="AP620" s="86"/>
      <c r="AQ620" s="86"/>
      <c r="AR620" s="86"/>
      <c r="AS620" s="86"/>
      <c r="AT620" s="86"/>
      <c r="AU620" s="86"/>
      <c r="AV620" s="86"/>
      <c r="AW620" s="86"/>
      <c r="AX620" s="86"/>
      <c r="AY620" s="86"/>
      <c r="AZ620" s="86"/>
      <c r="BA620" s="86"/>
      <c r="BB620" s="86"/>
      <c r="BC620" s="86"/>
      <c r="BD620" s="86"/>
      <c r="BE620" s="86"/>
      <c r="BF620" s="86"/>
      <c r="BG620" s="86"/>
      <c r="BH620" s="86"/>
      <c r="BI620" s="86"/>
      <c r="BJ620" s="86"/>
      <c r="BK620" s="86"/>
      <c r="BL620" s="86"/>
      <c r="BM620" s="86"/>
      <c r="BN620" s="86"/>
      <c r="BO620" s="86"/>
      <c r="BP620" s="86"/>
      <c r="BQ620" s="86"/>
      <c r="BR620" s="86"/>
      <c r="BS620" s="86"/>
      <c r="BT620" s="86"/>
      <c r="BU620" s="86"/>
      <c r="BV620" s="86"/>
    </row>
    <row r="621" spans="1:74" s="87" customFormat="1" ht="28.5" x14ac:dyDescent="0.2">
      <c r="A621" s="76" t="s">
        <v>913</v>
      </c>
      <c r="B621" s="77" t="s">
        <v>914</v>
      </c>
      <c r="C621" s="128"/>
      <c r="D621" s="128"/>
      <c r="E621" s="128"/>
      <c r="F621" s="128"/>
      <c r="G621" s="128"/>
      <c r="H621" s="128"/>
      <c r="I621" s="128"/>
      <c r="J621" s="128"/>
      <c r="K621" s="128"/>
      <c r="L621" s="128"/>
      <c r="M621" s="128"/>
      <c r="N621" s="128"/>
      <c r="O621" s="140">
        <f t="shared" ref="O621:O631" si="302">SUM(C621:N621)</f>
        <v>0</v>
      </c>
      <c r="P621" s="111">
        <v>0</v>
      </c>
      <c r="Q621" s="108">
        <f t="shared" si="301"/>
        <v>0</v>
      </c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  <c r="AC621" s="86"/>
      <c r="AD621" s="86"/>
      <c r="AE621" s="86"/>
      <c r="AF621" s="86"/>
      <c r="AG621" s="86"/>
      <c r="AH621" s="86"/>
      <c r="AI621" s="86"/>
      <c r="AJ621" s="86"/>
      <c r="AK621" s="86"/>
      <c r="AL621" s="86"/>
      <c r="AM621" s="86"/>
      <c r="AN621" s="86"/>
      <c r="AO621" s="86"/>
      <c r="AP621" s="86"/>
      <c r="AQ621" s="86"/>
      <c r="AR621" s="86"/>
      <c r="AS621" s="86"/>
      <c r="AT621" s="86"/>
      <c r="AU621" s="86"/>
      <c r="AV621" s="86"/>
      <c r="AW621" s="86"/>
      <c r="AX621" s="86"/>
      <c r="AY621" s="86"/>
      <c r="AZ621" s="86"/>
      <c r="BA621" s="86"/>
      <c r="BB621" s="86"/>
      <c r="BC621" s="86"/>
      <c r="BD621" s="86"/>
      <c r="BE621" s="86"/>
      <c r="BF621" s="86"/>
      <c r="BG621" s="86"/>
      <c r="BH621" s="86"/>
      <c r="BI621" s="86"/>
      <c r="BJ621" s="86"/>
      <c r="BK621" s="86"/>
      <c r="BL621" s="86"/>
      <c r="BM621" s="86"/>
      <c r="BN621" s="86"/>
      <c r="BO621" s="86"/>
      <c r="BP621" s="86"/>
      <c r="BQ621" s="86"/>
      <c r="BR621" s="86"/>
      <c r="BS621" s="86"/>
      <c r="BT621" s="86"/>
      <c r="BU621" s="86"/>
      <c r="BV621" s="86"/>
    </row>
    <row r="622" spans="1:74" s="87" customFormat="1" ht="28.5" x14ac:dyDescent="0.2">
      <c r="A622" s="76" t="s">
        <v>915</v>
      </c>
      <c r="B622" s="77" t="s">
        <v>916</v>
      </c>
      <c r="C622" s="128"/>
      <c r="D622" s="128"/>
      <c r="E622" s="128"/>
      <c r="F622" s="128"/>
      <c r="G622" s="128"/>
      <c r="H622" s="128"/>
      <c r="I622" s="128"/>
      <c r="J622" s="128"/>
      <c r="K622" s="128"/>
      <c r="L622" s="128"/>
      <c r="M622" s="128"/>
      <c r="N622" s="128"/>
      <c r="O622" s="140">
        <f t="shared" si="302"/>
        <v>0</v>
      </c>
      <c r="P622" s="111">
        <v>0</v>
      </c>
      <c r="Q622" s="108">
        <f t="shared" si="301"/>
        <v>0</v>
      </c>
      <c r="R622" s="86"/>
      <c r="S622" s="86"/>
      <c r="T622" s="86"/>
      <c r="U622" s="86"/>
      <c r="V622" s="86"/>
      <c r="W622" s="86"/>
      <c r="X622" s="86"/>
      <c r="Y622" s="86"/>
      <c r="Z622" s="86"/>
      <c r="AA622" s="86"/>
      <c r="AB622" s="86"/>
      <c r="AC622" s="86"/>
      <c r="AD622" s="86"/>
      <c r="AE622" s="86"/>
      <c r="AF622" s="86"/>
      <c r="AG622" s="86"/>
      <c r="AH622" s="86"/>
      <c r="AI622" s="86"/>
      <c r="AJ622" s="86"/>
      <c r="AK622" s="86"/>
      <c r="AL622" s="86"/>
      <c r="AM622" s="86"/>
      <c r="AN622" s="86"/>
      <c r="AO622" s="86"/>
      <c r="AP622" s="86"/>
      <c r="AQ622" s="86"/>
      <c r="AR622" s="86"/>
      <c r="AS622" s="86"/>
      <c r="AT622" s="86"/>
      <c r="AU622" s="86"/>
      <c r="AV622" s="86"/>
      <c r="AW622" s="86"/>
      <c r="AX622" s="86"/>
      <c r="AY622" s="86"/>
      <c r="AZ622" s="86"/>
      <c r="BA622" s="86"/>
      <c r="BB622" s="86"/>
      <c r="BC622" s="86"/>
      <c r="BD622" s="86"/>
      <c r="BE622" s="86"/>
      <c r="BF622" s="86"/>
      <c r="BG622" s="86"/>
      <c r="BH622" s="86"/>
      <c r="BI622" s="86"/>
      <c r="BJ622" s="86"/>
      <c r="BK622" s="86"/>
      <c r="BL622" s="86"/>
      <c r="BM622" s="86"/>
      <c r="BN622" s="86"/>
      <c r="BO622" s="86"/>
      <c r="BP622" s="86"/>
      <c r="BQ622" s="86"/>
      <c r="BR622" s="86"/>
      <c r="BS622" s="86"/>
      <c r="BT622" s="86"/>
      <c r="BU622" s="86"/>
      <c r="BV622" s="86"/>
    </row>
    <row r="623" spans="1:74" s="87" customFormat="1" ht="42.75" x14ac:dyDescent="0.2">
      <c r="A623" s="76" t="s">
        <v>917</v>
      </c>
      <c r="B623" s="77" t="s">
        <v>308</v>
      </c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140">
        <f t="shared" si="302"/>
        <v>0</v>
      </c>
      <c r="P623" s="111">
        <v>0</v>
      </c>
      <c r="Q623" s="108">
        <f t="shared" si="301"/>
        <v>0</v>
      </c>
      <c r="R623" s="86"/>
      <c r="S623" s="86"/>
      <c r="T623" s="86"/>
      <c r="U623" s="86"/>
      <c r="V623" s="86"/>
      <c r="W623" s="86"/>
      <c r="X623" s="86"/>
      <c r="Y623" s="86"/>
      <c r="Z623" s="86"/>
      <c r="AA623" s="86"/>
      <c r="AB623" s="86"/>
      <c r="AC623" s="86"/>
      <c r="AD623" s="86"/>
      <c r="AE623" s="86"/>
      <c r="AF623" s="86"/>
      <c r="AG623" s="86"/>
      <c r="AH623" s="86"/>
      <c r="AI623" s="86"/>
      <c r="AJ623" s="86"/>
      <c r="AK623" s="86"/>
      <c r="AL623" s="86"/>
      <c r="AM623" s="86"/>
      <c r="AN623" s="86"/>
      <c r="AO623" s="86"/>
      <c r="AP623" s="86"/>
      <c r="AQ623" s="86"/>
      <c r="AR623" s="86"/>
      <c r="AS623" s="86"/>
      <c r="AT623" s="86"/>
      <c r="AU623" s="86"/>
      <c r="AV623" s="86"/>
      <c r="AW623" s="86"/>
      <c r="AX623" s="86"/>
      <c r="AY623" s="86"/>
      <c r="AZ623" s="86"/>
      <c r="BA623" s="86"/>
      <c r="BB623" s="86"/>
      <c r="BC623" s="86"/>
      <c r="BD623" s="86"/>
      <c r="BE623" s="86"/>
      <c r="BF623" s="86"/>
      <c r="BG623" s="86"/>
      <c r="BH623" s="86"/>
      <c r="BI623" s="86"/>
      <c r="BJ623" s="86"/>
      <c r="BK623" s="86"/>
      <c r="BL623" s="86"/>
      <c r="BM623" s="86"/>
      <c r="BN623" s="86"/>
      <c r="BO623" s="86"/>
      <c r="BP623" s="86"/>
      <c r="BQ623" s="86"/>
      <c r="BR623" s="86"/>
      <c r="BS623" s="86"/>
      <c r="BT623" s="86"/>
      <c r="BU623" s="86"/>
      <c r="BV623" s="86"/>
    </row>
    <row r="624" spans="1:74" s="110" customFormat="1" ht="42.75" x14ac:dyDescent="0.2">
      <c r="A624" s="76" t="s">
        <v>918</v>
      </c>
      <c r="B624" s="77" t="s">
        <v>309</v>
      </c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140">
        <f t="shared" si="302"/>
        <v>0</v>
      </c>
      <c r="P624" s="111">
        <v>0</v>
      </c>
      <c r="Q624" s="108">
        <f t="shared" si="301"/>
        <v>0</v>
      </c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  <c r="BO624" s="109"/>
      <c r="BP624" s="109"/>
      <c r="BQ624" s="109"/>
      <c r="BR624" s="109"/>
      <c r="BS624" s="109"/>
      <c r="BT624" s="109"/>
      <c r="BU624" s="109"/>
      <c r="BV624" s="109"/>
    </row>
    <row r="625" spans="1:74" s="110" customFormat="1" ht="42.75" x14ac:dyDescent="0.2">
      <c r="A625" s="76" t="s">
        <v>919</v>
      </c>
      <c r="B625" s="77" t="s">
        <v>310</v>
      </c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140">
        <f t="shared" si="302"/>
        <v>0</v>
      </c>
      <c r="P625" s="109">
        <v>0</v>
      </c>
      <c r="Q625" s="108">
        <f t="shared" si="301"/>
        <v>0</v>
      </c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  <c r="BO625" s="109"/>
      <c r="BP625" s="109"/>
      <c r="BQ625" s="109"/>
      <c r="BR625" s="109"/>
      <c r="BS625" s="109"/>
      <c r="BT625" s="109"/>
      <c r="BU625" s="109"/>
      <c r="BV625" s="109"/>
    </row>
    <row r="626" spans="1:74" s="110" customFormat="1" ht="28.5" x14ac:dyDescent="0.2">
      <c r="A626" s="76" t="s">
        <v>920</v>
      </c>
      <c r="B626" s="77" t="s">
        <v>311</v>
      </c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140">
        <f t="shared" si="302"/>
        <v>0</v>
      </c>
      <c r="P626" s="109">
        <v>0</v>
      </c>
      <c r="Q626" s="108">
        <f t="shared" si="301"/>
        <v>0</v>
      </c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  <c r="BO626" s="109"/>
      <c r="BP626" s="109"/>
      <c r="BQ626" s="109"/>
      <c r="BR626" s="109"/>
      <c r="BS626" s="109"/>
      <c r="BT626" s="109"/>
      <c r="BU626" s="109"/>
      <c r="BV626" s="109"/>
    </row>
    <row r="627" spans="1:74" s="110" customFormat="1" ht="42.75" x14ac:dyDescent="0.2">
      <c r="A627" s="76" t="s">
        <v>921</v>
      </c>
      <c r="B627" s="77" t="s">
        <v>312</v>
      </c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140">
        <f t="shared" si="302"/>
        <v>0</v>
      </c>
      <c r="P627" s="109">
        <v>0</v>
      </c>
      <c r="Q627" s="108">
        <f t="shared" si="301"/>
        <v>0</v>
      </c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  <c r="BU627" s="109"/>
      <c r="BV627" s="109"/>
    </row>
    <row r="628" spans="1:74" s="110" customFormat="1" ht="42.75" x14ac:dyDescent="0.2">
      <c r="A628" s="76" t="s">
        <v>922</v>
      </c>
      <c r="B628" s="77" t="s">
        <v>313</v>
      </c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140">
        <f t="shared" si="302"/>
        <v>0</v>
      </c>
      <c r="P628" s="109">
        <v>0</v>
      </c>
      <c r="Q628" s="108">
        <f t="shared" si="301"/>
        <v>0</v>
      </c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  <c r="BO628" s="109"/>
      <c r="BP628" s="109"/>
      <c r="BQ628" s="109"/>
      <c r="BR628" s="109"/>
      <c r="BS628" s="109"/>
      <c r="BT628" s="109"/>
      <c r="BU628" s="109"/>
      <c r="BV628" s="109"/>
    </row>
    <row r="629" spans="1:74" s="110" customFormat="1" ht="57" x14ac:dyDescent="0.2">
      <c r="A629" s="76" t="s">
        <v>923</v>
      </c>
      <c r="B629" s="77" t="s">
        <v>314</v>
      </c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140">
        <f t="shared" si="302"/>
        <v>0</v>
      </c>
      <c r="P629" s="111">
        <v>0</v>
      </c>
      <c r="Q629" s="108">
        <f t="shared" si="301"/>
        <v>0</v>
      </c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  <c r="BU629" s="109"/>
      <c r="BV629" s="109"/>
    </row>
    <row r="630" spans="1:74" s="110" customFormat="1" ht="57" x14ac:dyDescent="0.2">
      <c r="A630" s="76" t="s">
        <v>924</v>
      </c>
      <c r="B630" s="77" t="s">
        <v>315</v>
      </c>
      <c r="C630" s="128"/>
      <c r="D630" s="128"/>
      <c r="E630" s="128"/>
      <c r="F630" s="128"/>
      <c r="G630" s="128"/>
      <c r="H630" s="128"/>
      <c r="I630" s="128"/>
      <c r="J630" s="128"/>
      <c r="K630" s="128"/>
      <c r="L630" s="128"/>
      <c r="M630" s="128"/>
      <c r="N630" s="128"/>
      <c r="O630" s="140">
        <f t="shared" si="302"/>
        <v>0</v>
      </c>
      <c r="P630" s="109">
        <v>0</v>
      </c>
      <c r="Q630" s="108">
        <f t="shared" si="301"/>
        <v>0</v>
      </c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  <c r="BO630" s="109"/>
      <c r="BP630" s="109"/>
      <c r="BQ630" s="109"/>
      <c r="BR630" s="109"/>
      <c r="BS630" s="109"/>
      <c r="BT630" s="109"/>
      <c r="BU630" s="109"/>
      <c r="BV630" s="109"/>
    </row>
    <row r="631" spans="1:74" s="87" customFormat="1" ht="71.25" x14ac:dyDescent="0.2">
      <c r="A631" s="76" t="s">
        <v>925</v>
      </c>
      <c r="B631" s="77" t="s">
        <v>316</v>
      </c>
      <c r="C631" s="128"/>
      <c r="D631" s="128"/>
      <c r="E631" s="128"/>
      <c r="F631" s="128"/>
      <c r="G631" s="128"/>
      <c r="H631" s="128"/>
      <c r="I631" s="128"/>
      <c r="J631" s="128"/>
      <c r="K631" s="128"/>
      <c r="L631" s="128"/>
      <c r="M631" s="128"/>
      <c r="N631" s="128"/>
      <c r="O631" s="140">
        <f t="shared" si="302"/>
        <v>0</v>
      </c>
      <c r="P631" s="109">
        <v>0</v>
      </c>
      <c r="Q631" s="108">
        <f t="shared" si="301"/>
        <v>0</v>
      </c>
      <c r="R631" s="86"/>
      <c r="S631" s="86"/>
      <c r="T631" s="86"/>
      <c r="U631" s="86"/>
      <c r="V631" s="86"/>
      <c r="W631" s="86"/>
      <c r="X631" s="86"/>
      <c r="Y631" s="86"/>
      <c r="Z631" s="86"/>
      <c r="AA631" s="86"/>
      <c r="AB631" s="86"/>
      <c r="AC631" s="86"/>
      <c r="AD631" s="86"/>
      <c r="AE631" s="86"/>
      <c r="AF631" s="86"/>
      <c r="AG631" s="86"/>
      <c r="AH631" s="86"/>
      <c r="AI631" s="86"/>
      <c r="AJ631" s="86"/>
      <c r="AK631" s="86"/>
      <c r="AL631" s="86"/>
      <c r="AM631" s="86"/>
      <c r="AN631" s="86"/>
      <c r="AO631" s="86"/>
      <c r="AP631" s="86"/>
      <c r="AQ631" s="86"/>
      <c r="AR631" s="86"/>
      <c r="AS631" s="86"/>
      <c r="AT631" s="86"/>
      <c r="AU631" s="86"/>
      <c r="AV631" s="86"/>
      <c r="AW631" s="86"/>
      <c r="AX631" s="86"/>
      <c r="AY631" s="86"/>
      <c r="AZ631" s="86"/>
      <c r="BA631" s="86"/>
      <c r="BB631" s="86"/>
      <c r="BC631" s="86"/>
      <c r="BD631" s="86"/>
      <c r="BE631" s="86"/>
      <c r="BF631" s="86"/>
      <c r="BG631" s="86"/>
      <c r="BH631" s="86"/>
      <c r="BI631" s="86"/>
      <c r="BJ631" s="86"/>
      <c r="BK631" s="86"/>
      <c r="BL631" s="86"/>
      <c r="BM631" s="86"/>
      <c r="BN631" s="86"/>
      <c r="BO631" s="86"/>
      <c r="BP631" s="86"/>
      <c r="BQ631" s="86"/>
      <c r="BR631" s="86"/>
      <c r="BS631" s="86"/>
      <c r="BT631" s="86"/>
      <c r="BU631" s="86"/>
      <c r="BV631" s="86"/>
    </row>
    <row r="632" spans="1:74" s="87" customFormat="1" ht="57" x14ac:dyDescent="0.2">
      <c r="A632" s="76" t="s">
        <v>926</v>
      </c>
      <c r="B632" s="77" t="s">
        <v>317</v>
      </c>
      <c r="C632" s="128"/>
      <c r="D632" s="128"/>
      <c r="E632" s="128"/>
      <c r="F632" s="128"/>
      <c r="G632" s="128"/>
      <c r="H632" s="128"/>
      <c r="I632" s="128"/>
      <c r="J632" s="128"/>
      <c r="K632" s="128"/>
      <c r="L632" s="128"/>
      <c r="M632" s="128"/>
      <c r="N632" s="128"/>
      <c r="O632" s="140">
        <f t="shared" ref="O632:O646" si="303">SUM(C632:N632)</f>
        <v>0</v>
      </c>
      <c r="P632" s="109">
        <v>0</v>
      </c>
      <c r="Q632" s="108">
        <f t="shared" si="301"/>
        <v>0</v>
      </c>
      <c r="R632" s="86"/>
      <c r="S632" s="86"/>
      <c r="T632" s="86"/>
      <c r="U632" s="86"/>
      <c r="V632" s="86"/>
      <c r="W632" s="86"/>
      <c r="X632" s="86"/>
      <c r="Y632" s="86"/>
      <c r="Z632" s="86"/>
      <c r="AA632" s="86"/>
      <c r="AB632" s="86"/>
      <c r="AC632" s="86"/>
      <c r="AD632" s="86"/>
      <c r="AE632" s="86"/>
      <c r="AF632" s="86"/>
      <c r="AG632" s="86"/>
      <c r="AH632" s="86"/>
      <c r="AI632" s="86"/>
      <c r="AJ632" s="86"/>
      <c r="AK632" s="86"/>
      <c r="AL632" s="86"/>
      <c r="AM632" s="86"/>
      <c r="AN632" s="86"/>
      <c r="AO632" s="86"/>
      <c r="AP632" s="86"/>
      <c r="AQ632" s="86"/>
      <c r="AR632" s="86"/>
      <c r="AS632" s="86"/>
      <c r="AT632" s="86"/>
      <c r="AU632" s="86"/>
      <c r="AV632" s="86"/>
      <c r="AW632" s="86"/>
      <c r="AX632" s="86"/>
      <c r="AY632" s="86"/>
      <c r="AZ632" s="86"/>
      <c r="BA632" s="86"/>
      <c r="BB632" s="86"/>
      <c r="BC632" s="86"/>
      <c r="BD632" s="86"/>
      <c r="BE632" s="86"/>
      <c r="BF632" s="86"/>
      <c r="BG632" s="86"/>
      <c r="BH632" s="86"/>
      <c r="BI632" s="86"/>
      <c r="BJ632" s="86"/>
      <c r="BK632" s="86"/>
      <c r="BL632" s="86"/>
      <c r="BM632" s="86"/>
      <c r="BN632" s="86"/>
      <c r="BO632" s="86"/>
      <c r="BP632" s="86"/>
      <c r="BQ632" s="86"/>
      <c r="BR632" s="86"/>
      <c r="BS632" s="86"/>
      <c r="BT632" s="86"/>
      <c r="BU632" s="86"/>
      <c r="BV632" s="86"/>
    </row>
    <row r="633" spans="1:74" s="87" customFormat="1" ht="14.25" x14ac:dyDescent="0.2">
      <c r="A633" s="76" t="s">
        <v>927</v>
      </c>
      <c r="B633" s="77" t="s">
        <v>318</v>
      </c>
      <c r="C633" s="128"/>
      <c r="D633" s="128"/>
      <c r="E633" s="128"/>
      <c r="F633" s="128"/>
      <c r="G633" s="128"/>
      <c r="H633" s="128"/>
      <c r="I633" s="128"/>
      <c r="J633" s="128"/>
      <c r="K633" s="128"/>
      <c r="L633" s="128"/>
      <c r="M633" s="128"/>
      <c r="N633" s="128"/>
      <c r="O633" s="140">
        <f t="shared" si="303"/>
        <v>0</v>
      </c>
      <c r="P633" s="109">
        <v>0</v>
      </c>
      <c r="Q633" s="108">
        <f t="shared" si="301"/>
        <v>0</v>
      </c>
      <c r="R633" s="86"/>
      <c r="S633" s="86"/>
      <c r="T633" s="86"/>
      <c r="U633" s="86"/>
      <c r="V633" s="86"/>
      <c r="W633" s="86"/>
      <c r="X633" s="86"/>
      <c r="Y633" s="86"/>
      <c r="Z633" s="86"/>
      <c r="AA633" s="86"/>
      <c r="AB633" s="86"/>
      <c r="AC633" s="86"/>
      <c r="AD633" s="86"/>
      <c r="AE633" s="86"/>
      <c r="AF633" s="86"/>
      <c r="AG633" s="86"/>
      <c r="AH633" s="86"/>
      <c r="AI633" s="86"/>
      <c r="AJ633" s="86"/>
      <c r="AK633" s="86"/>
      <c r="AL633" s="86"/>
      <c r="AM633" s="86"/>
      <c r="AN633" s="86"/>
      <c r="AO633" s="86"/>
      <c r="AP633" s="86"/>
      <c r="AQ633" s="86"/>
      <c r="AR633" s="86"/>
      <c r="AS633" s="86"/>
      <c r="AT633" s="86"/>
      <c r="AU633" s="86"/>
      <c r="AV633" s="86"/>
      <c r="AW633" s="86"/>
      <c r="AX633" s="86"/>
      <c r="AY633" s="86"/>
      <c r="AZ633" s="86"/>
      <c r="BA633" s="86"/>
      <c r="BB633" s="86"/>
      <c r="BC633" s="86"/>
      <c r="BD633" s="86"/>
      <c r="BE633" s="86"/>
      <c r="BF633" s="86"/>
      <c r="BG633" s="86"/>
      <c r="BH633" s="86"/>
      <c r="BI633" s="86"/>
      <c r="BJ633" s="86"/>
      <c r="BK633" s="86"/>
      <c r="BL633" s="86"/>
      <c r="BM633" s="86"/>
      <c r="BN633" s="86"/>
      <c r="BO633" s="86"/>
      <c r="BP633" s="86"/>
      <c r="BQ633" s="86"/>
      <c r="BR633" s="86"/>
      <c r="BS633" s="86"/>
      <c r="BT633" s="86"/>
      <c r="BU633" s="86"/>
      <c r="BV633" s="86"/>
    </row>
    <row r="634" spans="1:74" s="87" customFormat="1" ht="28.5" x14ac:dyDescent="0.2">
      <c r="A634" s="76" t="s">
        <v>928</v>
      </c>
      <c r="B634" s="77" t="s">
        <v>319</v>
      </c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140">
        <f t="shared" si="303"/>
        <v>0</v>
      </c>
      <c r="P634" s="109">
        <v>0</v>
      </c>
      <c r="Q634" s="108">
        <f t="shared" si="301"/>
        <v>0</v>
      </c>
      <c r="R634" s="86"/>
      <c r="S634" s="86"/>
      <c r="T634" s="86"/>
      <c r="U634" s="86"/>
      <c r="V634" s="86"/>
      <c r="W634" s="86"/>
      <c r="X634" s="86"/>
      <c r="Y634" s="86"/>
      <c r="Z634" s="86"/>
      <c r="AA634" s="86"/>
      <c r="AB634" s="86"/>
      <c r="AC634" s="86"/>
      <c r="AD634" s="86"/>
      <c r="AE634" s="86"/>
      <c r="AF634" s="86"/>
      <c r="AG634" s="86"/>
      <c r="AH634" s="86"/>
      <c r="AI634" s="86"/>
      <c r="AJ634" s="86"/>
      <c r="AK634" s="86"/>
      <c r="AL634" s="86"/>
      <c r="AM634" s="86"/>
      <c r="AN634" s="86"/>
      <c r="AO634" s="86"/>
      <c r="AP634" s="86"/>
      <c r="AQ634" s="86"/>
      <c r="AR634" s="86"/>
      <c r="AS634" s="86"/>
      <c r="AT634" s="86"/>
      <c r="AU634" s="86"/>
      <c r="AV634" s="86"/>
      <c r="AW634" s="86"/>
      <c r="AX634" s="86"/>
      <c r="AY634" s="86"/>
      <c r="AZ634" s="86"/>
      <c r="BA634" s="86"/>
      <c r="BB634" s="86"/>
      <c r="BC634" s="86"/>
      <c r="BD634" s="86"/>
      <c r="BE634" s="86"/>
      <c r="BF634" s="86"/>
      <c r="BG634" s="86"/>
      <c r="BH634" s="86"/>
      <c r="BI634" s="86"/>
      <c r="BJ634" s="86"/>
      <c r="BK634" s="86"/>
      <c r="BL634" s="86"/>
      <c r="BM634" s="86"/>
      <c r="BN634" s="86"/>
      <c r="BO634" s="86"/>
      <c r="BP634" s="86"/>
      <c r="BQ634" s="86"/>
      <c r="BR634" s="86"/>
      <c r="BS634" s="86"/>
      <c r="BT634" s="86"/>
      <c r="BU634" s="86"/>
      <c r="BV634" s="86"/>
    </row>
    <row r="635" spans="1:74" s="110" customFormat="1" ht="28.5" x14ac:dyDescent="0.2">
      <c r="A635" s="76" t="s">
        <v>929</v>
      </c>
      <c r="B635" s="77" t="s">
        <v>320</v>
      </c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140">
        <f t="shared" si="303"/>
        <v>0</v>
      </c>
      <c r="P635" s="111">
        <v>0</v>
      </c>
      <c r="Q635" s="108">
        <f t="shared" si="301"/>
        <v>0</v>
      </c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  <c r="BO635" s="109"/>
      <c r="BP635" s="109"/>
      <c r="BQ635" s="109"/>
      <c r="BR635" s="109"/>
      <c r="BS635" s="109"/>
      <c r="BT635" s="109"/>
      <c r="BU635" s="109"/>
      <c r="BV635" s="109"/>
    </row>
    <row r="636" spans="1:74" s="110" customFormat="1" ht="28.5" x14ac:dyDescent="0.2">
      <c r="A636" s="76" t="s">
        <v>930</v>
      </c>
      <c r="B636" s="77" t="s">
        <v>321</v>
      </c>
      <c r="C636" s="128"/>
      <c r="D636" s="128"/>
      <c r="E636" s="128"/>
      <c r="F636" s="128"/>
      <c r="G636" s="128"/>
      <c r="H636" s="128"/>
      <c r="I636" s="128"/>
      <c r="J636" s="128"/>
      <c r="K636" s="128"/>
      <c r="L636" s="128"/>
      <c r="M636" s="128"/>
      <c r="N636" s="128"/>
      <c r="O636" s="140">
        <f t="shared" si="303"/>
        <v>0</v>
      </c>
      <c r="P636" s="111">
        <v>0</v>
      </c>
      <c r="Q636" s="108">
        <f t="shared" si="301"/>
        <v>0</v>
      </c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  <c r="BO636" s="109"/>
      <c r="BP636" s="109"/>
      <c r="BQ636" s="109"/>
      <c r="BR636" s="109"/>
      <c r="BS636" s="109"/>
      <c r="BT636" s="109"/>
      <c r="BU636" s="109"/>
      <c r="BV636" s="109"/>
    </row>
    <row r="637" spans="1:74" s="87" customFormat="1" ht="28.5" x14ac:dyDescent="0.2">
      <c r="A637" s="76" t="s">
        <v>931</v>
      </c>
      <c r="B637" s="77" t="s">
        <v>322</v>
      </c>
      <c r="C637" s="128"/>
      <c r="D637" s="128"/>
      <c r="E637" s="128"/>
      <c r="F637" s="128"/>
      <c r="G637" s="128"/>
      <c r="H637" s="128"/>
      <c r="I637" s="128"/>
      <c r="J637" s="128"/>
      <c r="K637" s="128"/>
      <c r="L637" s="128"/>
      <c r="M637" s="128"/>
      <c r="N637" s="128"/>
      <c r="O637" s="140">
        <f t="shared" si="303"/>
        <v>0</v>
      </c>
      <c r="P637" s="111">
        <v>0</v>
      </c>
      <c r="Q637" s="108">
        <f t="shared" si="301"/>
        <v>0</v>
      </c>
      <c r="R637" s="86"/>
      <c r="S637" s="86"/>
      <c r="T637" s="86"/>
      <c r="U637" s="86"/>
      <c r="V637" s="86"/>
      <c r="W637" s="86"/>
      <c r="X637" s="86"/>
      <c r="Y637" s="86"/>
      <c r="Z637" s="86"/>
      <c r="AA637" s="86"/>
      <c r="AB637" s="86"/>
      <c r="AC637" s="86"/>
      <c r="AD637" s="86"/>
      <c r="AE637" s="86"/>
      <c r="AF637" s="86"/>
      <c r="AG637" s="86"/>
      <c r="AH637" s="86"/>
      <c r="AI637" s="86"/>
      <c r="AJ637" s="86"/>
      <c r="AK637" s="86"/>
      <c r="AL637" s="86"/>
      <c r="AM637" s="86"/>
      <c r="AN637" s="86"/>
      <c r="AO637" s="86"/>
      <c r="AP637" s="86"/>
      <c r="AQ637" s="86"/>
      <c r="AR637" s="86"/>
      <c r="AS637" s="86"/>
      <c r="AT637" s="86"/>
      <c r="AU637" s="86"/>
      <c r="AV637" s="86"/>
      <c r="AW637" s="86"/>
      <c r="AX637" s="86"/>
      <c r="AY637" s="86"/>
      <c r="AZ637" s="86"/>
      <c r="BA637" s="86"/>
      <c r="BB637" s="86"/>
      <c r="BC637" s="86"/>
      <c r="BD637" s="86"/>
      <c r="BE637" s="86"/>
      <c r="BF637" s="86"/>
      <c r="BG637" s="86"/>
      <c r="BH637" s="86"/>
      <c r="BI637" s="86"/>
      <c r="BJ637" s="86"/>
      <c r="BK637" s="86"/>
      <c r="BL637" s="86"/>
      <c r="BM637" s="86"/>
      <c r="BN637" s="86"/>
      <c r="BO637" s="86"/>
      <c r="BP637" s="86"/>
      <c r="BQ637" s="86"/>
      <c r="BR637" s="86"/>
      <c r="BS637" s="86"/>
      <c r="BT637" s="86"/>
      <c r="BU637" s="86"/>
      <c r="BV637" s="86"/>
    </row>
    <row r="638" spans="1:74" s="110" customFormat="1" ht="28.5" x14ac:dyDescent="0.2">
      <c r="A638" s="76" t="s">
        <v>932</v>
      </c>
      <c r="B638" s="77" t="s">
        <v>323</v>
      </c>
      <c r="C638" s="128"/>
      <c r="D638" s="128"/>
      <c r="E638" s="128"/>
      <c r="F638" s="128"/>
      <c r="G638" s="128"/>
      <c r="H638" s="128"/>
      <c r="I638" s="128"/>
      <c r="J638" s="128"/>
      <c r="K638" s="128"/>
      <c r="L638" s="128"/>
      <c r="M638" s="128"/>
      <c r="N638" s="128"/>
      <c r="O638" s="140">
        <f t="shared" si="303"/>
        <v>0</v>
      </c>
      <c r="P638" s="111">
        <v>0</v>
      </c>
      <c r="Q638" s="108">
        <f t="shared" si="301"/>
        <v>0</v>
      </c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  <c r="BO638" s="109"/>
      <c r="BP638" s="109"/>
      <c r="BQ638" s="109"/>
      <c r="BR638" s="109"/>
      <c r="BS638" s="109"/>
      <c r="BT638" s="109"/>
      <c r="BU638" s="109"/>
      <c r="BV638" s="109"/>
    </row>
    <row r="639" spans="1:74" s="110" customFormat="1" ht="42.75" x14ac:dyDescent="0.2">
      <c r="A639" s="76" t="s">
        <v>933</v>
      </c>
      <c r="B639" s="77" t="s">
        <v>324</v>
      </c>
      <c r="C639" s="128"/>
      <c r="D639" s="128"/>
      <c r="E639" s="128"/>
      <c r="F639" s="128"/>
      <c r="G639" s="128"/>
      <c r="H639" s="128"/>
      <c r="I639" s="128"/>
      <c r="J639" s="128"/>
      <c r="K639" s="128"/>
      <c r="L639" s="128"/>
      <c r="M639" s="128"/>
      <c r="N639" s="128"/>
      <c r="O639" s="140">
        <f t="shared" si="303"/>
        <v>0</v>
      </c>
      <c r="P639" s="111">
        <v>0</v>
      </c>
      <c r="Q639" s="108">
        <f t="shared" si="301"/>
        <v>0</v>
      </c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  <c r="BO639" s="109"/>
      <c r="BP639" s="109"/>
      <c r="BQ639" s="109"/>
      <c r="BR639" s="109"/>
      <c r="BS639" s="109"/>
      <c r="BT639" s="109"/>
      <c r="BU639" s="109"/>
      <c r="BV639" s="109"/>
    </row>
    <row r="640" spans="1:74" s="110" customFormat="1" ht="28.5" x14ac:dyDescent="0.2">
      <c r="A640" s="76" t="s">
        <v>934</v>
      </c>
      <c r="B640" s="77" t="s">
        <v>935</v>
      </c>
      <c r="C640" s="128"/>
      <c r="D640" s="128"/>
      <c r="E640" s="128"/>
      <c r="F640" s="128"/>
      <c r="G640" s="128"/>
      <c r="H640" s="128"/>
      <c r="I640" s="128"/>
      <c r="J640" s="128"/>
      <c r="K640" s="128"/>
      <c r="L640" s="128"/>
      <c r="M640" s="128"/>
      <c r="N640" s="128"/>
      <c r="O640" s="140">
        <f t="shared" si="303"/>
        <v>0</v>
      </c>
      <c r="P640" s="111">
        <v>0</v>
      </c>
      <c r="Q640" s="108">
        <f t="shared" si="301"/>
        <v>0</v>
      </c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  <c r="BO640" s="109"/>
      <c r="BP640" s="109"/>
      <c r="BQ640" s="109"/>
      <c r="BR640" s="109"/>
      <c r="BS640" s="109"/>
      <c r="BT640" s="109"/>
      <c r="BU640" s="109"/>
      <c r="BV640" s="109"/>
    </row>
    <row r="641" spans="1:74" s="87" customFormat="1" ht="42.75" x14ac:dyDescent="0.2">
      <c r="A641" s="76" t="s">
        <v>936</v>
      </c>
      <c r="B641" s="77" t="s">
        <v>937</v>
      </c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140">
        <f t="shared" si="303"/>
        <v>0</v>
      </c>
      <c r="P641" s="111">
        <v>0</v>
      </c>
      <c r="Q641" s="108">
        <f t="shared" si="301"/>
        <v>0</v>
      </c>
      <c r="R641" s="86"/>
      <c r="S641" s="86"/>
      <c r="T641" s="86"/>
      <c r="U641" s="86"/>
      <c r="V641" s="86"/>
      <c r="W641" s="86"/>
      <c r="X641" s="86"/>
      <c r="Y641" s="86"/>
      <c r="Z641" s="86"/>
      <c r="AA641" s="86"/>
      <c r="AB641" s="86"/>
      <c r="AC641" s="86"/>
      <c r="AD641" s="86"/>
      <c r="AE641" s="86"/>
      <c r="AF641" s="86"/>
      <c r="AG641" s="86"/>
      <c r="AH641" s="86"/>
      <c r="AI641" s="86"/>
      <c r="AJ641" s="86"/>
      <c r="AK641" s="86"/>
      <c r="AL641" s="86"/>
      <c r="AM641" s="86"/>
      <c r="AN641" s="86"/>
      <c r="AO641" s="86"/>
      <c r="AP641" s="86"/>
      <c r="AQ641" s="86"/>
      <c r="AR641" s="86"/>
      <c r="AS641" s="86"/>
      <c r="AT641" s="86"/>
      <c r="AU641" s="86"/>
      <c r="AV641" s="86"/>
      <c r="AW641" s="86"/>
      <c r="AX641" s="86"/>
      <c r="AY641" s="86"/>
      <c r="AZ641" s="86"/>
      <c r="BA641" s="86"/>
      <c r="BB641" s="86"/>
      <c r="BC641" s="86"/>
      <c r="BD641" s="86"/>
      <c r="BE641" s="86"/>
      <c r="BF641" s="86"/>
      <c r="BG641" s="86"/>
      <c r="BH641" s="86"/>
      <c r="BI641" s="86"/>
      <c r="BJ641" s="86"/>
      <c r="BK641" s="86"/>
      <c r="BL641" s="86"/>
      <c r="BM641" s="86"/>
      <c r="BN641" s="86"/>
      <c r="BO641" s="86"/>
      <c r="BP641" s="86"/>
      <c r="BQ641" s="86"/>
      <c r="BR641" s="86"/>
      <c r="BS641" s="86"/>
      <c r="BT641" s="86"/>
      <c r="BU641" s="86"/>
      <c r="BV641" s="86"/>
    </row>
    <row r="642" spans="1:74" s="110" customFormat="1" ht="42.75" x14ac:dyDescent="0.2">
      <c r="A642" s="76" t="s">
        <v>938</v>
      </c>
      <c r="B642" s="77" t="s">
        <v>939</v>
      </c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140">
        <f t="shared" si="303"/>
        <v>0</v>
      </c>
      <c r="P642" s="109">
        <v>0</v>
      </c>
      <c r="Q642" s="108">
        <f t="shared" si="301"/>
        <v>0</v>
      </c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  <c r="BO642" s="109"/>
      <c r="BP642" s="109"/>
      <c r="BQ642" s="109"/>
      <c r="BR642" s="109"/>
      <c r="BS642" s="109"/>
      <c r="BT642" s="109"/>
      <c r="BU642" s="109"/>
      <c r="BV642" s="109"/>
    </row>
    <row r="643" spans="1:74" s="110" customFormat="1" ht="42.75" x14ac:dyDescent="0.2">
      <c r="A643" s="76" t="s">
        <v>940</v>
      </c>
      <c r="B643" s="77" t="s">
        <v>941</v>
      </c>
      <c r="C643" s="128"/>
      <c r="D643" s="128"/>
      <c r="E643" s="128"/>
      <c r="F643" s="128"/>
      <c r="G643" s="128"/>
      <c r="H643" s="128"/>
      <c r="I643" s="128"/>
      <c r="J643" s="128"/>
      <c r="K643" s="128"/>
      <c r="L643" s="128"/>
      <c r="M643" s="128"/>
      <c r="N643" s="128"/>
      <c r="O643" s="140">
        <f t="shared" si="303"/>
        <v>0</v>
      </c>
      <c r="P643" s="109">
        <v>0</v>
      </c>
      <c r="Q643" s="108">
        <f t="shared" si="301"/>
        <v>0</v>
      </c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  <c r="BO643" s="109"/>
      <c r="BP643" s="109"/>
      <c r="BQ643" s="109"/>
      <c r="BR643" s="109"/>
      <c r="BS643" s="109"/>
      <c r="BT643" s="109"/>
      <c r="BU643" s="109"/>
      <c r="BV643" s="109"/>
    </row>
    <row r="644" spans="1:74" s="87" customFormat="1" ht="42.75" x14ac:dyDescent="0.2">
      <c r="A644" s="76" t="s">
        <v>942</v>
      </c>
      <c r="B644" s="77" t="s">
        <v>943</v>
      </c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28"/>
      <c r="N644" s="128"/>
      <c r="O644" s="140">
        <f t="shared" si="303"/>
        <v>0</v>
      </c>
      <c r="P644" s="109">
        <v>0</v>
      </c>
      <c r="Q644" s="108">
        <f t="shared" si="301"/>
        <v>0</v>
      </c>
      <c r="R644" s="86"/>
      <c r="S644" s="86"/>
      <c r="T644" s="86"/>
      <c r="U644" s="86"/>
      <c r="V644" s="86"/>
      <c r="W644" s="86"/>
      <c r="X644" s="86"/>
      <c r="Y644" s="86"/>
      <c r="Z644" s="86"/>
      <c r="AA644" s="86"/>
      <c r="AB644" s="86"/>
      <c r="AC644" s="86"/>
      <c r="AD644" s="86"/>
      <c r="AE644" s="86"/>
      <c r="AF644" s="86"/>
      <c r="AG644" s="86"/>
      <c r="AH644" s="86"/>
      <c r="AI644" s="86"/>
      <c r="AJ644" s="86"/>
      <c r="AK644" s="86"/>
      <c r="AL644" s="86"/>
      <c r="AM644" s="86"/>
      <c r="AN644" s="86"/>
      <c r="AO644" s="86"/>
      <c r="AP644" s="86"/>
      <c r="AQ644" s="86"/>
      <c r="AR644" s="86"/>
      <c r="AS644" s="86"/>
      <c r="AT644" s="86"/>
      <c r="AU644" s="86"/>
      <c r="AV644" s="86"/>
      <c r="AW644" s="86"/>
      <c r="AX644" s="86"/>
      <c r="AY644" s="86"/>
      <c r="AZ644" s="86"/>
      <c r="BA644" s="86"/>
      <c r="BB644" s="86"/>
      <c r="BC644" s="86"/>
      <c r="BD644" s="86"/>
      <c r="BE644" s="86"/>
      <c r="BF644" s="86"/>
      <c r="BG644" s="86"/>
      <c r="BH644" s="86"/>
      <c r="BI644" s="86"/>
      <c r="BJ644" s="86"/>
      <c r="BK644" s="86"/>
      <c r="BL644" s="86"/>
      <c r="BM644" s="86"/>
      <c r="BN644" s="86"/>
      <c r="BO644" s="86"/>
      <c r="BP644" s="86"/>
      <c r="BQ644" s="86"/>
      <c r="BR644" s="86"/>
      <c r="BS644" s="86"/>
      <c r="BT644" s="86"/>
      <c r="BU644" s="86"/>
      <c r="BV644" s="86"/>
    </row>
    <row r="645" spans="1:74" s="87" customFormat="1" ht="28.5" x14ac:dyDescent="0.2">
      <c r="A645" s="76" t="s">
        <v>944</v>
      </c>
      <c r="B645" s="77" t="s">
        <v>945</v>
      </c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140">
        <f t="shared" si="303"/>
        <v>0</v>
      </c>
      <c r="P645" s="111">
        <v>0</v>
      </c>
      <c r="Q645" s="108">
        <f t="shared" si="301"/>
        <v>0</v>
      </c>
      <c r="R645" s="86"/>
      <c r="S645" s="86"/>
      <c r="T645" s="86"/>
      <c r="U645" s="86"/>
      <c r="V645" s="86"/>
      <c r="W645" s="86"/>
      <c r="X645" s="86"/>
      <c r="Y645" s="86"/>
      <c r="Z645" s="86"/>
      <c r="AA645" s="86"/>
      <c r="AB645" s="86"/>
      <c r="AC645" s="86"/>
      <c r="AD645" s="86"/>
      <c r="AE645" s="86"/>
      <c r="AF645" s="86"/>
      <c r="AG645" s="86"/>
      <c r="AH645" s="86"/>
      <c r="AI645" s="86"/>
      <c r="AJ645" s="86"/>
      <c r="AK645" s="86"/>
      <c r="AL645" s="86"/>
      <c r="AM645" s="86"/>
      <c r="AN645" s="86"/>
      <c r="AO645" s="86"/>
      <c r="AP645" s="86"/>
      <c r="AQ645" s="86"/>
      <c r="AR645" s="86"/>
      <c r="AS645" s="86"/>
      <c r="AT645" s="86"/>
      <c r="AU645" s="86"/>
      <c r="AV645" s="86"/>
      <c r="AW645" s="86"/>
      <c r="AX645" s="86"/>
      <c r="AY645" s="86"/>
      <c r="AZ645" s="86"/>
      <c r="BA645" s="86"/>
      <c r="BB645" s="86"/>
      <c r="BC645" s="86"/>
      <c r="BD645" s="86"/>
      <c r="BE645" s="86"/>
      <c r="BF645" s="86"/>
      <c r="BG645" s="86"/>
      <c r="BH645" s="86"/>
      <c r="BI645" s="86"/>
      <c r="BJ645" s="86"/>
      <c r="BK645" s="86"/>
      <c r="BL645" s="86"/>
      <c r="BM645" s="86"/>
      <c r="BN645" s="86"/>
      <c r="BO645" s="86"/>
      <c r="BP645" s="86"/>
      <c r="BQ645" s="86"/>
      <c r="BR645" s="86"/>
      <c r="BS645" s="86"/>
      <c r="BT645" s="86"/>
      <c r="BU645" s="86"/>
      <c r="BV645" s="86"/>
    </row>
    <row r="646" spans="1:74" s="110" customFormat="1" ht="42.75" x14ac:dyDescent="0.2">
      <c r="A646" s="76" t="s">
        <v>946</v>
      </c>
      <c r="B646" s="77" t="s">
        <v>947</v>
      </c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140">
        <f t="shared" si="303"/>
        <v>0</v>
      </c>
      <c r="P646" s="109">
        <v>0</v>
      </c>
      <c r="Q646" s="108">
        <f t="shared" si="301"/>
        <v>0</v>
      </c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  <c r="BO646" s="109"/>
      <c r="BP646" s="109"/>
      <c r="BQ646" s="109"/>
      <c r="BR646" s="109"/>
      <c r="BS646" s="109"/>
      <c r="BT646" s="109"/>
      <c r="BU646" s="109"/>
      <c r="BV646" s="109"/>
    </row>
    <row r="647" spans="1:74" s="110" customFormat="1" ht="42.75" x14ac:dyDescent="0.2">
      <c r="A647" s="76" t="s">
        <v>948</v>
      </c>
      <c r="B647" s="77" t="s">
        <v>380</v>
      </c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140">
        <f>SUM(C647:N647)</f>
        <v>0</v>
      </c>
      <c r="P647" s="111">
        <v>0</v>
      </c>
      <c r="Q647" s="108">
        <f t="shared" si="301"/>
        <v>0</v>
      </c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  <c r="BO647" s="109"/>
      <c r="BP647" s="109"/>
      <c r="BQ647" s="109"/>
      <c r="BR647" s="109"/>
      <c r="BS647" s="109"/>
      <c r="BT647" s="109"/>
      <c r="BU647" s="109"/>
      <c r="BV647" s="109"/>
    </row>
    <row r="648" spans="1:74" s="110" customFormat="1" ht="28.5" x14ac:dyDescent="0.2">
      <c r="A648" s="76" t="s">
        <v>949</v>
      </c>
      <c r="B648" s="77" t="s">
        <v>950</v>
      </c>
      <c r="C648" s="128"/>
      <c r="D648" s="128"/>
      <c r="E648" s="128"/>
      <c r="F648" s="128"/>
      <c r="G648" s="128"/>
      <c r="H648" s="128"/>
      <c r="I648" s="128"/>
      <c r="J648" s="128"/>
      <c r="K648" s="128"/>
      <c r="L648" s="128"/>
      <c r="M648" s="128"/>
      <c r="N648" s="128"/>
      <c r="O648" s="140">
        <f t="shared" ref="O648:O714" si="304">SUM(C648:N648)</f>
        <v>0</v>
      </c>
      <c r="P648" s="109">
        <v>0</v>
      </c>
      <c r="Q648" s="108">
        <f t="shared" si="301"/>
        <v>0</v>
      </c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  <c r="BO648" s="109"/>
      <c r="BP648" s="109"/>
      <c r="BQ648" s="109"/>
      <c r="BR648" s="109"/>
      <c r="BS648" s="109"/>
      <c r="BT648" s="109"/>
      <c r="BU648" s="109"/>
      <c r="BV648" s="109"/>
    </row>
    <row r="649" spans="1:74" s="110" customFormat="1" ht="42.75" x14ac:dyDescent="0.2">
      <c r="A649" s="76" t="s">
        <v>951</v>
      </c>
      <c r="B649" s="77" t="s">
        <v>952</v>
      </c>
      <c r="C649" s="128"/>
      <c r="D649" s="128"/>
      <c r="E649" s="128"/>
      <c r="F649" s="128"/>
      <c r="G649" s="128"/>
      <c r="H649" s="128"/>
      <c r="I649" s="128"/>
      <c r="J649" s="128"/>
      <c r="K649" s="128"/>
      <c r="L649" s="128"/>
      <c r="M649" s="128"/>
      <c r="N649" s="128"/>
      <c r="O649" s="140">
        <f t="shared" si="304"/>
        <v>0</v>
      </c>
      <c r="P649" s="111">
        <v>0</v>
      </c>
      <c r="Q649" s="108">
        <f t="shared" si="301"/>
        <v>0</v>
      </c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  <c r="BO649" s="109"/>
      <c r="BP649" s="109"/>
      <c r="BQ649" s="109"/>
      <c r="BR649" s="109"/>
      <c r="BS649" s="109"/>
      <c r="BT649" s="109"/>
      <c r="BU649" s="109"/>
      <c r="BV649" s="109"/>
    </row>
    <row r="650" spans="1:74" s="112" customFormat="1" ht="15.75" x14ac:dyDescent="0.2">
      <c r="A650" s="318" t="s">
        <v>1626</v>
      </c>
      <c r="B650" s="365" t="s">
        <v>1627</v>
      </c>
      <c r="C650" s="78">
        <f>+C651</f>
        <v>0</v>
      </c>
      <c r="D650" s="78">
        <f t="shared" ref="D650:N650" si="305">+D651</f>
        <v>0</v>
      </c>
      <c r="E650" s="78">
        <f t="shared" si="305"/>
        <v>0</v>
      </c>
      <c r="F650" s="78">
        <f t="shared" si="305"/>
        <v>0</v>
      </c>
      <c r="G650" s="78">
        <f t="shared" si="305"/>
        <v>4900126032</v>
      </c>
      <c r="H650" s="78">
        <f t="shared" si="305"/>
        <v>1399970000</v>
      </c>
      <c r="I650" s="78">
        <f t="shared" si="305"/>
        <v>353771970.91000003</v>
      </c>
      <c r="J650" s="78">
        <f t="shared" si="305"/>
        <v>0</v>
      </c>
      <c r="K650" s="78">
        <f t="shared" si="305"/>
        <v>0</v>
      </c>
      <c r="L650" s="78">
        <f t="shared" si="305"/>
        <v>0</v>
      </c>
      <c r="M650" s="78">
        <f t="shared" si="305"/>
        <v>0</v>
      </c>
      <c r="N650" s="78">
        <f t="shared" si="305"/>
        <v>0</v>
      </c>
      <c r="O650" s="140">
        <f t="shared" si="304"/>
        <v>6653868002.9099998</v>
      </c>
      <c r="P650" s="109">
        <v>4900126032</v>
      </c>
      <c r="Q650" s="108">
        <f t="shared" si="301"/>
        <v>-1753741970.9099998</v>
      </c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11"/>
      <c r="BH650" s="111"/>
      <c r="BI650" s="111"/>
      <c r="BJ650" s="111"/>
      <c r="BK650" s="111"/>
      <c r="BL650" s="111"/>
      <c r="BM650" s="111"/>
      <c r="BN650" s="111"/>
      <c r="BO650" s="111"/>
      <c r="BP650" s="111"/>
      <c r="BQ650" s="111"/>
      <c r="BR650" s="111"/>
      <c r="BS650" s="111"/>
      <c r="BT650" s="111"/>
      <c r="BU650" s="111"/>
      <c r="BV650" s="111"/>
    </row>
    <row r="651" spans="1:74" s="112" customFormat="1" ht="15.75" x14ac:dyDescent="0.2">
      <c r="A651" s="81" t="s">
        <v>1628</v>
      </c>
      <c r="B651" s="79" t="s">
        <v>1629</v>
      </c>
      <c r="C651" s="78">
        <f>+C655+C652</f>
        <v>0</v>
      </c>
      <c r="D651" s="78">
        <f t="shared" ref="D651:N651" si="306">+D655+D652</f>
        <v>0</v>
      </c>
      <c r="E651" s="78">
        <f t="shared" si="306"/>
        <v>0</v>
      </c>
      <c r="F651" s="78">
        <f t="shared" si="306"/>
        <v>0</v>
      </c>
      <c r="G651" s="78">
        <f t="shared" si="306"/>
        <v>4900126032</v>
      </c>
      <c r="H651" s="78">
        <f t="shared" si="306"/>
        <v>1399970000</v>
      </c>
      <c r="I651" s="78">
        <f t="shared" si="306"/>
        <v>353771970.91000003</v>
      </c>
      <c r="J651" s="78">
        <f t="shared" si="306"/>
        <v>0</v>
      </c>
      <c r="K651" s="78">
        <f t="shared" si="306"/>
        <v>0</v>
      </c>
      <c r="L651" s="78">
        <f t="shared" si="306"/>
        <v>0</v>
      </c>
      <c r="M651" s="78">
        <f t="shared" si="306"/>
        <v>0</v>
      </c>
      <c r="N651" s="78">
        <f t="shared" si="306"/>
        <v>0</v>
      </c>
      <c r="O651" s="140">
        <f t="shared" si="304"/>
        <v>6653868002.9099998</v>
      </c>
      <c r="P651" s="111">
        <v>4900126032</v>
      </c>
      <c r="Q651" s="108">
        <f t="shared" si="301"/>
        <v>-1753741970.9099998</v>
      </c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1"/>
      <c r="AM651" s="111"/>
      <c r="AN651" s="111"/>
      <c r="AO651" s="111"/>
      <c r="AP651" s="111"/>
      <c r="AQ651" s="111"/>
      <c r="AR651" s="111"/>
      <c r="AS651" s="111"/>
      <c r="AT651" s="111"/>
      <c r="AU651" s="111"/>
      <c r="AV651" s="111"/>
      <c r="AW651" s="111"/>
      <c r="AX651" s="111"/>
      <c r="AY651" s="111"/>
      <c r="AZ651" s="111"/>
      <c r="BA651" s="111"/>
      <c r="BB651" s="111"/>
      <c r="BC651" s="111"/>
      <c r="BD651" s="111"/>
      <c r="BE651" s="111"/>
      <c r="BF651" s="111"/>
      <c r="BG651" s="111"/>
      <c r="BH651" s="111"/>
      <c r="BI651" s="111"/>
      <c r="BJ651" s="111"/>
      <c r="BK651" s="111"/>
      <c r="BL651" s="111"/>
      <c r="BM651" s="111"/>
      <c r="BN651" s="111"/>
      <c r="BO651" s="111"/>
      <c r="BP651" s="111"/>
      <c r="BQ651" s="111"/>
      <c r="BR651" s="111"/>
      <c r="BS651" s="111"/>
      <c r="BT651" s="111"/>
      <c r="BU651" s="111"/>
      <c r="BV651" s="111"/>
    </row>
    <row r="652" spans="1:74" s="112" customFormat="1" ht="15.75" x14ac:dyDescent="0.2">
      <c r="A652" s="81" t="s">
        <v>1882</v>
      </c>
      <c r="B652" s="391" t="s">
        <v>1883</v>
      </c>
      <c r="C652" s="78">
        <f>SUM(C653:C654)</f>
        <v>0</v>
      </c>
      <c r="D652" s="78">
        <f t="shared" ref="D652:N652" si="307">SUM(D653:D654)</f>
        <v>0</v>
      </c>
      <c r="E652" s="78">
        <f t="shared" si="307"/>
        <v>0</v>
      </c>
      <c r="F652" s="78">
        <f t="shared" si="307"/>
        <v>0</v>
      </c>
      <c r="G652" s="78">
        <f t="shared" si="307"/>
        <v>0</v>
      </c>
      <c r="H652" s="78">
        <f t="shared" si="307"/>
        <v>1399970000</v>
      </c>
      <c r="I652" s="78">
        <f t="shared" si="307"/>
        <v>353771970.91000003</v>
      </c>
      <c r="J652" s="78">
        <f t="shared" si="307"/>
        <v>0</v>
      </c>
      <c r="K652" s="78">
        <f t="shared" si="307"/>
        <v>0</v>
      </c>
      <c r="L652" s="78">
        <f t="shared" si="307"/>
        <v>0</v>
      </c>
      <c r="M652" s="78">
        <f t="shared" si="307"/>
        <v>0</v>
      </c>
      <c r="N652" s="78">
        <f t="shared" si="307"/>
        <v>0</v>
      </c>
      <c r="O652" s="140">
        <f t="shared" si="304"/>
        <v>1753741970.9100001</v>
      </c>
      <c r="P652" s="111"/>
      <c r="Q652" s="108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11"/>
      <c r="BH652" s="111"/>
      <c r="BI652" s="111"/>
      <c r="BJ652" s="111"/>
      <c r="BK652" s="111"/>
      <c r="BL652" s="111"/>
      <c r="BM652" s="111"/>
      <c r="BN652" s="111"/>
      <c r="BO652" s="111"/>
      <c r="BP652" s="111"/>
      <c r="BQ652" s="111"/>
      <c r="BR652" s="111"/>
      <c r="BS652" s="111"/>
      <c r="BT652" s="111"/>
      <c r="BU652" s="111"/>
      <c r="BV652" s="111"/>
    </row>
    <row r="653" spans="1:74" s="394" customFormat="1" ht="89.25" x14ac:dyDescent="0.2">
      <c r="A653" s="82" t="s">
        <v>1884</v>
      </c>
      <c r="B653" s="392" t="s">
        <v>1885</v>
      </c>
      <c r="C653" s="126"/>
      <c r="D653" s="126"/>
      <c r="E653" s="126"/>
      <c r="F653" s="126"/>
      <c r="G653" s="126"/>
      <c r="H653" s="126">
        <v>1399970000</v>
      </c>
      <c r="I653" s="126"/>
      <c r="J653" s="126"/>
      <c r="K653" s="126"/>
      <c r="L653" s="126"/>
      <c r="M653" s="126"/>
      <c r="N653" s="126"/>
      <c r="O653" s="198">
        <f t="shared" si="304"/>
        <v>1399970000</v>
      </c>
      <c r="P653" s="393"/>
      <c r="Q653" s="105"/>
      <c r="R653" s="393"/>
      <c r="S653" s="393"/>
      <c r="T653" s="393"/>
      <c r="U653" s="393"/>
      <c r="V653" s="393"/>
      <c r="W653" s="393"/>
      <c r="X653" s="393"/>
      <c r="Y653" s="393"/>
      <c r="Z653" s="393"/>
      <c r="AA653" s="393"/>
      <c r="AB653" s="393"/>
      <c r="AC653" s="393"/>
      <c r="AD653" s="393"/>
      <c r="AE653" s="393"/>
      <c r="AF653" s="393"/>
      <c r="AG653" s="393"/>
      <c r="AH653" s="393"/>
      <c r="AI653" s="393"/>
      <c r="AJ653" s="393"/>
      <c r="AK653" s="393"/>
      <c r="AL653" s="393"/>
      <c r="AM653" s="393"/>
      <c r="AN653" s="393"/>
      <c r="AO653" s="393"/>
      <c r="AP653" s="393"/>
      <c r="AQ653" s="393"/>
      <c r="AR653" s="393"/>
      <c r="AS653" s="393"/>
      <c r="AT653" s="393"/>
      <c r="AU653" s="393"/>
      <c r="AV653" s="393"/>
      <c r="AW653" s="393"/>
      <c r="AX653" s="393"/>
      <c r="AY653" s="393"/>
      <c r="AZ653" s="393"/>
      <c r="BA653" s="393"/>
      <c r="BB653" s="393"/>
      <c r="BC653" s="393"/>
      <c r="BD653" s="393"/>
      <c r="BE653" s="393"/>
      <c r="BF653" s="393"/>
      <c r="BG653" s="393"/>
      <c r="BH653" s="393"/>
      <c r="BI653" s="393"/>
      <c r="BJ653" s="393"/>
      <c r="BK653" s="393"/>
      <c r="BL653" s="393"/>
      <c r="BM653" s="393"/>
      <c r="BN653" s="393"/>
      <c r="BO653" s="393"/>
      <c r="BP653" s="393"/>
      <c r="BQ653" s="393"/>
      <c r="BR653" s="393"/>
      <c r="BS653" s="393"/>
      <c r="BT653" s="393"/>
      <c r="BU653" s="393"/>
      <c r="BV653" s="393"/>
    </row>
    <row r="654" spans="1:74" s="394" customFormat="1" ht="60" x14ac:dyDescent="0.2">
      <c r="A654" s="82" t="s">
        <v>1886</v>
      </c>
      <c r="B654" s="395" t="s">
        <v>1887</v>
      </c>
      <c r="C654" s="126"/>
      <c r="D654" s="126"/>
      <c r="E654" s="126"/>
      <c r="F654" s="126"/>
      <c r="G654" s="126"/>
      <c r="H654" s="126">
        <v>0</v>
      </c>
      <c r="I654" s="126">
        <v>353771970.91000003</v>
      </c>
      <c r="J654" s="126"/>
      <c r="K654" s="126"/>
      <c r="L654" s="126"/>
      <c r="M654" s="126"/>
      <c r="N654" s="126"/>
      <c r="O654" s="198">
        <f t="shared" si="304"/>
        <v>353771970.91000003</v>
      </c>
      <c r="P654" s="393"/>
      <c r="Q654" s="105"/>
      <c r="R654" s="393"/>
      <c r="S654" s="393"/>
      <c r="T654" s="393"/>
      <c r="U654" s="393"/>
      <c r="V654" s="393"/>
      <c r="W654" s="393"/>
      <c r="X654" s="393"/>
      <c r="Y654" s="393"/>
      <c r="Z654" s="393"/>
      <c r="AA654" s="393"/>
      <c r="AB654" s="393"/>
      <c r="AC654" s="393"/>
      <c r="AD654" s="393"/>
      <c r="AE654" s="393"/>
      <c r="AF654" s="393"/>
      <c r="AG654" s="393"/>
      <c r="AH654" s="393"/>
      <c r="AI654" s="393"/>
      <c r="AJ654" s="393"/>
      <c r="AK654" s="393"/>
      <c r="AL654" s="393"/>
      <c r="AM654" s="393"/>
      <c r="AN654" s="393"/>
      <c r="AO654" s="393"/>
      <c r="AP654" s="393"/>
      <c r="AQ654" s="393"/>
      <c r="AR654" s="393"/>
      <c r="AS654" s="393"/>
      <c r="AT654" s="393"/>
      <c r="AU654" s="393"/>
      <c r="AV654" s="393"/>
      <c r="AW654" s="393"/>
      <c r="AX654" s="393"/>
      <c r="AY654" s="393"/>
      <c r="AZ654" s="393"/>
      <c r="BA654" s="393"/>
      <c r="BB654" s="393"/>
      <c r="BC654" s="393"/>
      <c r="BD654" s="393"/>
      <c r="BE654" s="393"/>
      <c r="BF654" s="393"/>
      <c r="BG654" s="393"/>
      <c r="BH654" s="393"/>
      <c r="BI654" s="393"/>
      <c r="BJ654" s="393"/>
      <c r="BK654" s="393"/>
      <c r="BL654" s="393"/>
      <c r="BM654" s="393"/>
      <c r="BN654" s="393"/>
      <c r="BO654" s="393"/>
      <c r="BP654" s="393"/>
      <c r="BQ654" s="393"/>
      <c r="BR654" s="393"/>
      <c r="BS654" s="393"/>
      <c r="BT654" s="393"/>
      <c r="BU654" s="393"/>
      <c r="BV654" s="393"/>
    </row>
    <row r="655" spans="1:74" s="112" customFormat="1" ht="15.75" x14ac:dyDescent="0.2">
      <c r="A655" s="81" t="s">
        <v>1630</v>
      </c>
      <c r="B655" s="79" t="s">
        <v>1631</v>
      </c>
      <c r="C655" s="78">
        <f>+C656+C661</f>
        <v>0</v>
      </c>
      <c r="D655" s="78">
        <f t="shared" ref="D655:N655" si="308">+D656+D661</f>
        <v>0</v>
      </c>
      <c r="E655" s="78">
        <f t="shared" si="308"/>
        <v>0</v>
      </c>
      <c r="F655" s="78">
        <f t="shared" si="308"/>
        <v>0</v>
      </c>
      <c r="G655" s="78">
        <f t="shared" si="308"/>
        <v>4900126032</v>
      </c>
      <c r="H655" s="78">
        <f t="shared" si="308"/>
        <v>0</v>
      </c>
      <c r="I655" s="78">
        <f t="shared" si="308"/>
        <v>0</v>
      </c>
      <c r="J655" s="78">
        <f t="shared" si="308"/>
        <v>0</v>
      </c>
      <c r="K655" s="78">
        <f t="shared" si="308"/>
        <v>0</v>
      </c>
      <c r="L655" s="78">
        <f t="shared" si="308"/>
        <v>0</v>
      </c>
      <c r="M655" s="78">
        <f t="shared" si="308"/>
        <v>0</v>
      </c>
      <c r="N655" s="78">
        <f t="shared" si="308"/>
        <v>0</v>
      </c>
      <c r="O655" s="140">
        <f t="shared" si="304"/>
        <v>4900126032</v>
      </c>
      <c r="P655" s="109">
        <v>4900126032</v>
      </c>
      <c r="Q655" s="108">
        <f t="shared" si="301"/>
        <v>0</v>
      </c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  <c r="AN655" s="111"/>
      <c r="AO655" s="111"/>
      <c r="AP655" s="111"/>
      <c r="AQ655" s="111"/>
      <c r="AR655" s="111"/>
      <c r="AS655" s="111"/>
      <c r="AT655" s="111"/>
      <c r="AU655" s="111"/>
      <c r="AV655" s="111"/>
      <c r="AW655" s="111"/>
      <c r="AX655" s="111"/>
      <c r="AY655" s="111"/>
      <c r="AZ655" s="111"/>
      <c r="BA655" s="111"/>
      <c r="BB655" s="111"/>
      <c r="BC655" s="111"/>
      <c r="BD655" s="111"/>
      <c r="BE655" s="111"/>
      <c r="BF655" s="111"/>
      <c r="BG655" s="111"/>
      <c r="BH655" s="111"/>
      <c r="BI655" s="111"/>
      <c r="BJ655" s="111"/>
      <c r="BK655" s="111"/>
      <c r="BL655" s="111"/>
      <c r="BM655" s="111"/>
      <c r="BN655" s="111"/>
      <c r="BO655" s="111"/>
      <c r="BP655" s="111"/>
      <c r="BQ655" s="111"/>
      <c r="BR655" s="111"/>
      <c r="BS655" s="111"/>
      <c r="BT655" s="111"/>
      <c r="BU655" s="111"/>
      <c r="BV655" s="111"/>
    </row>
    <row r="656" spans="1:74" s="112" customFormat="1" ht="94.5" x14ac:dyDescent="0.2">
      <c r="A656" s="81" t="s">
        <v>1632</v>
      </c>
      <c r="B656" s="79" t="s">
        <v>1633</v>
      </c>
      <c r="C656" s="78">
        <f>SUM(C657:C660)</f>
        <v>0</v>
      </c>
      <c r="D656" s="78">
        <f t="shared" ref="D656:N656" si="309">SUM(D657:D660)</f>
        <v>0</v>
      </c>
      <c r="E656" s="78">
        <f t="shared" si="309"/>
        <v>0</v>
      </c>
      <c r="F656" s="78">
        <f t="shared" si="309"/>
        <v>0</v>
      </c>
      <c r="G656" s="78">
        <f t="shared" si="309"/>
        <v>2750126032</v>
      </c>
      <c r="H656" s="78">
        <f t="shared" si="309"/>
        <v>0</v>
      </c>
      <c r="I656" s="78">
        <f t="shared" si="309"/>
        <v>0</v>
      </c>
      <c r="J656" s="78">
        <f t="shared" si="309"/>
        <v>0</v>
      </c>
      <c r="K656" s="78">
        <f t="shared" si="309"/>
        <v>0</v>
      </c>
      <c r="L656" s="78">
        <f t="shared" si="309"/>
        <v>0</v>
      </c>
      <c r="M656" s="78">
        <f t="shared" si="309"/>
        <v>0</v>
      </c>
      <c r="N656" s="78">
        <f t="shared" si="309"/>
        <v>0</v>
      </c>
      <c r="O656" s="140">
        <f t="shared" si="304"/>
        <v>2750126032</v>
      </c>
      <c r="P656" s="111">
        <v>2750126032</v>
      </c>
      <c r="Q656" s="108">
        <f t="shared" si="301"/>
        <v>0</v>
      </c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11"/>
      <c r="BH656" s="111"/>
      <c r="BI656" s="111"/>
      <c r="BJ656" s="111"/>
      <c r="BK656" s="111"/>
      <c r="BL656" s="111"/>
      <c r="BM656" s="111"/>
      <c r="BN656" s="111"/>
      <c r="BO656" s="111"/>
      <c r="BP656" s="111"/>
      <c r="BQ656" s="111"/>
      <c r="BR656" s="111"/>
      <c r="BS656" s="111"/>
      <c r="BT656" s="111"/>
      <c r="BU656" s="111"/>
      <c r="BV656" s="111"/>
    </row>
    <row r="657" spans="1:74" s="110" customFormat="1" ht="42.75" x14ac:dyDescent="0.2">
      <c r="A657" s="76" t="s">
        <v>1634</v>
      </c>
      <c r="B657" s="77" t="s">
        <v>1635</v>
      </c>
      <c r="C657" s="128"/>
      <c r="D657" s="128"/>
      <c r="E657" s="128"/>
      <c r="F657" s="128"/>
      <c r="G657" s="128">
        <v>2000000000</v>
      </c>
      <c r="H657" s="128"/>
      <c r="I657" s="128"/>
      <c r="J657" s="128"/>
      <c r="K657" s="128"/>
      <c r="L657" s="128"/>
      <c r="M657" s="128"/>
      <c r="N657" s="128"/>
      <c r="O657" s="140">
        <f t="shared" si="304"/>
        <v>2000000000</v>
      </c>
      <c r="P657" s="109">
        <v>2000000000</v>
      </c>
      <c r="Q657" s="108">
        <f t="shared" si="301"/>
        <v>0</v>
      </c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  <c r="BO657" s="109"/>
      <c r="BP657" s="109"/>
      <c r="BQ657" s="109"/>
      <c r="BR657" s="109"/>
      <c r="BS657" s="109"/>
      <c r="BT657" s="109"/>
      <c r="BU657" s="109"/>
      <c r="BV657" s="109"/>
    </row>
    <row r="658" spans="1:74" s="110" customFormat="1" ht="42.75" x14ac:dyDescent="0.2">
      <c r="A658" s="76" t="s">
        <v>1636</v>
      </c>
      <c r="B658" s="77" t="s">
        <v>1637</v>
      </c>
      <c r="C658" s="128"/>
      <c r="D658" s="128"/>
      <c r="E658" s="128"/>
      <c r="F658" s="128"/>
      <c r="G658" s="128">
        <v>250000000</v>
      </c>
      <c r="H658" s="128"/>
      <c r="I658" s="128"/>
      <c r="J658" s="128"/>
      <c r="K658" s="128"/>
      <c r="L658" s="128"/>
      <c r="M658" s="128"/>
      <c r="N658" s="128"/>
      <c r="O658" s="140">
        <f t="shared" si="304"/>
        <v>250000000</v>
      </c>
      <c r="P658" s="111">
        <v>250000000</v>
      </c>
      <c r="Q658" s="108">
        <f t="shared" si="301"/>
        <v>0</v>
      </c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  <c r="BO658" s="109"/>
      <c r="BP658" s="109"/>
      <c r="BQ658" s="109"/>
      <c r="BR658" s="109"/>
      <c r="BS658" s="109"/>
      <c r="BT658" s="109"/>
      <c r="BU658" s="109"/>
      <c r="BV658" s="109"/>
    </row>
    <row r="659" spans="1:74" s="110" customFormat="1" ht="42.75" x14ac:dyDescent="0.2">
      <c r="A659" s="76" t="s">
        <v>1638</v>
      </c>
      <c r="B659" s="77" t="s">
        <v>1639</v>
      </c>
      <c r="C659" s="128"/>
      <c r="D659" s="128"/>
      <c r="E659" s="128"/>
      <c r="F659" s="128"/>
      <c r="G659" s="128">
        <v>400000000</v>
      </c>
      <c r="H659" s="128"/>
      <c r="I659" s="128"/>
      <c r="J659" s="128"/>
      <c r="K659" s="128"/>
      <c r="L659" s="128"/>
      <c r="M659" s="128"/>
      <c r="N659" s="128"/>
      <c r="O659" s="140">
        <f t="shared" si="304"/>
        <v>400000000</v>
      </c>
      <c r="P659" s="109">
        <v>400000000</v>
      </c>
      <c r="Q659" s="108">
        <f t="shared" si="301"/>
        <v>0</v>
      </c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  <c r="BO659" s="109"/>
      <c r="BP659" s="109"/>
      <c r="BQ659" s="109"/>
      <c r="BR659" s="109"/>
      <c r="BS659" s="109"/>
      <c r="BT659" s="109"/>
      <c r="BU659" s="109"/>
      <c r="BV659" s="109"/>
    </row>
    <row r="660" spans="1:74" s="110" customFormat="1" ht="42.75" x14ac:dyDescent="0.2">
      <c r="A660" s="76" t="s">
        <v>1640</v>
      </c>
      <c r="B660" s="77" t="s">
        <v>1639</v>
      </c>
      <c r="C660" s="128"/>
      <c r="D660" s="128"/>
      <c r="E660" s="128"/>
      <c r="F660" s="128"/>
      <c r="G660" s="128">
        <v>100126032</v>
      </c>
      <c r="H660" s="128"/>
      <c r="I660" s="128"/>
      <c r="J660" s="128"/>
      <c r="K660" s="128"/>
      <c r="L660" s="128"/>
      <c r="M660" s="128"/>
      <c r="N660" s="128"/>
      <c r="O660" s="140">
        <f t="shared" si="304"/>
        <v>100126032</v>
      </c>
      <c r="P660" s="111">
        <v>100126032</v>
      </c>
      <c r="Q660" s="108">
        <f t="shared" si="301"/>
        <v>0</v>
      </c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  <c r="BO660" s="109"/>
      <c r="BP660" s="109"/>
      <c r="BQ660" s="109"/>
      <c r="BR660" s="109"/>
      <c r="BS660" s="109"/>
      <c r="BT660" s="109"/>
      <c r="BU660" s="109"/>
      <c r="BV660" s="109"/>
    </row>
    <row r="661" spans="1:74" s="112" customFormat="1" ht="90" x14ac:dyDescent="0.2">
      <c r="A661" s="81" t="s">
        <v>1641</v>
      </c>
      <c r="B661" s="194" t="s">
        <v>1642</v>
      </c>
      <c r="C661" s="78">
        <f>SUM(C662:C666)</f>
        <v>0</v>
      </c>
      <c r="D661" s="78">
        <f t="shared" ref="D661:N661" si="310">SUM(D662:D666)</f>
        <v>0</v>
      </c>
      <c r="E661" s="78">
        <f t="shared" si="310"/>
        <v>0</v>
      </c>
      <c r="F661" s="78">
        <f t="shared" si="310"/>
        <v>0</v>
      </c>
      <c r="G661" s="78">
        <f t="shared" si="310"/>
        <v>2150000000</v>
      </c>
      <c r="H661" s="78">
        <f t="shared" si="310"/>
        <v>0</v>
      </c>
      <c r="I661" s="78">
        <f t="shared" si="310"/>
        <v>0</v>
      </c>
      <c r="J661" s="78">
        <f t="shared" si="310"/>
        <v>0</v>
      </c>
      <c r="K661" s="78">
        <f t="shared" si="310"/>
        <v>0</v>
      </c>
      <c r="L661" s="78">
        <f t="shared" si="310"/>
        <v>0</v>
      </c>
      <c r="M661" s="78">
        <f t="shared" si="310"/>
        <v>0</v>
      </c>
      <c r="N661" s="78">
        <f t="shared" si="310"/>
        <v>0</v>
      </c>
      <c r="O661" s="309">
        <f t="shared" si="304"/>
        <v>2150000000</v>
      </c>
      <c r="P661" s="109">
        <v>2150000000</v>
      </c>
      <c r="Q661" s="108">
        <f t="shared" si="301"/>
        <v>0</v>
      </c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  <c r="AN661" s="111"/>
      <c r="AO661" s="111"/>
      <c r="AP661" s="111"/>
      <c r="AQ661" s="111"/>
      <c r="AR661" s="111"/>
      <c r="AS661" s="111"/>
      <c r="AT661" s="111"/>
      <c r="AU661" s="111"/>
      <c r="AV661" s="111"/>
      <c r="AW661" s="111"/>
      <c r="AX661" s="111"/>
      <c r="AY661" s="111"/>
      <c r="AZ661" s="111"/>
      <c r="BA661" s="111"/>
      <c r="BB661" s="111"/>
      <c r="BC661" s="111"/>
      <c r="BD661" s="111"/>
      <c r="BE661" s="111"/>
      <c r="BF661" s="111"/>
      <c r="BG661" s="111"/>
      <c r="BH661" s="111"/>
      <c r="BI661" s="111"/>
      <c r="BJ661" s="111"/>
      <c r="BK661" s="111"/>
      <c r="BL661" s="111"/>
      <c r="BM661" s="111"/>
      <c r="BN661" s="111"/>
      <c r="BO661" s="111"/>
      <c r="BP661" s="111"/>
      <c r="BQ661" s="111"/>
      <c r="BR661" s="111"/>
      <c r="BS661" s="111"/>
      <c r="BT661" s="111"/>
      <c r="BU661" s="111"/>
      <c r="BV661" s="111"/>
    </row>
    <row r="662" spans="1:74" s="110" customFormat="1" ht="42.75" x14ac:dyDescent="0.2">
      <c r="A662" s="76" t="s">
        <v>1643</v>
      </c>
      <c r="B662" s="77" t="s">
        <v>1644</v>
      </c>
      <c r="C662" s="128"/>
      <c r="D662" s="128"/>
      <c r="E662" s="128"/>
      <c r="F662" s="128"/>
      <c r="G662" s="128">
        <v>900000000</v>
      </c>
      <c r="H662" s="128"/>
      <c r="I662" s="128"/>
      <c r="J662" s="128"/>
      <c r="K662" s="128"/>
      <c r="L662" s="128"/>
      <c r="M662" s="128"/>
      <c r="N662" s="128"/>
      <c r="O662" s="140">
        <f t="shared" si="304"/>
        <v>900000000</v>
      </c>
      <c r="P662" s="111">
        <v>900000000</v>
      </c>
      <c r="Q662" s="108">
        <f t="shared" si="301"/>
        <v>0</v>
      </c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  <c r="BO662" s="109"/>
      <c r="BP662" s="109"/>
      <c r="BQ662" s="109"/>
      <c r="BR662" s="109"/>
      <c r="BS662" s="109"/>
      <c r="BT662" s="109"/>
      <c r="BU662" s="109"/>
      <c r="BV662" s="109"/>
    </row>
    <row r="663" spans="1:74" s="110" customFormat="1" ht="42.75" x14ac:dyDescent="0.2">
      <c r="A663" s="76" t="s">
        <v>1645</v>
      </c>
      <c r="B663" s="77" t="s">
        <v>1646</v>
      </c>
      <c r="C663" s="128"/>
      <c r="D663" s="128"/>
      <c r="E663" s="128"/>
      <c r="F663" s="128"/>
      <c r="G663" s="128">
        <v>250000000</v>
      </c>
      <c r="H663" s="128"/>
      <c r="I663" s="128"/>
      <c r="J663" s="128"/>
      <c r="K663" s="128"/>
      <c r="L663" s="128"/>
      <c r="M663" s="128"/>
      <c r="N663" s="128"/>
      <c r="O663" s="140">
        <f t="shared" si="304"/>
        <v>250000000</v>
      </c>
      <c r="P663" s="109">
        <v>250000000</v>
      </c>
      <c r="Q663" s="108">
        <f t="shared" ref="Q663:Q726" si="311">+P663-O663</f>
        <v>0</v>
      </c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  <c r="BO663" s="109"/>
      <c r="BP663" s="109"/>
      <c r="BQ663" s="109"/>
      <c r="BR663" s="109"/>
      <c r="BS663" s="109"/>
      <c r="BT663" s="109"/>
      <c r="BU663" s="109"/>
      <c r="BV663" s="109"/>
    </row>
    <row r="664" spans="1:74" s="110" customFormat="1" ht="42.75" x14ac:dyDescent="0.2">
      <c r="A664" s="76" t="s">
        <v>1647</v>
      </c>
      <c r="B664" s="77" t="s">
        <v>1648</v>
      </c>
      <c r="C664" s="128"/>
      <c r="D664" s="128"/>
      <c r="E664" s="128"/>
      <c r="F664" s="128"/>
      <c r="G664" s="128">
        <v>280000000</v>
      </c>
      <c r="H664" s="128"/>
      <c r="I664" s="128"/>
      <c r="J664" s="128"/>
      <c r="K664" s="128"/>
      <c r="L664" s="128"/>
      <c r="M664" s="128"/>
      <c r="N664" s="128"/>
      <c r="O664" s="140">
        <f t="shared" si="304"/>
        <v>280000000</v>
      </c>
      <c r="P664" s="111">
        <v>280000000</v>
      </c>
      <c r="Q664" s="108">
        <f t="shared" si="311"/>
        <v>0</v>
      </c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  <c r="BO664" s="109"/>
      <c r="BP664" s="109"/>
      <c r="BQ664" s="109"/>
      <c r="BR664" s="109"/>
      <c r="BS664" s="109"/>
      <c r="BT664" s="109"/>
      <c r="BU664" s="109"/>
      <c r="BV664" s="109"/>
    </row>
    <row r="665" spans="1:74" s="110" customFormat="1" ht="28.5" x14ac:dyDescent="0.2">
      <c r="A665" s="76" t="s">
        <v>1649</v>
      </c>
      <c r="B665" s="77" t="s">
        <v>1650</v>
      </c>
      <c r="C665" s="128"/>
      <c r="D665" s="128"/>
      <c r="E665" s="128"/>
      <c r="F665" s="128"/>
      <c r="G665" s="128">
        <v>220000000</v>
      </c>
      <c r="H665" s="128"/>
      <c r="I665" s="128"/>
      <c r="J665" s="128"/>
      <c r="K665" s="128"/>
      <c r="L665" s="128"/>
      <c r="M665" s="128"/>
      <c r="N665" s="128"/>
      <c r="O665" s="140">
        <f t="shared" si="304"/>
        <v>220000000</v>
      </c>
      <c r="P665" s="111">
        <v>220000000</v>
      </c>
      <c r="Q665" s="108">
        <f t="shared" si="311"/>
        <v>0</v>
      </c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  <c r="BO665" s="109"/>
      <c r="BP665" s="109"/>
      <c r="BQ665" s="109"/>
      <c r="BR665" s="109"/>
      <c r="BS665" s="109"/>
      <c r="BT665" s="109"/>
      <c r="BU665" s="109"/>
      <c r="BV665" s="109"/>
    </row>
    <row r="666" spans="1:74" s="110" customFormat="1" ht="42.75" x14ac:dyDescent="0.2">
      <c r="A666" s="76" t="s">
        <v>1651</v>
      </c>
      <c r="B666" s="77" t="s">
        <v>1652</v>
      </c>
      <c r="C666" s="128"/>
      <c r="D666" s="128"/>
      <c r="E666" s="128"/>
      <c r="F666" s="128"/>
      <c r="G666" s="128">
        <v>500000000</v>
      </c>
      <c r="H666" s="128"/>
      <c r="I666" s="128"/>
      <c r="J666" s="128"/>
      <c r="K666" s="128"/>
      <c r="L666" s="128"/>
      <c r="M666" s="128"/>
      <c r="N666" s="128"/>
      <c r="O666" s="140">
        <f t="shared" si="304"/>
        <v>500000000</v>
      </c>
      <c r="P666" s="109">
        <v>500000000</v>
      </c>
      <c r="Q666" s="108">
        <f t="shared" si="311"/>
        <v>0</v>
      </c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  <c r="BO666" s="109"/>
      <c r="BP666" s="109"/>
      <c r="BQ666" s="109"/>
      <c r="BR666" s="109"/>
      <c r="BS666" s="109"/>
      <c r="BT666" s="109"/>
      <c r="BU666" s="109"/>
      <c r="BV666" s="109"/>
    </row>
    <row r="667" spans="1:74" s="112" customFormat="1" ht="15.75" x14ac:dyDescent="0.2">
      <c r="A667" s="81" t="s">
        <v>1653</v>
      </c>
      <c r="B667" s="79" t="s">
        <v>1654</v>
      </c>
      <c r="C667" s="78">
        <f>+C668</f>
        <v>0</v>
      </c>
      <c r="D667" s="78">
        <f t="shared" ref="D667:N670" si="312">+D668</f>
        <v>0</v>
      </c>
      <c r="E667" s="78">
        <f t="shared" si="312"/>
        <v>0</v>
      </c>
      <c r="F667" s="78">
        <f t="shared" si="312"/>
        <v>0</v>
      </c>
      <c r="G667" s="78">
        <f t="shared" si="312"/>
        <v>137470491076.75</v>
      </c>
      <c r="H667" s="78">
        <f t="shared" si="312"/>
        <v>0</v>
      </c>
      <c r="I667" s="78">
        <f t="shared" si="312"/>
        <v>0</v>
      </c>
      <c r="J667" s="78">
        <f t="shared" si="312"/>
        <v>0</v>
      </c>
      <c r="K667" s="78">
        <f t="shared" si="312"/>
        <v>0</v>
      </c>
      <c r="L667" s="78">
        <f t="shared" si="312"/>
        <v>0</v>
      </c>
      <c r="M667" s="78">
        <f t="shared" si="312"/>
        <v>0</v>
      </c>
      <c r="N667" s="78">
        <f t="shared" si="312"/>
        <v>0</v>
      </c>
      <c r="O667" s="309">
        <f t="shared" si="304"/>
        <v>137470491076.75</v>
      </c>
      <c r="P667" s="109">
        <v>137470491076.75</v>
      </c>
      <c r="Q667" s="108">
        <f t="shared" si="311"/>
        <v>0</v>
      </c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  <c r="AN667" s="111"/>
      <c r="AO667" s="111"/>
      <c r="AP667" s="111"/>
      <c r="AQ667" s="111"/>
      <c r="AR667" s="111"/>
      <c r="AS667" s="111"/>
      <c r="AT667" s="111"/>
      <c r="AU667" s="111"/>
      <c r="AV667" s="111"/>
      <c r="AW667" s="111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11"/>
      <c r="BH667" s="111"/>
      <c r="BI667" s="111"/>
      <c r="BJ667" s="111"/>
      <c r="BK667" s="111"/>
      <c r="BL667" s="111"/>
      <c r="BM667" s="111"/>
      <c r="BN667" s="111"/>
      <c r="BO667" s="111"/>
      <c r="BP667" s="111"/>
      <c r="BQ667" s="111"/>
      <c r="BR667" s="111"/>
      <c r="BS667" s="111"/>
      <c r="BT667" s="111"/>
      <c r="BU667" s="111"/>
      <c r="BV667" s="111"/>
    </row>
    <row r="668" spans="1:74" s="112" customFormat="1" ht="15.75" x14ac:dyDescent="0.2">
      <c r="A668" s="81" t="s">
        <v>1655</v>
      </c>
      <c r="B668" s="79" t="s">
        <v>1164</v>
      </c>
      <c r="C668" s="78">
        <f>+C669</f>
        <v>0</v>
      </c>
      <c r="D668" s="78">
        <f t="shared" si="312"/>
        <v>0</v>
      </c>
      <c r="E668" s="78">
        <f t="shared" si="312"/>
        <v>0</v>
      </c>
      <c r="F668" s="78">
        <f t="shared" si="312"/>
        <v>0</v>
      </c>
      <c r="G668" s="78">
        <f t="shared" si="312"/>
        <v>137470491076.75</v>
      </c>
      <c r="H668" s="78">
        <f t="shared" si="312"/>
        <v>0</v>
      </c>
      <c r="I668" s="78">
        <f t="shared" si="312"/>
        <v>0</v>
      </c>
      <c r="J668" s="78">
        <f t="shared" si="312"/>
        <v>0</v>
      </c>
      <c r="K668" s="78">
        <f t="shared" si="312"/>
        <v>0</v>
      </c>
      <c r="L668" s="78">
        <f t="shared" si="312"/>
        <v>0</v>
      </c>
      <c r="M668" s="78">
        <f t="shared" si="312"/>
        <v>0</v>
      </c>
      <c r="N668" s="78">
        <f t="shared" si="312"/>
        <v>0</v>
      </c>
      <c r="O668" s="309">
        <f t="shared" si="304"/>
        <v>137470491076.75</v>
      </c>
      <c r="P668" s="111">
        <v>137470491076.75</v>
      </c>
      <c r="Q668" s="108">
        <f t="shared" si="311"/>
        <v>0</v>
      </c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111"/>
      <c r="AI668" s="111"/>
      <c r="AJ668" s="111"/>
      <c r="AK668" s="111"/>
      <c r="AL668" s="111"/>
      <c r="AM668" s="111"/>
      <c r="AN668" s="111"/>
      <c r="AO668" s="111"/>
      <c r="AP668" s="111"/>
      <c r="AQ668" s="111"/>
      <c r="AR668" s="111"/>
      <c r="AS668" s="111"/>
      <c r="AT668" s="111"/>
      <c r="AU668" s="111"/>
      <c r="AV668" s="111"/>
      <c r="AW668" s="111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11"/>
      <c r="BH668" s="111"/>
      <c r="BI668" s="111"/>
      <c r="BJ668" s="111"/>
      <c r="BK668" s="111"/>
      <c r="BL668" s="111"/>
      <c r="BM668" s="111"/>
      <c r="BN668" s="111"/>
      <c r="BO668" s="111"/>
      <c r="BP668" s="111"/>
      <c r="BQ668" s="111"/>
      <c r="BR668" s="111"/>
      <c r="BS668" s="111"/>
      <c r="BT668" s="111"/>
      <c r="BU668" s="111"/>
      <c r="BV668" s="111"/>
    </row>
    <row r="669" spans="1:74" s="112" customFormat="1" ht="15.75" x14ac:dyDescent="0.2">
      <c r="A669" s="81" t="s">
        <v>1656</v>
      </c>
      <c r="B669" s="79" t="s">
        <v>1657</v>
      </c>
      <c r="C669" s="78">
        <f>+C670</f>
        <v>0</v>
      </c>
      <c r="D669" s="78">
        <f t="shared" si="312"/>
        <v>0</v>
      </c>
      <c r="E669" s="78">
        <f t="shared" si="312"/>
        <v>0</v>
      </c>
      <c r="F669" s="78">
        <f t="shared" si="312"/>
        <v>0</v>
      </c>
      <c r="G669" s="78">
        <f t="shared" si="312"/>
        <v>137470491076.75</v>
      </c>
      <c r="H669" s="78">
        <f t="shared" si="312"/>
        <v>0</v>
      </c>
      <c r="I669" s="78">
        <f t="shared" si="312"/>
        <v>0</v>
      </c>
      <c r="J669" s="78">
        <f t="shared" si="312"/>
        <v>0</v>
      </c>
      <c r="K669" s="78">
        <f t="shared" si="312"/>
        <v>0</v>
      </c>
      <c r="L669" s="78">
        <f t="shared" si="312"/>
        <v>0</v>
      </c>
      <c r="M669" s="78">
        <f t="shared" si="312"/>
        <v>0</v>
      </c>
      <c r="N669" s="78">
        <f t="shared" si="312"/>
        <v>0</v>
      </c>
      <c r="O669" s="309">
        <f t="shared" si="304"/>
        <v>137470491076.75</v>
      </c>
      <c r="P669" s="109">
        <v>137470491076.75</v>
      </c>
      <c r="Q669" s="108">
        <f t="shared" si="311"/>
        <v>0</v>
      </c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1"/>
      <c r="AM669" s="111"/>
      <c r="AN669" s="111"/>
      <c r="AO669" s="111"/>
      <c r="AP669" s="111"/>
      <c r="AQ669" s="111"/>
      <c r="AR669" s="111"/>
      <c r="AS669" s="111"/>
      <c r="AT669" s="111"/>
      <c r="AU669" s="111"/>
      <c r="AV669" s="111"/>
      <c r="AW669" s="111"/>
      <c r="AX669" s="111"/>
      <c r="AY669" s="111"/>
      <c r="AZ669" s="111"/>
      <c r="BA669" s="111"/>
      <c r="BB669" s="111"/>
      <c r="BC669" s="111"/>
      <c r="BD669" s="111"/>
      <c r="BE669" s="111"/>
      <c r="BF669" s="111"/>
      <c r="BG669" s="111"/>
      <c r="BH669" s="111"/>
      <c r="BI669" s="111"/>
      <c r="BJ669" s="111"/>
      <c r="BK669" s="111"/>
      <c r="BL669" s="111"/>
      <c r="BM669" s="111"/>
      <c r="BN669" s="111"/>
      <c r="BO669" s="111"/>
      <c r="BP669" s="111"/>
      <c r="BQ669" s="111"/>
      <c r="BR669" s="111"/>
      <c r="BS669" s="111"/>
      <c r="BT669" s="111"/>
      <c r="BU669" s="111"/>
      <c r="BV669" s="111"/>
    </row>
    <row r="670" spans="1:74" s="112" customFormat="1" ht="15.75" x14ac:dyDescent="0.2">
      <c r="A670" s="81" t="s">
        <v>1658</v>
      </c>
      <c r="B670" s="79" t="s">
        <v>1659</v>
      </c>
      <c r="C670" s="78">
        <f>+C671</f>
        <v>0</v>
      </c>
      <c r="D670" s="78">
        <f t="shared" si="312"/>
        <v>0</v>
      </c>
      <c r="E670" s="78">
        <f t="shared" si="312"/>
        <v>0</v>
      </c>
      <c r="F670" s="78">
        <f t="shared" si="312"/>
        <v>0</v>
      </c>
      <c r="G670" s="78">
        <f t="shared" si="312"/>
        <v>137470491076.75</v>
      </c>
      <c r="H670" s="78">
        <f t="shared" si="312"/>
        <v>0</v>
      </c>
      <c r="I670" s="78">
        <f t="shared" si="312"/>
        <v>0</v>
      </c>
      <c r="J670" s="78">
        <f t="shared" si="312"/>
        <v>0</v>
      </c>
      <c r="K670" s="78">
        <f t="shared" si="312"/>
        <v>0</v>
      </c>
      <c r="L670" s="78">
        <f t="shared" si="312"/>
        <v>0</v>
      </c>
      <c r="M670" s="78">
        <f t="shared" si="312"/>
        <v>0</v>
      </c>
      <c r="N670" s="78">
        <f t="shared" si="312"/>
        <v>0</v>
      </c>
      <c r="O670" s="309">
        <f t="shared" si="304"/>
        <v>137470491076.75</v>
      </c>
      <c r="P670" s="111">
        <v>137470491076.75</v>
      </c>
      <c r="Q670" s="108">
        <f t="shared" si="311"/>
        <v>0</v>
      </c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1"/>
      <c r="AM670" s="111"/>
      <c r="AN670" s="111"/>
      <c r="AO670" s="111"/>
      <c r="AP670" s="111"/>
      <c r="AQ670" s="111"/>
      <c r="AR670" s="111"/>
      <c r="AS670" s="111"/>
      <c r="AT670" s="111"/>
      <c r="AU670" s="111"/>
      <c r="AV670" s="111"/>
      <c r="AW670" s="111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11"/>
      <c r="BH670" s="111"/>
      <c r="BI670" s="111"/>
      <c r="BJ670" s="111"/>
      <c r="BK670" s="111"/>
      <c r="BL670" s="111"/>
      <c r="BM670" s="111"/>
      <c r="BN670" s="111"/>
      <c r="BO670" s="111"/>
      <c r="BP670" s="111"/>
      <c r="BQ670" s="111"/>
      <c r="BR670" s="111"/>
      <c r="BS670" s="111"/>
      <c r="BT670" s="111"/>
      <c r="BU670" s="111"/>
      <c r="BV670" s="111"/>
    </row>
    <row r="671" spans="1:74" s="112" customFormat="1" ht="31.5" x14ac:dyDescent="0.2">
      <c r="A671" s="81" t="s">
        <v>1660</v>
      </c>
      <c r="B671" s="79" t="s">
        <v>1661</v>
      </c>
      <c r="C671" s="78">
        <f>+C672+C677+C679+C681+C683+C685+C687+C689+C691+C693+C701+C706+C717+C719</f>
        <v>0</v>
      </c>
      <c r="D671" s="78">
        <f t="shared" ref="D671:N671" si="313">+D672+D677+D679+D681+D683+D685+D687+D689+D691+D693+D701+D706+D717+D719</f>
        <v>0</v>
      </c>
      <c r="E671" s="78">
        <f t="shared" si="313"/>
        <v>0</v>
      </c>
      <c r="F671" s="78">
        <f t="shared" si="313"/>
        <v>0</v>
      </c>
      <c r="G671" s="78">
        <f t="shared" si="313"/>
        <v>137470491076.75</v>
      </c>
      <c r="H671" s="78">
        <f t="shared" si="313"/>
        <v>0</v>
      </c>
      <c r="I671" s="78">
        <f t="shared" si="313"/>
        <v>0</v>
      </c>
      <c r="J671" s="78">
        <f t="shared" si="313"/>
        <v>0</v>
      </c>
      <c r="K671" s="78">
        <f t="shared" si="313"/>
        <v>0</v>
      </c>
      <c r="L671" s="78">
        <f t="shared" si="313"/>
        <v>0</v>
      </c>
      <c r="M671" s="78">
        <f t="shared" si="313"/>
        <v>0</v>
      </c>
      <c r="N671" s="78">
        <f t="shared" si="313"/>
        <v>0</v>
      </c>
      <c r="O671" s="309">
        <f t="shared" si="304"/>
        <v>137470491076.75</v>
      </c>
      <c r="P671" s="109">
        <v>137470491076.75</v>
      </c>
      <c r="Q671" s="108">
        <f t="shared" si="311"/>
        <v>0</v>
      </c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1"/>
      <c r="AM671" s="111"/>
      <c r="AN671" s="111"/>
      <c r="AO671" s="111"/>
      <c r="AP671" s="111"/>
      <c r="AQ671" s="111"/>
      <c r="AR671" s="111"/>
      <c r="AS671" s="111"/>
      <c r="AT671" s="111"/>
      <c r="AU671" s="111"/>
      <c r="AV671" s="111"/>
      <c r="AW671" s="111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11"/>
      <c r="BH671" s="111"/>
      <c r="BI671" s="111"/>
      <c r="BJ671" s="111"/>
      <c r="BK671" s="111"/>
      <c r="BL671" s="111"/>
      <c r="BM671" s="111"/>
      <c r="BN671" s="111"/>
      <c r="BO671" s="111"/>
      <c r="BP671" s="111"/>
      <c r="BQ671" s="111"/>
      <c r="BR671" s="111"/>
      <c r="BS671" s="111"/>
      <c r="BT671" s="111"/>
      <c r="BU671" s="111"/>
      <c r="BV671" s="111"/>
    </row>
    <row r="672" spans="1:74" s="115" customFormat="1" ht="40.5" customHeight="1" x14ac:dyDescent="0.2">
      <c r="A672" s="318" t="s">
        <v>1662</v>
      </c>
      <c r="B672" s="365" t="s">
        <v>1663</v>
      </c>
      <c r="C672" s="366">
        <f>+C673</f>
        <v>0</v>
      </c>
      <c r="D672" s="366">
        <f t="shared" ref="D672:N672" si="314">+D673</f>
        <v>0</v>
      </c>
      <c r="E672" s="366">
        <f t="shared" si="314"/>
        <v>0</v>
      </c>
      <c r="F672" s="366">
        <f t="shared" si="314"/>
        <v>0</v>
      </c>
      <c r="G672" s="366">
        <f t="shared" si="314"/>
        <v>9474523795.8700008</v>
      </c>
      <c r="H672" s="366">
        <f t="shared" si="314"/>
        <v>0</v>
      </c>
      <c r="I672" s="366">
        <f t="shared" si="314"/>
        <v>0</v>
      </c>
      <c r="J672" s="366">
        <f t="shared" si="314"/>
        <v>0</v>
      </c>
      <c r="K672" s="366">
        <f t="shared" si="314"/>
        <v>0</v>
      </c>
      <c r="L672" s="366">
        <f t="shared" si="314"/>
        <v>0</v>
      </c>
      <c r="M672" s="366">
        <f t="shared" si="314"/>
        <v>0</v>
      </c>
      <c r="N672" s="366">
        <f t="shared" si="314"/>
        <v>0</v>
      </c>
      <c r="O672" s="324">
        <f t="shared" si="304"/>
        <v>9474523795.8700008</v>
      </c>
      <c r="P672" s="114">
        <v>45830116282.699997</v>
      </c>
      <c r="Q672" s="325">
        <f t="shared" si="311"/>
        <v>36355592486.829994</v>
      </c>
      <c r="R672" s="114">
        <f>+O673+O677</f>
        <v>45525388081.600006</v>
      </c>
      <c r="S672" s="114">
        <f>+R672-P672</f>
        <v>-304728201.09999084</v>
      </c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14"/>
      <c r="AU672" s="114"/>
      <c r="AV672" s="114"/>
      <c r="AW672" s="114"/>
      <c r="AX672" s="114"/>
      <c r="AY672" s="114"/>
      <c r="AZ672" s="114"/>
      <c r="BA672" s="114"/>
      <c r="BB672" s="114"/>
      <c r="BC672" s="114"/>
      <c r="BD672" s="114"/>
      <c r="BE672" s="114"/>
      <c r="BF672" s="114"/>
      <c r="BG672" s="114"/>
      <c r="BH672" s="114"/>
      <c r="BI672" s="114"/>
      <c r="BJ672" s="114"/>
      <c r="BK672" s="114"/>
      <c r="BL672" s="114"/>
      <c r="BM672" s="114"/>
      <c r="BN672" s="114"/>
      <c r="BO672" s="114"/>
      <c r="BP672" s="114"/>
      <c r="BQ672" s="114"/>
      <c r="BR672" s="114"/>
      <c r="BS672" s="114"/>
      <c r="BT672" s="114"/>
      <c r="BU672" s="114"/>
      <c r="BV672" s="114"/>
    </row>
    <row r="673" spans="1:74" s="112" customFormat="1" ht="83.25" customHeight="1" x14ac:dyDescent="0.2">
      <c r="A673" s="81" t="s">
        <v>1664</v>
      </c>
      <c r="B673" s="79" t="s">
        <v>1665</v>
      </c>
      <c r="C673" s="78">
        <f>SUM(C674:C676)</f>
        <v>0</v>
      </c>
      <c r="D673" s="78">
        <f t="shared" ref="D673:N673" si="315">SUM(D674:D676)</f>
        <v>0</v>
      </c>
      <c r="E673" s="78">
        <f t="shared" si="315"/>
        <v>0</v>
      </c>
      <c r="F673" s="78">
        <f t="shared" si="315"/>
        <v>0</v>
      </c>
      <c r="G673" s="78">
        <f t="shared" si="315"/>
        <v>9474523795.8700008</v>
      </c>
      <c r="H673" s="78">
        <f t="shared" si="315"/>
        <v>0</v>
      </c>
      <c r="I673" s="78">
        <f t="shared" si="315"/>
        <v>0</v>
      </c>
      <c r="J673" s="78">
        <f t="shared" si="315"/>
        <v>0</v>
      </c>
      <c r="K673" s="78">
        <f t="shared" si="315"/>
        <v>0</v>
      </c>
      <c r="L673" s="78">
        <f t="shared" si="315"/>
        <v>0</v>
      </c>
      <c r="M673" s="78">
        <f t="shared" si="315"/>
        <v>0</v>
      </c>
      <c r="N673" s="78">
        <f t="shared" si="315"/>
        <v>0</v>
      </c>
      <c r="O673" s="309">
        <f t="shared" si="304"/>
        <v>9474523795.8700008</v>
      </c>
      <c r="P673" s="109">
        <v>9474523795.8700008</v>
      </c>
      <c r="Q673" s="108">
        <f t="shared" si="311"/>
        <v>0</v>
      </c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111"/>
      <c r="AI673" s="111"/>
      <c r="AJ673" s="111"/>
      <c r="AK673" s="111"/>
      <c r="AL673" s="111"/>
      <c r="AM673" s="111"/>
      <c r="AN673" s="111"/>
      <c r="AO673" s="111"/>
      <c r="AP673" s="111"/>
      <c r="AQ673" s="111"/>
      <c r="AR673" s="111"/>
      <c r="AS673" s="111"/>
      <c r="AT673" s="111"/>
      <c r="AU673" s="111"/>
      <c r="AV673" s="111"/>
      <c r="AW673" s="111"/>
      <c r="AX673" s="111"/>
      <c r="AY673" s="111"/>
      <c r="AZ673" s="111"/>
      <c r="BA673" s="111"/>
      <c r="BB673" s="111"/>
      <c r="BC673" s="111"/>
      <c r="BD673" s="111"/>
      <c r="BE673" s="111"/>
      <c r="BF673" s="111"/>
      <c r="BG673" s="111"/>
      <c r="BH673" s="111"/>
      <c r="BI673" s="111"/>
      <c r="BJ673" s="111"/>
      <c r="BK673" s="111"/>
      <c r="BL673" s="111"/>
      <c r="BM673" s="111"/>
      <c r="BN673" s="111"/>
      <c r="BO673" s="111"/>
      <c r="BP673" s="111"/>
      <c r="BQ673" s="111"/>
      <c r="BR673" s="111"/>
      <c r="BS673" s="111"/>
      <c r="BT673" s="111"/>
      <c r="BU673" s="111"/>
      <c r="BV673" s="111"/>
    </row>
    <row r="674" spans="1:74" s="110" customFormat="1" ht="14.25" x14ac:dyDescent="0.2">
      <c r="A674" s="76" t="s">
        <v>1666</v>
      </c>
      <c r="B674" s="77" t="s">
        <v>1667</v>
      </c>
      <c r="C674" s="128"/>
      <c r="D674" s="128"/>
      <c r="E674" s="128"/>
      <c r="F674" s="128"/>
      <c r="G674" s="128">
        <v>9462323795.8700008</v>
      </c>
      <c r="H674" s="128"/>
      <c r="I674" s="128"/>
      <c r="J674" s="128"/>
      <c r="K674" s="128"/>
      <c r="L674" s="128"/>
      <c r="M674" s="128"/>
      <c r="N674" s="128"/>
      <c r="O674" s="140">
        <f t="shared" si="304"/>
        <v>9462323795.8700008</v>
      </c>
      <c r="P674" s="109">
        <v>9462323795.8700008</v>
      </c>
      <c r="Q674" s="108">
        <f t="shared" si="311"/>
        <v>0</v>
      </c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  <c r="BO674" s="109"/>
      <c r="BP674" s="109"/>
      <c r="BQ674" s="109"/>
      <c r="BR674" s="109"/>
      <c r="BS674" s="109"/>
      <c r="BT674" s="109"/>
      <c r="BU674" s="109"/>
      <c r="BV674" s="109"/>
    </row>
    <row r="675" spans="1:74" s="110" customFormat="1" ht="14.25" x14ac:dyDescent="0.2">
      <c r="A675" s="76" t="s">
        <v>1668</v>
      </c>
      <c r="B675" s="77" t="s">
        <v>1669</v>
      </c>
      <c r="C675" s="128"/>
      <c r="D675" s="128"/>
      <c r="E675" s="128"/>
      <c r="F675" s="128"/>
      <c r="G675" s="128">
        <v>9500000</v>
      </c>
      <c r="H675" s="128"/>
      <c r="I675" s="128"/>
      <c r="J675" s="128"/>
      <c r="K675" s="128"/>
      <c r="L675" s="128"/>
      <c r="M675" s="128"/>
      <c r="N675" s="128"/>
      <c r="O675" s="140">
        <f t="shared" si="304"/>
        <v>9500000</v>
      </c>
      <c r="P675" s="109">
        <v>9500000</v>
      </c>
      <c r="Q675" s="108">
        <f t="shared" si="311"/>
        <v>0</v>
      </c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  <c r="BO675" s="109"/>
      <c r="BP675" s="109"/>
      <c r="BQ675" s="109"/>
      <c r="BR675" s="109"/>
      <c r="BS675" s="109"/>
      <c r="BT675" s="109"/>
      <c r="BU675" s="109"/>
      <c r="BV675" s="109"/>
    </row>
    <row r="676" spans="1:74" s="110" customFormat="1" ht="14.25" x14ac:dyDescent="0.2">
      <c r="A676" s="76" t="s">
        <v>1670</v>
      </c>
      <c r="B676" s="77" t="s">
        <v>1671</v>
      </c>
      <c r="C676" s="128"/>
      <c r="D676" s="128"/>
      <c r="E676" s="128"/>
      <c r="F676" s="128"/>
      <c r="G676" s="128">
        <v>2700000</v>
      </c>
      <c r="H676" s="128"/>
      <c r="I676" s="128"/>
      <c r="J676" s="128"/>
      <c r="K676" s="128"/>
      <c r="L676" s="128"/>
      <c r="M676" s="128"/>
      <c r="N676" s="128"/>
      <c r="O676" s="140">
        <f t="shared" si="304"/>
        <v>2700000</v>
      </c>
      <c r="P676" s="109">
        <v>2700000</v>
      </c>
      <c r="Q676" s="108">
        <f t="shared" si="311"/>
        <v>0</v>
      </c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  <c r="BO676" s="109"/>
      <c r="BP676" s="109"/>
      <c r="BQ676" s="109"/>
      <c r="BR676" s="109"/>
      <c r="BS676" s="109"/>
      <c r="BT676" s="109"/>
      <c r="BU676" s="109"/>
      <c r="BV676" s="109"/>
    </row>
    <row r="677" spans="1:74" s="112" customFormat="1" ht="31.5" x14ac:dyDescent="0.2">
      <c r="A677" s="81" t="s">
        <v>1672</v>
      </c>
      <c r="B677" s="79" t="s">
        <v>1673</v>
      </c>
      <c r="C677" s="78">
        <f>+C678</f>
        <v>0</v>
      </c>
      <c r="D677" s="78">
        <f t="shared" ref="D677:N677" si="316">+D678</f>
        <v>0</v>
      </c>
      <c r="E677" s="78">
        <f t="shared" si="316"/>
        <v>0</v>
      </c>
      <c r="F677" s="78">
        <f t="shared" si="316"/>
        <v>0</v>
      </c>
      <c r="G677" s="78">
        <f t="shared" si="316"/>
        <v>36050864285.730003</v>
      </c>
      <c r="H677" s="78">
        <f t="shared" si="316"/>
        <v>0</v>
      </c>
      <c r="I677" s="78">
        <f t="shared" si="316"/>
        <v>0</v>
      </c>
      <c r="J677" s="78">
        <f t="shared" si="316"/>
        <v>0</v>
      </c>
      <c r="K677" s="78">
        <f t="shared" si="316"/>
        <v>0</v>
      </c>
      <c r="L677" s="78">
        <f t="shared" si="316"/>
        <v>0</v>
      </c>
      <c r="M677" s="78">
        <f t="shared" si="316"/>
        <v>0</v>
      </c>
      <c r="N677" s="78">
        <f t="shared" si="316"/>
        <v>0</v>
      </c>
      <c r="O677" s="309">
        <f t="shared" si="304"/>
        <v>36050864285.730003</v>
      </c>
      <c r="P677" s="111">
        <v>36050864285.730003</v>
      </c>
      <c r="Q677" s="108">
        <f t="shared" si="311"/>
        <v>0</v>
      </c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1"/>
      <c r="AM677" s="111"/>
      <c r="AN677" s="111"/>
      <c r="AO677" s="111"/>
      <c r="AP677" s="111"/>
      <c r="AQ677" s="111"/>
      <c r="AR677" s="111"/>
      <c r="AS677" s="111"/>
      <c r="AT677" s="111"/>
      <c r="AU677" s="111"/>
      <c r="AV677" s="111"/>
      <c r="AW677" s="111"/>
      <c r="AX677" s="111"/>
      <c r="AY677" s="111"/>
      <c r="AZ677" s="111"/>
      <c r="BA677" s="111"/>
      <c r="BB677" s="111"/>
      <c r="BC677" s="111"/>
      <c r="BD677" s="111"/>
      <c r="BE677" s="111"/>
      <c r="BF677" s="111"/>
      <c r="BG677" s="111"/>
      <c r="BH677" s="111"/>
      <c r="BI677" s="111"/>
      <c r="BJ677" s="111"/>
      <c r="BK677" s="111"/>
      <c r="BL677" s="111"/>
      <c r="BM677" s="111"/>
      <c r="BN677" s="111"/>
      <c r="BO677" s="111"/>
      <c r="BP677" s="111"/>
      <c r="BQ677" s="111"/>
      <c r="BR677" s="111"/>
      <c r="BS677" s="111"/>
      <c r="BT677" s="111"/>
      <c r="BU677" s="111"/>
      <c r="BV677" s="111"/>
    </row>
    <row r="678" spans="1:74" s="110" customFormat="1" ht="28.5" x14ac:dyDescent="0.2">
      <c r="A678" s="76" t="s">
        <v>1674</v>
      </c>
      <c r="B678" s="77" t="s">
        <v>1675</v>
      </c>
      <c r="C678" s="128"/>
      <c r="D678" s="128"/>
      <c r="E678" s="128"/>
      <c r="F678" s="128"/>
      <c r="G678" s="128">
        <v>36050864285.730003</v>
      </c>
      <c r="H678" s="128"/>
      <c r="I678" s="128"/>
      <c r="J678" s="128"/>
      <c r="K678" s="128"/>
      <c r="L678" s="128"/>
      <c r="M678" s="128"/>
      <c r="N678" s="128"/>
      <c r="O678" s="140">
        <f t="shared" si="304"/>
        <v>36050864285.730003</v>
      </c>
      <c r="P678" s="111">
        <v>36050864285.730003</v>
      </c>
      <c r="Q678" s="108">
        <f t="shared" si="311"/>
        <v>0</v>
      </c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  <c r="BO678" s="109"/>
      <c r="BP678" s="109"/>
      <c r="BQ678" s="109"/>
      <c r="BR678" s="109"/>
      <c r="BS678" s="109"/>
      <c r="BT678" s="109"/>
      <c r="BU678" s="109"/>
      <c r="BV678" s="109"/>
    </row>
    <row r="679" spans="1:74" s="112" customFormat="1" ht="15.75" x14ac:dyDescent="0.2">
      <c r="A679" s="81" t="s">
        <v>1676</v>
      </c>
      <c r="B679" s="79" t="s">
        <v>1677</v>
      </c>
      <c r="C679" s="78">
        <f>+C680</f>
        <v>0</v>
      </c>
      <c r="D679" s="78">
        <f t="shared" ref="D679:N679" si="317">+D680</f>
        <v>0</v>
      </c>
      <c r="E679" s="78">
        <f t="shared" si="317"/>
        <v>0</v>
      </c>
      <c r="F679" s="78">
        <f t="shared" si="317"/>
        <v>0</v>
      </c>
      <c r="G679" s="78">
        <f t="shared" si="317"/>
        <v>10500000</v>
      </c>
      <c r="H679" s="78">
        <f t="shared" si="317"/>
        <v>0</v>
      </c>
      <c r="I679" s="78">
        <f t="shared" si="317"/>
        <v>0</v>
      </c>
      <c r="J679" s="78">
        <f t="shared" si="317"/>
        <v>0</v>
      </c>
      <c r="K679" s="78">
        <f t="shared" si="317"/>
        <v>0</v>
      </c>
      <c r="L679" s="78">
        <f t="shared" si="317"/>
        <v>0</v>
      </c>
      <c r="M679" s="78">
        <f t="shared" si="317"/>
        <v>0</v>
      </c>
      <c r="N679" s="78">
        <f t="shared" si="317"/>
        <v>0</v>
      </c>
      <c r="O679" s="309">
        <f t="shared" si="304"/>
        <v>10500000</v>
      </c>
      <c r="P679" s="109">
        <v>10500000</v>
      </c>
      <c r="Q679" s="108">
        <f t="shared" si="311"/>
        <v>0</v>
      </c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111"/>
      <c r="AI679" s="111"/>
      <c r="AJ679" s="111"/>
      <c r="AK679" s="111"/>
      <c r="AL679" s="111"/>
      <c r="AM679" s="111"/>
      <c r="AN679" s="111"/>
      <c r="AO679" s="111"/>
      <c r="AP679" s="111"/>
      <c r="AQ679" s="111"/>
      <c r="AR679" s="111"/>
      <c r="AS679" s="111"/>
      <c r="AT679" s="111"/>
      <c r="AU679" s="111"/>
      <c r="AV679" s="111"/>
      <c r="AW679" s="111"/>
      <c r="AX679" s="111"/>
      <c r="AY679" s="111"/>
      <c r="AZ679" s="111"/>
      <c r="BA679" s="111"/>
      <c r="BB679" s="111"/>
      <c r="BC679" s="111"/>
      <c r="BD679" s="111"/>
      <c r="BE679" s="111"/>
      <c r="BF679" s="111"/>
      <c r="BG679" s="111"/>
      <c r="BH679" s="111"/>
      <c r="BI679" s="111"/>
      <c r="BJ679" s="111"/>
      <c r="BK679" s="111"/>
      <c r="BL679" s="111"/>
      <c r="BM679" s="111"/>
      <c r="BN679" s="111"/>
      <c r="BO679" s="111"/>
      <c r="BP679" s="111"/>
      <c r="BQ679" s="111"/>
      <c r="BR679" s="111"/>
      <c r="BS679" s="111"/>
      <c r="BT679" s="111"/>
      <c r="BU679" s="111"/>
      <c r="BV679" s="111"/>
    </row>
    <row r="680" spans="1:74" s="110" customFormat="1" ht="15.75" x14ac:dyDescent="0.2">
      <c r="A680" s="76" t="s">
        <v>1678</v>
      </c>
      <c r="B680" s="77" t="s">
        <v>1679</v>
      </c>
      <c r="C680" s="128"/>
      <c r="D680" s="128"/>
      <c r="E680" s="128"/>
      <c r="F680" s="128"/>
      <c r="G680" s="128">
        <v>10500000</v>
      </c>
      <c r="H680" s="128"/>
      <c r="I680" s="128"/>
      <c r="J680" s="128"/>
      <c r="K680" s="128"/>
      <c r="L680" s="128"/>
      <c r="M680" s="128"/>
      <c r="N680" s="128"/>
      <c r="O680" s="140">
        <f t="shared" si="304"/>
        <v>10500000</v>
      </c>
      <c r="P680" s="111">
        <v>10500000</v>
      </c>
      <c r="Q680" s="108">
        <f t="shared" si="311"/>
        <v>0</v>
      </c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  <c r="BO680" s="109"/>
      <c r="BP680" s="109"/>
      <c r="BQ680" s="109"/>
      <c r="BR680" s="109"/>
      <c r="BS680" s="109"/>
      <c r="BT680" s="109"/>
      <c r="BU680" s="109"/>
      <c r="BV680" s="109"/>
    </row>
    <row r="681" spans="1:74" s="112" customFormat="1" ht="31.5" x14ac:dyDescent="0.2">
      <c r="A681" s="81" t="s">
        <v>1680</v>
      </c>
      <c r="B681" s="79" t="s">
        <v>1681</v>
      </c>
      <c r="C681" s="78">
        <f>+C682</f>
        <v>0</v>
      </c>
      <c r="D681" s="78">
        <f t="shared" ref="D681:N681" si="318">+D682</f>
        <v>0</v>
      </c>
      <c r="E681" s="78">
        <f t="shared" si="318"/>
        <v>0</v>
      </c>
      <c r="F681" s="78">
        <f t="shared" si="318"/>
        <v>0</v>
      </c>
      <c r="G681" s="78">
        <f t="shared" si="318"/>
        <v>7462000</v>
      </c>
      <c r="H681" s="78">
        <f t="shared" si="318"/>
        <v>0</v>
      </c>
      <c r="I681" s="78">
        <f t="shared" si="318"/>
        <v>0</v>
      </c>
      <c r="J681" s="78">
        <f t="shared" si="318"/>
        <v>0</v>
      </c>
      <c r="K681" s="78">
        <f t="shared" si="318"/>
        <v>0</v>
      </c>
      <c r="L681" s="78">
        <f t="shared" si="318"/>
        <v>0</v>
      </c>
      <c r="M681" s="78">
        <f t="shared" si="318"/>
        <v>0</v>
      </c>
      <c r="N681" s="78">
        <f t="shared" si="318"/>
        <v>0</v>
      </c>
      <c r="O681" s="309">
        <f t="shared" si="304"/>
        <v>7462000</v>
      </c>
      <c r="P681" s="109">
        <v>7462000</v>
      </c>
      <c r="Q681" s="108">
        <f t="shared" si="311"/>
        <v>0</v>
      </c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1"/>
      <c r="AM681" s="111"/>
      <c r="AN681" s="111"/>
      <c r="AO681" s="111"/>
      <c r="AP681" s="111"/>
      <c r="AQ681" s="111"/>
      <c r="AR681" s="111"/>
      <c r="AS681" s="111"/>
      <c r="AT681" s="111"/>
      <c r="AU681" s="111"/>
      <c r="AV681" s="111"/>
      <c r="AW681" s="111"/>
      <c r="AX681" s="111"/>
      <c r="AY681" s="111"/>
      <c r="AZ681" s="111"/>
      <c r="BA681" s="111"/>
      <c r="BB681" s="111"/>
      <c r="BC681" s="111"/>
      <c r="BD681" s="111"/>
      <c r="BE681" s="111"/>
      <c r="BF681" s="111"/>
      <c r="BG681" s="111"/>
      <c r="BH681" s="111"/>
      <c r="BI681" s="111"/>
      <c r="BJ681" s="111"/>
      <c r="BK681" s="111"/>
      <c r="BL681" s="111"/>
      <c r="BM681" s="111"/>
      <c r="BN681" s="111"/>
      <c r="BO681" s="111"/>
      <c r="BP681" s="111"/>
      <c r="BQ681" s="111"/>
      <c r="BR681" s="111"/>
      <c r="BS681" s="111"/>
      <c r="BT681" s="111"/>
      <c r="BU681" s="111"/>
      <c r="BV681" s="111"/>
    </row>
    <row r="682" spans="1:74" s="110" customFormat="1" ht="15.75" x14ac:dyDescent="0.2">
      <c r="A682" s="76" t="s">
        <v>1682</v>
      </c>
      <c r="B682" s="77" t="s">
        <v>1683</v>
      </c>
      <c r="C682" s="128"/>
      <c r="D682" s="128"/>
      <c r="E682" s="128"/>
      <c r="F682" s="128"/>
      <c r="G682" s="128">
        <v>7462000</v>
      </c>
      <c r="H682" s="128"/>
      <c r="I682" s="128"/>
      <c r="J682" s="128"/>
      <c r="K682" s="128"/>
      <c r="L682" s="128"/>
      <c r="M682" s="128"/>
      <c r="N682" s="128"/>
      <c r="O682" s="140">
        <f t="shared" si="304"/>
        <v>7462000</v>
      </c>
      <c r="P682" s="111">
        <v>7462000</v>
      </c>
      <c r="Q682" s="108">
        <f t="shared" si="311"/>
        <v>0</v>
      </c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  <c r="BO682" s="109"/>
      <c r="BP682" s="109"/>
      <c r="BQ682" s="109"/>
      <c r="BR682" s="109"/>
      <c r="BS682" s="109"/>
      <c r="BT682" s="109"/>
      <c r="BU682" s="109"/>
      <c r="BV682" s="109"/>
    </row>
    <row r="683" spans="1:74" s="112" customFormat="1" ht="63" x14ac:dyDescent="0.2">
      <c r="A683" s="81" t="s">
        <v>1684</v>
      </c>
      <c r="B683" s="79" t="s">
        <v>1685</v>
      </c>
      <c r="C683" s="78">
        <f>+C684</f>
        <v>0</v>
      </c>
      <c r="D683" s="78">
        <f t="shared" ref="D683:N683" si="319">+D684</f>
        <v>0</v>
      </c>
      <c r="E683" s="78">
        <f t="shared" si="319"/>
        <v>0</v>
      </c>
      <c r="F683" s="78">
        <f t="shared" si="319"/>
        <v>0</v>
      </c>
      <c r="G683" s="78">
        <f t="shared" si="319"/>
        <v>27103488.100000001</v>
      </c>
      <c r="H683" s="78">
        <f t="shared" si="319"/>
        <v>0</v>
      </c>
      <c r="I683" s="78">
        <f t="shared" si="319"/>
        <v>0</v>
      </c>
      <c r="J683" s="78">
        <f t="shared" si="319"/>
        <v>0</v>
      </c>
      <c r="K683" s="78">
        <f t="shared" si="319"/>
        <v>0</v>
      </c>
      <c r="L683" s="78">
        <f t="shared" si="319"/>
        <v>0</v>
      </c>
      <c r="M683" s="78">
        <f t="shared" si="319"/>
        <v>0</v>
      </c>
      <c r="N683" s="78">
        <f t="shared" si="319"/>
        <v>0</v>
      </c>
      <c r="O683" s="309">
        <f t="shared" si="304"/>
        <v>27103488.100000001</v>
      </c>
      <c r="P683" s="109">
        <v>27103488.100000001</v>
      </c>
      <c r="Q683" s="108">
        <f t="shared" si="311"/>
        <v>0</v>
      </c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111"/>
      <c r="AI683" s="111"/>
      <c r="AJ683" s="111"/>
      <c r="AK683" s="111"/>
      <c r="AL683" s="111"/>
      <c r="AM683" s="111"/>
      <c r="AN683" s="111"/>
      <c r="AO683" s="111"/>
      <c r="AP683" s="111"/>
      <c r="AQ683" s="111"/>
      <c r="AR683" s="111"/>
      <c r="AS683" s="111"/>
      <c r="AT683" s="111"/>
      <c r="AU683" s="111"/>
      <c r="AV683" s="111"/>
      <c r="AW683" s="111"/>
      <c r="AX683" s="111"/>
      <c r="AY683" s="111"/>
      <c r="AZ683" s="111"/>
      <c r="BA683" s="111"/>
      <c r="BB683" s="111"/>
      <c r="BC683" s="111"/>
      <c r="BD683" s="111"/>
      <c r="BE683" s="111"/>
      <c r="BF683" s="111"/>
      <c r="BG683" s="111"/>
      <c r="BH683" s="111"/>
      <c r="BI683" s="111"/>
      <c r="BJ683" s="111"/>
      <c r="BK683" s="111"/>
      <c r="BL683" s="111"/>
      <c r="BM683" s="111"/>
      <c r="BN683" s="111"/>
      <c r="BO683" s="111"/>
      <c r="BP683" s="111"/>
      <c r="BQ683" s="111"/>
      <c r="BR683" s="111"/>
      <c r="BS683" s="111"/>
      <c r="BT683" s="111"/>
      <c r="BU683" s="111"/>
      <c r="BV683" s="111"/>
    </row>
    <row r="684" spans="1:74" s="110" customFormat="1" ht="57" x14ac:dyDescent="0.2">
      <c r="A684" s="76" t="s">
        <v>1686</v>
      </c>
      <c r="B684" s="77" t="s">
        <v>1685</v>
      </c>
      <c r="C684" s="128"/>
      <c r="D684" s="128"/>
      <c r="E684" s="128"/>
      <c r="F684" s="128"/>
      <c r="G684" s="128">
        <v>27103488.100000001</v>
      </c>
      <c r="H684" s="128"/>
      <c r="I684" s="128"/>
      <c r="J684" s="128"/>
      <c r="K684" s="128"/>
      <c r="L684" s="128"/>
      <c r="M684" s="128"/>
      <c r="N684" s="128"/>
      <c r="O684" s="140">
        <f t="shared" si="304"/>
        <v>27103488.100000001</v>
      </c>
      <c r="P684" s="111">
        <v>27103488.100000001</v>
      </c>
      <c r="Q684" s="108">
        <f t="shared" si="311"/>
        <v>0</v>
      </c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  <c r="BO684" s="109"/>
      <c r="BP684" s="109"/>
      <c r="BQ684" s="109"/>
      <c r="BR684" s="109"/>
      <c r="BS684" s="109"/>
      <c r="BT684" s="109"/>
      <c r="BU684" s="109"/>
      <c r="BV684" s="109"/>
    </row>
    <row r="685" spans="1:74" s="112" customFormat="1" ht="31.5" x14ac:dyDescent="0.2">
      <c r="A685" s="81" t="s">
        <v>1687</v>
      </c>
      <c r="B685" s="79" t="s">
        <v>1688</v>
      </c>
      <c r="C685" s="78">
        <f>+C686</f>
        <v>0</v>
      </c>
      <c r="D685" s="78">
        <f t="shared" ref="D685:N685" si="320">+D686</f>
        <v>0</v>
      </c>
      <c r="E685" s="78">
        <f t="shared" si="320"/>
        <v>0</v>
      </c>
      <c r="F685" s="78">
        <f t="shared" si="320"/>
        <v>0</v>
      </c>
      <c r="G685" s="78">
        <f t="shared" si="320"/>
        <v>259662713</v>
      </c>
      <c r="H685" s="78">
        <f t="shared" si="320"/>
        <v>0</v>
      </c>
      <c r="I685" s="78">
        <f t="shared" si="320"/>
        <v>0</v>
      </c>
      <c r="J685" s="78">
        <f t="shared" si="320"/>
        <v>0</v>
      </c>
      <c r="K685" s="78">
        <f t="shared" si="320"/>
        <v>0</v>
      </c>
      <c r="L685" s="78">
        <f t="shared" si="320"/>
        <v>0</v>
      </c>
      <c r="M685" s="78">
        <f t="shared" si="320"/>
        <v>0</v>
      </c>
      <c r="N685" s="78">
        <f t="shared" si="320"/>
        <v>0</v>
      </c>
      <c r="O685" s="309">
        <f t="shared" si="304"/>
        <v>259662713</v>
      </c>
      <c r="P685" s="109">
        <v>259662713</v>
      </c>
      <c r="Q685" s="108">
        <f t="shared" si="311"/>
        <v>0</v>
      </c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1"/>
      <c r="AM685" s="111"/>
      <c r="AN685" s="111"/>
      <c r="AO685" s="111"/>
      <c r="AP685" s="111"/>
      <c r="AQ685" s="111"/>
      <c r="AR685" s="111"/>
      <c r="AS685" s="111"/>
      <c r="AT685" s="111"/>
      <c r="AU685" s="111"/>
      <c r="AV685" s="111"/>
      <c r="AW685" s="111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11"/>
      <c r="BH685" s="111"/>
      <c r="BI685" s="111"/>
      <c r="BJ685" s="111"/>
      <c r="BK685" s="111"/>
      <c r="BL685" s="111"/>
      <c r="BM685" s="111"/>
      <c r="BN685" s="111"/>
      <c r="BO685" s="111"/>
      <c r="BP685" s="111"/>
      <c r="BQ685" s="111"/>
      <c r="BR685" s="111"/>
      <c r="BS685" s="111"/>
      <c r="BT685" s="111"/>
      <c r="BU685" s="111"/>
      <c r="BV685" s="111"/>
    </row>
    <row r="686" spans="1:74" s="110" customFormat="1" ht="15.75" x14ac:dyDescent="0.2">
      <c r="A686" s="76" t="s">
        <v>1689</v>
      </c>
      <c r="B686" s="77" t="s">
        <v>1516</v>
      </c>
      <c r="C686" s="128"/>
      <c r="D686" s="128"/>
      <c r="E686" s="128"/>
      <c r="F686" s="128"/>
      <c r="G686" s="128">
        <v>259662713</v>
      </c>
      <c r="H686" s="128"/>
      <c r="I686" s="128"/>
      <c r="J686" s="128"/>
      <c r="K686" s="128"/>
      <c r="L686" s="128"/>
      <c r="M686" s="128"/>
      <c r="N686" s="128"/>
      <c r="O686" s="140">
        <f t="shared" si="304"/>
        <v>259662713</v>
      </c>
      <c r="P686" s="111">
        <v>259662713</v>
      </c>
      <c r="Q686" s="108">
        <f t="shared" si="311"/>
        <v>0</v>
      </c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  <c r="BO686" s="109"/>
      <c r="BP686" s="109"/>
      <c r="BQ686" s="109"/>
      <c r="BR686" s="109"/>
      <c r="BS686" s="109"/>
      <c r="BT686" s="109"/>
      <c r="BU686" s="109"/>
      <c r="BV686" s="109"/>
    </row>
    <row r="687" spans="1:74" s="112" customFormat="1" ht="47.25" x14ac:dyDescent="0.2">
      <c r="A687" s="81" t="s">
        <v>1690</v>
      </c>
      <c r="B687" s="79" t="s">
        <v>1691</v>
      </c>
      <c r="C687" s="78">
        <f>+C688</f>
        <v>0</v>
      </c>
      <c r="D687" s="78">
        <f t="shared" ref="D687:N687" si="321">+D688</f>
        <v>0</v>
      </c>
      <c r="E687" s="78">
        <f t="shared" si="321"/>
        <v>0</v>
      </c>
      <c r="F687" s="78">
        <f t="shared" si="321"/>
        <v>0</v>
      </c>
      <c r="G687" s="78">
        <f t="shared" si="321"/>
        <v>98246400</v>
      </c>
      <c r="H687" s="78">
        <f t="shared" si="321"/>
        <v>0</v>
      </c>
      <c r="I687" s="78">
        <f t="shared" si="321"/>
        <v>0</v>
      </c>
      <c r="J687" s="78">
        <f t="shared" si="321"/>
        <v>0</v>
      </c>
      <c r="K687" s="78">
        <f t="shared" si="321"/>
        <v>0</v>
      </c>
      <c r="L687" s="78">
        <f t="shared" si="321"/>
        <v>0</v>
      </c>
      <c r="M687" s="78">
        <f t="shared" si="321"/>
        <v>0</v>
      </c>
      <c r="N687" s="78">
        <f t="shared" si="321"/>
        <v>0</v>
      </c>
      <c r="O687" s="309">
        <f t="shared" si="304"/>
        <v>98246400</v>
      </c>
      <c r="P687" s="109">
        <v>98246400</v>
      </c>
      <c r="Q687" s="108">
        <f t="shared" si="311"/>
        <v>0</v>
      </c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1"/>
      <c r="AM687" s="111"/>
      <c r="AN687" s="111"/>
      <c r="AO687" s="111"/>
      <c r="AP687" s="111"/>
      <c r="AQ687" s="111"/>
      <c r="AR687" s="111"/>
      <c r="AS687" s="111"/>
      <c r="AT687" s="111"/>
      <c r="AU687" s="111"/>
      <c r="AV687" s="111"/>
      <c r="AW687" s="111"/>
      <c r="AX687" s="111"/>
      <c r="AY687" s="111"/>
      <c r="AZ687" s="111"/>
      <c r="BA687" s="111"/>
      <c r="BB687" s="111"/>
      <c r="BC687" s="111"/>
      <c r="BD687" s="111"/>
      <c r="BE687" s="111"/>
      <c r="BF687" s="111"/>
      <c r="BG687" s="111"/>
      <c r="BH687" s="111"/>
      <c r="BI687" s="111"/>
      <c r="BJ687" s="111"/>
      <c r="BK687" s="111"/>
      <c r="BL687" s="111"/>
      <c r="BM687" s="111"/>
      <c r="BN687" s="111"/>
      <c r="BO687" s="111"/>
      <c r="BP687" s="111"/>
      <c r="BQ687" s="111"/>
      <c r="BR687" s="111"/>
      <c r="BS687" s="111"/>
      <c r="BT687" s="111"/>
      <c r="BU687" s="111"/>
      <c r="BV687" s="111"/>
    </row>
    <row r="688" spans="1:74" s="110" customFormat="1" ht="42.75" x14ac:dyDescent="0.2">
      <c r="A688" s="76" t="s">
        <v>1692</v>
      </c>
      <c r="B688" s="77" t="s">
        <v>1693</v>
      </c>
      <c r="C688" s="128"/>
      <c r="D688" s="128"/>
      <c r="E688" s="128"/>
      <c r="F688" s="128"/>
      <c r="G688" s="128">
        <v>98246400</v>
      </c>
      <c r="H688" s="128"/>
      <c r="I688" s="128"/>
      <c r="J688" s="128"/>
      <c r="K688" s="128"/>
      <c r="L688" s="128"/>
      <c r="M688" s="128"/>
      <c r="N688" s="128"/>
      <c r="O688" s="140">
        <f t="shared" si="304"/>
        <v>98246400</v>
      </c>
      <c r="P688" s="111">
        <v>98246400</v>
      </c>
      <c r="Q688" s="108">
        <f t="shared" si="311"/>
        <v>0</v>
      </c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  <c r="BO688" s="109"/>
      <c r="BP688" s="109"/>
      <c r="BQ688" s="109"/>
      <c r="BR688" s="109"/>
      <c r="BS688" s="109"/>
      <c r="BT688" s="109"/>
      <c r="BU688" s="109"/>
      <c r="BV688" s="109"/>
    </row>
    <row r="689" spans="1:74" s="112" customFormat="1" ht="47.25" x14ac:dyDescent="0.2">
      <c r="A689" s="81" t="s">
        <v>1694</v>
      </c>
      <c r="B689" s="79" t="s">
        <v>1695</v>
      </c>
      <c r="C689" s="78">
        <f>+C690</f>
        <v>0</v>
      </c>
      <c r="D689" s="78">
        <f t="shared" ref="D689:N689" si="322">+D690</f>
        <v>0</v>
      </c>
      <c r="E689" s="78">
        <f t="shared" si="322"/>
        <v>0</v>
      </c>
      <c r="F689" s="78">
        <f t="shared" si="322"/>
        <v>0</v>
      </c>
      <c r="G689" s="78">
        <f t="shared" si="322"/>
        <v>506016671</v>
      </c>
      <c r="H689" s="78">
        <f t="shared" si="322"/>
        <v>0</v>
      </c>
      <c r="I689" s="78">
        <f t="shared" si="322"/>
        <v>0</v>
      </c>
      <c r="J689" s="78">
        <f t="shared" si="322"/>
        <v>0</v>
      </c>
      <c r="K689" s="78">
        <f t="shared" si="322"/>
        <v>0</v>
      </c>
      <c r="L689" s="78">
        <f t="shared" si="322"/>
        <v>0</v>
      </c>
      <c r="M689" s="78">
        <f t="shared" si="322"/>
        <v>0</v>
      </c>
      <c r="N689" s="78">
        <f t="shared" si="322"/>
        <v>0</v>
      </c>
      <c r="O689" s="309">
        <f t="shared" si="304"/>
        <v>506016671</v>
      </c>
      <c r="P689" s="109">
        <v>506016671</v>
      </c>
      <c r="Q689" s="108">
        <f t="shared" si="311"/>
        <v>0</v>
      </c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1"/>
      <c r="AM689" s="111"/>
      <c r="AN689" s="111"/>
      <c r="AO689" s="111"/>
      <c r="AP689" s="111"/>
      <c r="AQ689" s="111"/>
      <c r="AR689" s="111"/>
      <c r="AS689" s="111"/>
      <c r="AT689" s="111"/>
      <c r="AU689" s="111"/>
      <c r="AV689" s="111"/>
      <c r="AW689" s="111"/>
      <c r="AX689" s="111"/>
      <c r="AY689" s="111"/>
      <c r="AZ689" s="111"/>
      <c r="BA689" s="111"/>
      <c r="BB689" s="111"/>
      <c r="BC689" s="111"/>
      <c r="BD689" s="111"/>
      <c r="BE689" s="111"/>
      <c r="BF689" s="111"/>
      <c r="BG689" s="111"/>
      <c r="BH689" s="111"/>
      <c r="BI689" s="111"/>
      <c r="BJ689" s="111"/>
      <c r="BK689" s="111"/>
      <c r="BL689" s="111"/>
      <c r="BM689" s="111"/>
      <c r="BN689" s="111"/>
      <c r="BO689" s="111"/>
      <c r="BP689" s="111"/>
      <c r="BQ689" s="111"/>
      <c r="BR689" s="111"/>
      <c r="BS689" s="111"/>
      <c r="BT689" s="111"/>
      <c r="BU689" s="111"/>
      <c r="BV689" s="111"/>
    </row>
    <row r="690" spans="1:74" s="110" customFormat="1" ht="28.5" x14ac:dyDescent="0.2">
      <c r="A690" s="76" t="s">
        <v>1696</v>
      </c>
      <c r="B690" s="77" t="s">
        <v>1697</v>
      </c>
      <c r="C690" s="128"/>
      <c r="D690" s="128"/>
      <c r="E690" s="128"/>
      <c r="F690" s="128"/>
      <c r="G690" s="128">
        <v>506016671</v>
      </c>
      <c r="H690" s="128"/>
      <c r="I690" s="128"/>
      <c r="J690" s="128"/>
      <c r="K690" s="128"/>
      <c r="L690" s="128"/>
      <c r="M690" s="128"/>
      <c r="N690" s="128"/>
      <c r="O690" s="140">
        <f t="shared" si="304"/>
        <v>506016671</v>
      </c>
      <c r="P690" s="111">
        <v>506016671</v>
      </c>
      <c r="Q690" s="108">
        <f t="shared" si="311"/>
        <v>0</v>
      </c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  <c r="BO690" s="109"/>
      <c r="BP690" s="109"/>
      <c r="BQ690" s="109"/>
      <c r="BR690" s="109"/>
      <c r="BS690" s="109"/>
      <c r="BT690" s="109"/>
      <c r="BU690" s="109"/>
      <c r="BV690" s="109"/>
    </row>
    <row r="691" spans="1:74" s="112" customFormat="1" ht="47.25" x14ac:dyDescent="0.2">
      <c r="A691" s="81" t="s">
        <v>1698</v>
      </c>
      <c r="B691" s="79" t="s">
        <v>1699</v>
      </c>
      <c r="C691" s="78">
        <f>+C692</f>
        <v>0</v>
      </c>
      <c r="D691" s="78">
        <f t="shared" ref="D691:N691" si="323">+D692</f>
        <v>0</v>
      </c>
      <c r="E691" s="78">
        <f t="shared" si="323"/>
        <v>0</v>
      </c>
      <c r="F691" s="78">
        <f t="shared" si="323"/>
        <v>0</v>
      </c>
      <c r="G691" s="78">
        <f t="shared" si="323"/>
        <v>1984436974.3900001</v>
      </c>
      <c r="H691" s="78">
        <f t="shared" si="323"/>
        <v>0</v>
      </c>
      <c r="I691" s="78">
        <f t="shared" si="323"/>
        <v>0</v>
      </c>
      <c r="J691" s="78">
        <f t="shared" si="323"/>
        <v>0</v>
      </c>
      <c r="K691" s="78">
        <f t="shared" si="323"/>
        <v>0</v>
      </c>
      <c r="L691" s="78">
        <f t="shared" si="323"/>
        <v>0</v>
      </c>
      <c r="M691" s="78">
        <f t="shared" si="323"/>
        <v>0</v>
      </c>
      <c r="N691" s="78">
        <f t="shared" si="323"/>
        <v>0</v>
      </c>
      <c r="O691" s="309">
        <f t="shared" si="304"/>
        <v>1984436974.3900001</v>
      </c>
      <c r="P691" s="109">
        <v>1984436974.3900001</v>
      </c>
      <c r="Q691" s="108">
        <f t="shared" si="311"/>
        <v>0</v>
      </c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111"/>
      <c r="AI691" s="111"/>
      <c r="AJ691" s="111"/>
      <c r="AK691" s="111"/>
      <c r="AL691" s="111"/>
      <c r="AM691" s="111"/>
      <c r="AN691" s="111"/>
      <c r="AO691" s="111"/>
      <c r="AP691" s="111"/>
      <c r="AQ691" s="111"/>
      <c r="AR691" s="111"/>
      <c r="AS691" s="111"/>
      <c r="AT691" s="111"/>
      <c r="AU691" s="111"/>
      <c r="AV691" s="111"/>
      <c r="AW691" s="111"/>
      <c r="AX691" s="111"/>
      <c r="AY691" s="111"/>
      <c r="AZ691" s="111"/>
      <c r="BA691" s="111"/>
      <c r="BB691" s="111"/>
      <c r="BC691" s="111"/>
      <c r="BD691" s="111"/>
      <c r="BE691" s="111"/>
      <c r="BF691" s="111"/>
      <c r="BG691" s="111"/>
      <c r="BH691" s="111"/>
      <c r="BI691" s="111"/>
      <c r="BJ691" s="111"/>
      <c r="BK691" s="111"/>
      <c r="BL691" s="111"/>
      <c r="BM691" s="111"/>
      <c r="BN691" s="111"/>
      <c r="BO691" s="111"/>
      <c r="BP691" s="111"/>
      <c r="BQ691" s="111"/>
      <c r="BR691" s="111"/>
      <c r="BS691" s="111"/>
      <c r="BT691" s="111"/>
      <c r="BU691" s="111"/>
      <c r="BV691" s="111"/>
    </row>
    <row r="692" spans="1:74" s="110" customFormat="1" ht="28.5" x14ac:dyDescent="0.2">
      <c r="A692" s="76" t="s">
        <v>1700</v>
      </c>
      <c r="B692" s="77" t="s">
        <v>1701</v>
      </c>
      <c r="C692" s="128"/>
      <c r="D692" s="128"/>
      <c r="E692" s="128"/>
      <c r="F692" s="128"/>
      <c r="G692" s="128">
        <v>1984436974.3900001</v>
      </c>
      <c r="H692" s="128"/>
      <c r="I692" s="128"/>
      <c r="J692" s="128"/>
      <c r="K692" s="128"/>
      <c r="L692" s="128"/>
      <c r="M692" s="128"/>
      <c r="N692" s="128"/>
      <c r="O692" s="140">
        <f t="shared" si="304"/>
        <v>1984436974.3900001</v>
      </c>
      <c r="P692" s="109">
        <v>1984436974.3900001</v>
      </c>
      <c r="Q692" s="108">
        <f t="shared" si="311"/>
        <v>0</v>
      </c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  <c r="BO692" s="109"/>
      <c r="BP692" s="109"/>
      <c r="BQ692" s="109"/>
      <c r="BR692" s="109"/>
      <c r="BS692" s="109"/>
      <c r="BT692" s="109"/>
      <c r="BU692" s="109"/>
      <c r="BV692" s="109"/>
    </row>
    <row r="693" spans="1:74" s="112" customFormat="1" ht="15.75" x14ac:dyDescent="0.2">
      <c r="A693" s="81" t="s">
        <v>1702</v>
      </c>
      <c r="B693" s="79" t="s">
        <v>1703</v>
      </c>
      <c r="C693" s="78">
        <f>+C694+C697+C699</f>
        <v>0</v>
      </c>
      <c r="D693" s="78">
        <f t="shared" ref="D693:N693" si="324">+D694+D697+D699</f>
        <v>0</v>
      </c>
      <c r="E693" s="78">
        <f t="shared" si="324"/>
        <v>0</v>
      </c>
      <c r="F693" s="78">
        <f t="shared" si="324"/>
        <v>0</v>
      </c>
      <c r="G693" s="78">
        <f t="shared" si="324"/>
        <v>9114153339.3700008</v>
      </c>
      <c r="H693" s="78">
        <f t="shared" si="324"/>
        <v>0</v>
      </c>
      <c r="I693" s="78">
        <f t="shared" si="324"/>
        <v>0</v>
      </c>
      <c r="J693" s="78">
        <f t="shared" si="324"/>
        <v>0</v>
      </c>
      <c r="K693" s="78">
        <f t="shared" si="324"/>
        <v>0</v>
      </c>
      <c r="L693" s="78">
        <f t="shared" si="324"/>
        <v>0</v>
      </c>
      <c r="M693" s="78">
        <f t="shared" si="324"/>
        <v>0</v>
      </c>
      <c r="N693" s="78">
        <f t="shared" si="324"/>
        <v>0</v>
      </c>
      <c r="O693" s="309">
        <f t="shared" si="304"/>
        <v>9114153339.3700008</v>
      </c>
      <c r="P693" s="109">
        <v>9114153339.3700008</v>
      </c>
      <c r="Q693" s="108">
        <f t="shared" si="311"/>
        <v>0</v>
      </c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  <c r="AE693" s="111"/>
      <c r="AF693" s="111"/>
      <c r="AG693" s="111"/>
      <c r="AH693" s="111"/>
      <c r="AI693" s="111"/>
      <c r="AJ693" s="111"/>
      <c r="AK693" s="111"/>
      <c r="AL693" s="111"/>
      <c r="AM693" s="111"/>
      <c r="AN693" s="111"/>
      <c r="AO693" s="111"/>
      <c r="AP693" s="111"/>
      <c r="AQ693" s="111"/>
      <c r="AR693" s="111"/>
      <c r="AS693" s="111"/>
      <c r="AT693" s="111"/>
      <c r="AU693" s="111"/>
      <c r="AV693" s="111"/>
      <c r="AW693" s="111"/>
      <c r="AX693" s="111"/>
      <c r="AY693" s="111"/>
      <c r="AZ693" s="111"/>
      <c r="BA693" s="111"/>
      <c r="BB693" s="111"/>
      <c r="BC693" s="111"/>
      <c r="BD693" s="111"/>
      <c r="BE693" s="111"/>
      <c r="BF693" s="111"/>
      <c r="BG693" s="111"/>
      <c r="BH693" s="111"/>
      <c r="BI693" s="111"/>
      <c r="BJ693" s="111"/>
      <c r="BK693" s="111"/>
      <c r="BL693" s="111"/>
      <c r="BM693" s="111"/>
      <c r="BN693" s="111"/>
      <c r="BO693" s="111"/>
      <c r="BP693" s="111"/>
      <c r="BQ693" s="111"/>
      <c r="BR693" s="111"/>
      <c r="BS693" s="111"/>
      <c r="BT693" s="111"/>
      <c r="BU693" s="111"/>
      <c r="BV693" s="111"/>
    </row>
    <row r="694" spans="1:74" s="112" customFormat="1" ht="31.5" x14ac:dyDescent="0.2">
      <c r="A694" s="81" t="s">
        <v>1704</v>
      </c>
      <c r="B694" s="79" t="s">
        <v>1705</v>
      </c>
      <c r="C694" s="78">
        <f>SUM(C695:C696)</f>
        <v>0</v>
      </c>
      <c r="D694" s="78">
        <f t="shared" ref="D694:N694" si="325">SUM(D695:D696)</f>
        <v>0</v>
      </c>
      <c r="E694" s="78">
        <f t="shared" si="325"/>
        <v>0</v>
      </c>
      <c r="F694" s="78">
        <f t="shared" si="325"/>
        <v>0</v>
      </c>
      <c r="G694" s="78">
        <f t="shared" si="325"/>
        <v>3130592786.1300001</v>
      </c>
      <c r="H694" s="78">
        <f t="shared" si="325"/>
        <v>0</v>
      </c>
      <c r="I694" s="78">
        <f t="shared" si="325"/>
        <v>0</v>
      </c>
      <c r="J694" s="78">
        <f t="shared" si="325"/>
        <v>0</v>
      </c>
      <c r="K694" s="78">
        <f t="shared" si="325"/>
        <v>0</v>
      </c>
      <c r="L694" s="78">
        <f t="shared" si="325"/>
        <v>0</v>
      </c>
      <c r="M694" s="78">
        <f t="shared" si="325"/>
        <v>0</v>
      </c>
      <c r="N694" s="78">
        <f t="shared" si="325"/>
        <v>0</v>
      </c>
      <c r="O694" s="309">
        <f t="shared" si="304"/>
        <v>3130592786.1300001</v>
      </c>
      <c r="P694" s="109">
        <v>3130592786.1300001</v>
      </c>
      <c r="Q694" s="108">
        <f t="shared" si="311"/>
        <v>0</v>
      </c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  <c r="AE694" s="111"/>
      <c r="AF694" s="111"/>
      <c r="AG694" s="111"/>
      <c r="AH694" s="111"/>
      <c r="AI694" s="111"/>
      <c r="AJ694" s="111"/>
      <c r="AK694" s="111"/>
      <c r="AL694" s="111"/>
      <c r="AM694" s="111"/>
      <c r="AN694" s="111"/>
      <c r="AO694" s="111"/>
      <c r="AP694" s="111"/>
      <c r="AQ694" s="111"/>
      <c r="AR694" s="111"/>
      <c r="AS694" s="111"/>
      <c r="AT694" s="111"/>
      <c r="AU694" s="111"/>
      <c r="AV694" s="111"/>
      <c r="AW694" s="111"/>
      <c r="AX694" s="111"/>
      <c r="AY694" s="111"/>
      <c r="AZ694" s="111"/>
      <c r="BA694" s="111"/>
      <c r="BB694" s="111"/>
      <c r="BC694" s="111"/>
      <c r="BD694" s="111"/>
      <c r="BE694" s="111"/>
      <c r="BF694" s="111"/>
      <c r="BG694" s="111"/>
      <c r="BH694" s="111"/>
      <c r="BI694" s="111"/>
      <c r="BJ694" s="111"/>
      <c r="BK694" s="111"/>
      <c r="BL694" s="111"/>
      <c r="BM694" s="111"/>
      <c r="BN694" s="111"/>
      <c r="BO694" s="111"/>
      <c r="BP694" s="111"/>
      <c r="BQ694" s="111"/>
      <c r="BR694" s="111"/>
      <c r="BS694" s="111"/>
      <c r="BT694" s="111"/>
      <c r="BU694" s="111"/>
      <c r="BV694" s="111"/>
    </row>
    <row r="695" spans="1:74" s="110" customFormat="1" ht="28.5" x14ac:dyDescent="0.2">
      <c r="A695" s="76" t="s">
        <v>1706</v>
      </c>
      <c r="B695" s="77" t="s">
        <v>1707</v>
      </c>
      <c r="C695" s="128"/>
      <c r="D695" s="128"/>
      <c r="E695" s="128"/>
      <c r="F695" s="128"/>
      <c r="G695" s="128">
        <v>2075464682.5699999</v>
      </c>
      <c r="H695" s="128"/>
      <c r="I695" s="128"/>
      <c r="J695" s="128"/>
      <c r="K695" s="128"/>
      <c r="L695" s="128"/>
      <c r="M695" s="128"/>
      <c r="N695" s="128"/>
      <c r="O695" s="140">
        <f t="shared" si="304"/>
        <v>2075464682.5699999</v>
      </c>
      <c r="P695" s="109">
        <v>2075464682.5699999</v>
      </c>
      <c r="Q695" s="108">
        <f t="shared" si="311"/>
        <v>0</v>
      </c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  <c r="BU695" s="109"/>
      <c r="BV695" s="109"/>
    </row>
    <row r="696" spans="1:74" s="110" customFormat="1" ht="28.5" x14ac:dyDescent="0.2">
      <c r="A696" s="76" t="s">
        <v>1708</v>
      </c>
      <c r="B696" s="77" t="s">
        <v>1709</v>
      </c>
      <c r="C696" s="128"/>
      <c r="D696" s="128"/>
      <c r="E696" s="128"/>
      <c r="F696" s="128"/>
      <c r="G696" s="128">
        <v>1055128103.5599999</v>
      </c>
      <c r="H696" s="128"/>
      <c r="I696" s="128"/>
      <c r="J696" s="128"/>
      <c r="K696" s="128"/>
      <c r="L696" s="128"/>
      <c r="M696" s="128"/>
      <c r="N696" s="128"/>
      <c r="O696" s="140">
        <f t="shared" si="304"/>
        <v>1055128103.5599999</v>
      </c>
      <c r="P696" s="109">
        <v>1055128103.5599999</v>
      </c>
      <c r="Q696" s="108">
        <f t="shared" si="311"/>
        <v>0</v>
      </c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  <c r="BO696" s="109"/>
      <c r="BP696" s="109"/>
      <c r="BQ696" s="109"/>
      <c r="BR696" s="109"/>
      <c r="BS696" s="109"/>
      <c r="BT696" s="109"/>
      <c r="BU696" s="109"/>
      <c r="BV696" s="109"/>
    </row>
    <row r="697" spans="1:74" s="112" customFormat="1" ht="31.5" x14ac:dyDescent="0.2">
      <c r="A697" s="81" t="s">
        <v>1710</v>
      </c>
      <c r="B697" s="79" t="s">
        <v>1711</v>
      </c>
      <c r="C697" s="78">
        <f>+C698</f>
        <v>0</v>
      </c>
      <c r="D697" s="78">
        <f t="shared" ref="D697:N697" si="326">+D698</f>
        <v>0</v>
      </c>
      <c r="E697" s="78">
        <f t="shared" si="326"/>
        <v>0</v>
      </c>
      <c r="F697" s="78">
        <f t="shared" si="326"/>
        <v>0</v>
      </c>
      <c r="G697" s="78">
        <f t="shared" si="326"/>
        <v>5521777550.8400002</v>
      </c>
      <c r="H697" s="78">
        <f t="shared" si="326"/>
        <v>0</v>
      </c>
      <c r="I697" s="78">
        <f t="shared" si="326"/>
        <v>0</v>
      </c>
      <c r="J697" s="78">
        <f t="shared" si="326"/>
        <v>0</v>
      </c>
      <c r="K697" s="78">
        <f t="shared" si="326"/>
        <v>0</v>
      </c>
      <c r="L697" s="78">
        <f t="shared" si="326"/>
        <v>0</v>
      </c>
      <c r="M697" s="78">
        <f t="shared" si="326"/>
        <v>0</v>
      </c>
      <c r="N697" s="78">
        <f t="shared" si="326"/>
        <v>0</v>
      </c>
      <c r="O697" s="309">
        <f t="shared" si="304"/>
        <v>5521777550.8400002</v>
      </c>
      <c r="P697" s="109">
        <v>5521777550.8400002</v>
      </c>
      <c r="Q697" s="108">
        <f t="shared" si="311"/>
        <v>0</v>
      </c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111"/>
      <c r="AI697" s="111"/>
      <c r="AJ697" s="111"/>
      <c r="AK697" s="111"/>
      <c r="AL697" s="111"/>
      <c r="AM697" s="111"/>
      <c r="AN697" s="111"/>
      <c r="AO697" s="111"/>
      <c r="AP697" s="111"/>
      <c r="AQ697" s="111"/>
      <c r="AR697" s="111"/>
      <c r="AS697" s="111"/>
      <c r="AT697" s="111"/>
      <c r="AU697" s="111"/>
      <c r="AV697" s="111"/>
      <c r="AW697" s="111"/>
      <c r="AX697" s="111"/>
      <c r="AY697" s="111"/>
      <c r="AZ697" s="111"/>
      <c r="BA697" s="111"/>
      <c r="BB697" s="111"/>
      <c r="BC697" s="111"/>
      <c r="BD697" s="111"/>
      <c r="BE697" s="111"/>
      <c r="BF697" s="111"/>
      <c r="BG697" s="111"/>
      <c r="BH697" s="111"/>
      <c r="BI697" s="111"/>
      <c r="BJ697" s="111"/>
      <c r="BK697" s="111"/>
      <c r="BL697" s="111"/>
      <c r="BM697" s="111"/>
      <c r="BN697" s="111"/>
      <c r="BO697" s="111"/>
      <c r="BP697" s="111"/>
      <c r="BQ697" s="111"/>
      <c r="BR697" s="111"/>
      <c r="BS697" s="111"/>
      <c r="BT697" s="111"/>
      <c r="BU697" s="111"/>
      <c r="BV697" s="111"/>
    </row>
    <row r="698" spans="1:74" s="110" customFormat="1" ht="14.25" x14ac:dyDescent="0.2">
      <c r="A698" s="76" t="s">
        <v>1712</v>
      </c>
      <c r="B698" s="77" t="s">
        <v>1713</v>
      </c>
      <c r="C698" s="128"/>
      <c r="D698" s="128"/>
      <c r="E698" s="128"/>
      <c r="F698" s="128"/>
      <c r="G698" s="128">
        <v>5521777550.8400002</v>
      </c>
      <c r="H698" s="128"/>
      <c r="I698" s="128"/>
      <c r="J698" s="128"/>
      <c r="K698" s="128"/>
      <c r="L698" s="128"/>
      <c r="M698" s="128"/>
      <c r="N698" s="128"/>
      <c r="O698" s="140">
        <f t="shared" si="304"/>
        <v>5521777550.8400002</v>
      </c>
      <c r="P698" s="109">
        <v>5521777550.8400002</v>
      </c>
      <c r="Q698" s="108">
        <f t="shared" si="311"/>
        <v>0</v>
      </c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  <c r="BO698" s="109"/>
      <c r="BP698" s="109"/>
      <c r="BQ698" s="109"/>
      <c r="BR698" s="109"/>
      <c r="BS698" s="109"/>
      <c r="BT698" s="109"/>
      <c r="BU698" s="109"/>
      <c r="BV698" s="109"/>
    </row>
    <row r="699" spans="1:74" s="112" customFormat="1" ht="15.75" x14ac:dyDescent="0.2">
      <c r="A699" s="81" t="s">
        <v>1714</v>
      </c>
      <c r="B699" s="79" t="s">
        <v>1715</v>
      </c>
      <c r="C699" s="78">
        <f>+C700</f>
        <v>0</v>
      </c>
      <c r="D699" s="78">
        <f t="shared" ref="D699:N699" si="327">+D700</f>
        <v>0</v>
      </c>
      <c r="E699" s="78">
        <f t="shared" si="327"/>
        <v>0</v>
      </c>
      <c r="F699" s="78">
        <f t="shared" si="327"/>
        <v>0</v>
      </c>
      <c r="G699" s="78">
        <f t="shared" si="327"/>
        <v>461783002.39999998</v>
      </c>
      <c r="H699" s="78">
        <f t="shared" si="327"/>
        <v>0</v>
      </c>
      <c r="I699" s="78">
        <f t="shared" si="327"/>
        <v>0</v>
      </c>
      <c r="J699" s="78">
        <f t="shared" si="327"/>
        <v>0</v>
      </c>
      <c r="K699" s="78">
        <f t="shared" si="327"/>
        <v>0</v>
      </c>
      <c r="L699" s="78">
        <f t="shared" si="327"/>
        <v>0</v>
      </c>
      <c r="M699" s="78">
        <f t="shared" si="327"/>
        <v>0</v>
      </c>
      <c r="N699" s="78">
        <f t="shared" si="327"/>
        <v>0</v>
      </c>
      <c r="O699" s="309">
        <f t="shared" si="304"/>
        <v>461783002.39999998</v>
      </c>
      <c r="P699" s="109">
        <v>461783002.39999998</v>
      </c>
      <c r="Q699" s="108">
        <f t="shared" si="311"/>
        <v>0</v>
      </c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111"/>
      <c r="AI699" s="111"/>
      <c r="AJ699" s="111"/>
      <c r="AK699" s="111"/>
      <c r="AL699" s="111"/>
      <c r="AM699" s="111"/>
      <c r="AN699" s="111"/>
      <c r="AO699" s="111"/>
      <c r="AP699" s="111"/>
      <c r="AQ699" s="111"/>
      <c r="AR699" s="111"/>
      <c r="AS699" s="111"/>
      <c r="AT699" s="111"/>
      <c r="AU699" s="111"/>
      <c r="AV699" s="111"/>
      <c r="AW699" s="111"/>
      <c r="AX699" s="111"/>
      <c r="AY699" s="111"/>
      <c r="AZ699" s="111"/>
      <c r="BA699" s="111"/>
      <c r="BB699" s="111"/>
      <c r="BC699" s="111"/>
      <c r="BD699" s="111"/>
      <c r="BE699" s="111"/>
      <c r="BF699" s="111"/>
      <c r="BG699" s="111"/>
      <c r="BH699" s="111"/>
      <c r="BI699" s="111"/>
      <c r="BJ699" s="111"/>
      <c r="BK699" s="111"/>
      <c r="BL699" s="111"/>
      <c r="BM699" s="111"/>
      <c r="BN699" s="111"/>
      <c r="BO699" s="111"/>
      <c r="BP699" s="111"/>
      <c r="BQ699" s="111"/>
      <c r="BR699" s="111"/>
      <c r="BS699" s="111"/>
      <c r="BT699" s="111"/>
      <c r="BU699" s="111"/>
      <c r="BV699" s="111"/>
    </row>
    <row r="700" spans="1:74" s="110" customFormat="1" ht="14.25" x14ac:dyDescent="0.2">
      <c r="A700" s="76" t="s">
        <v>1716</v>
      </c>
      <c r="B700" s="77" t="s">
        <v>1717</v>
      </c>
      <c r="C700" s="128"/>
      <c r="D700" s="128"/>
      <c r="E700" s="128"/>
      <c r="F700" s="128"/>
      <c r="G700" s="128">
        <v>461783002.39999998</v>
      </c>
      <c r="H700" s="128"/>
      <c r="I700" s="128"/>
      <c r="J700" s="128"/>
      <c r="K700" s="128"/>
      <c r="L700" s="128"/>
      <c r="M700" s="128"/>
      <c r="N700" s="128"/>
      <c r="O700" s="140">
        <f t="shared" si="304"/>
        <v>461783002.39999998</v>
      </c>
      <c r="P700" s="109">
        <v>461783002.39999998</v>
      </c>
      <c r="Q700" s="108">
        <f t="shared" si="311"/>
        <v>0</v>
      </c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  <c r="BO700" s="109"/>
      <c r="BP700" s="109"/>
      <c r="BQ700" s="109"/>
      <c r="BR700" s="109"/>
      <c r="BS700" s="109"/>
      <c r="BT700" s="109"/>
      <c r="BU700" s="109"/>
      <c r="BV700" s="109"/>
    </row>
    <row r="701" spans="1:74" s="112" customFormat="1" ht="47.25" x14ac:dyDescent="0.2">
      <c r="A701" s="81" t="s">
        <v>1718</v>
      </c>
      <c r="B701" s="79" t="s">
        <v>1719</v>
      </c>
      <c r="C701" s="78">
        <f>SUM(C702:C705)</f>
        <v>0</v>
      </c>
      <c r="D701" s="78">
        <f t="shared" ref="D701:N701" si="328">SUM(D702:D705)</f>
        <v>0</v>
      </c>
      <c r="E701" s="78">
        <f t="shared" si="328"/>
        <v>0</v>
      </c>
      <c r="F701" s="78">
        <f t="shared" si="328"/>
        <v>0</v>
      </c>
      <c r="G701" s="78">
        <f t="shared" si="328"/>
        <v>1470257557.6600001</v>
      </c>
      <c r="H701" s="78">
        <f t="shared" si="328"/>
        <v>0</v>
      </c>
      <c r="I701" s="78">
        <f t="shared" si="328"/>
        <v>0</v>
      </c>
      <c r="J701" s="78">
        <f t="shared" si="328"/>
        <v>0</v>
      </c>
      <c r="K701" s="78">
        <f t="shared" si="328"/>
        <v>0</v>
      </c>
      <c r="L701" s="78">
        <f t="shared" si="328"/>
        <v>0</v>
      </c>
      <c r="M701" s="78">
        <f t="shared" si="328"/>
        <v>0</v>
      </c>
      <c r="N701" s="78">
        <f t="shared" si="328"/>
        <v>0</v>
      </c>
      <c r="O701" s="309">
        <f t="shared" si="304"/>
        <v>1470257557.6600001</v>
      </c>
      <c r="P701" s="109">
        <v>1470257557.6600001</v>
      </c>
      <c r="Q701" s="108">
        <f t="shared" si="311"/>
        <v>0</v>
      </c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111"/>
      <c r="AI701" s="111"/>
      <c r="AJ701" s="111"/>
      <c r="AK701" s="111"/>
      <c r="AL701" s="111"/>
      <c r="AM701" s="111"/>
      <c r="AN701" s="111"/>
      <c r="AO701" s="111"/>
      <c r="AP701" s="111"/>
      <c r="AQ701" s="111"/>
      <c r="AR701" s="111"/>
      <c r="AS701" s="111"/>
      <c r="AT701" s="111"/>
      <c r="AU701" s="111"/>
      <c r="AV701" s="111"/>
      <c r="AW701" s="111"/>
      <c r="AX701" s="111"/>
      <c r="AY701" s="111"/>
      <c r="AZ701" s="111"/>
      <c r="BA701" s="111"/>
      <c r="BB701" s="111"/>
      <c r="BC701" s="111"/>
      <c r="BD701" s="111"/>
      <c r="BE701" s="111"/>
      <c r="BF701" s="111"/>
      <c r="BG701" s="111"/>
      <c r="BH701" s="111"/>
      <c r="BI701" s="111"/>
      <c r="BJ701" s="111"/>
      <c r="BK701" s="111"/>
      <c r="BL701" s="111"/>
      <c r="BM701" s="111"/>
      <c r="BN701" s="111"/>
      <c r="BO701" s="111"/>
      <c r="BP701" s="111"/>
      <c r="BQ701" s="111"/>
      <c r="BR701" s="111"/>
      <c r="BS701" s="111"/>
      <c r="BT701" s="111"/>
      <c r="BU701" s="111"/>
      <c r="BV701" s="111"/>
    </row>
    <row r="702" spans="1:74" s="110" customFormat="1" ht="28.5" x14ac:dyDescent="0.2">
      <c r="A702" s="76" t="s">
        <v>1720</v>
      </c>
      <c r="B702" s="77" t="s">
        <v>1721</v>
      </c>
      <c r="C702" s="128"/>
      <c r="D702" s="128"/>
      <c r="E702" s="128"/>
      <c r="F702" s="128"/>
      <c r="G702" s="128">
        <v>387647145.37</v>
      </c>
      <c r="H702" s="128"/>
      <c r="I702" s="128"/>
      <c r="J702" s="128"/>
      <c r="K702" s="128"/>
      <c r="L702" s="128"/>
      <c r="M702" s="128"/>
      <c r="N702" s="128"/>
      <c r="O702" s="140">
        <f t="shared" si="304"/>
        <v>387647145.37</v>
      </c>
      <c r="P702" s="109">
        <v>387647145.37</v>
      </c>
      <c r="Q702" s="108">
        <f t="shared" si="311"/>
        <v>0</v>
      </c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  <c r="BO702" s="109"/>
      <c r="BP702" s="109"/>
      <c r="BQ702" s="109"/>
      <c r="BR702" s="109"/>
      <c r="BS702" s="109"/>
      <c r="BT702" s="109"/>
      <c r="BU702" s="109"/>
      <c r="BV702" s="109"/>
    </row>
    <row r="703" spans="1:74" s="110" customFormat="1" ht="42.75" x14ac:dyDescent="0.2">
      <c r="A703" s="76" t="s">
        <v>1722</v>
      </c>
      <c r="B703" s="77" t="s">
        <v>1723</v>
      </c>
      <c r="C703" s="128"/>
      <c r="D703" s="128"/>
      <c r="E703" s="128"/>
      <c r="F703" s="128"/>
      <c r="G703" s="128">
        <v>2113377.75</v>
      </c>
      <c r="H703" s="128"/>
      <c r="I703" s="128"/>
      <c r="J703" s="128"/>
      <c r="K703" s="128"/>
      <c r="L703" s="128"/>
      <c r="M703" s="128"/>
      <c r="N703" s="128"/>
      <c r="O703" s="140">
        <f t="shared" si="304"/>
        <v>2113377.75</v>
      </c>
      <c r="P703" s="109">
        <v>2113377.75</v>
      </c>
      <c r="Q703" s="108">
        <f t="shared" si="311"/>
        <v>0</v>
      </c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  <c r="BO703" s="109"/>
      <c r="BP703" s="109"/>
      <c r="BQ703" s="109"/>
      <c r="BR703" s="109"/>
      <c r="BS703" s="109"/>
      <c r="BT703" s="109"/>
      <c r="BU703" s="109"/>
      <c r="BV703" s="109"/>
    </row>
    <row r="704" spans="1:74" s="110" customFormat="1" ht="28.5" x14ac:dyDescent="0.2">
      <c r="A704" s="76" t="s">
        <v>1724</v>
      </c>
      <c r="B704" s="77" t="s">
        <v>1725</v>
      </c>
      <c r="C704" s="128"/>
      <c r="D704" s="128"/>
      <c r="E704" s="128"/>
      <c r="F704" s="128"/>
      <c r="G704" s="128">
        <v>751847814.38</v>
      </c>
      <c r="H704" s="128"/>
      <c r="I704" s="128"/>
      <c r="J704" s="128"/>
      <c r="K704" s="128"/>
      <c r="L704" s="128"/>
      <c r="M704" s="128"/>
      <c r="N704" s="128"/>
      <c r="O704" s="140">
        <f t="shared" si="304"/>
        <v>751847814.38</v>
      </c>
      <c r="P704" s="109">
        <v>751847814.38</v>
      </c>
      <c r="Q704" s="108">
        <f t="shared" si="311"/>
        <v>0</v>
      </c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  <c r="BO704" s="109"/>
      <c r="BP704" s="109"/>
      <c r="BQ704" s="109"/>
      <c r="BR704" s="109"/>
      <c r="BS704" s="109"/>
      <c r="BT704" s="109"/>
      <c r="BU704" s="109"/>
      <c r="BV704" s="109"/>
    </row>
    <row r="705" spans="1:74" s="110" customFormat="1" ht="42.75" x14ac:dyDescent="0.2">
      <c r="A705" s="76" t="s">
        <v>1726</v>
      </c>
      <c r="B705" s="77" t="s">
        <v>1727</v>
      </c>
      <c r="C705" s="128"/>
      <c r="D705" s="128"/>
      <c r="E705" s="128"/>
      <c r="F705" s="128"/>
      <c r="G705" s="128">
        <v>328649220.16000003</v>
      </c>
      <c r="H705" s="128"/>
      <c r="I705" s="128"/>
      <c r="J705" s="128"/>
      <c r="K705" s="128"/>
      <c r="L705" s="128"/>
      <c r="M705" s="128"/>
      <c r="N705" s="128"/>
      <c r="O705" s="140">
        <f t="shared" si="304"/>
        <v>328649220.16000003</v>
      </c>
      <c r="P705" s="109">
        <v>328649220.16000003</v>
      </c>
      <c r="Q705" s="108">
        <f t="shared" si="311"/>
        <v>0</v>
      </c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  <c r="BO705" s="109"/>
      <c r="BP705" s="109"/>
      <c r="BQ705" s="109"/>
      <c r="BR705" s="109"/>
      <c r="BS705" s="109"/>
      <c r="BT705" s="109"/>
      <c r="BU705" s="109"/>
      <c r="BV705" s="109"/>
    </row>
    <row r="706" spans="1:74" s="112" customFormat="1" ht="15.75" x14ac:dyDescent="0.2">
      <c r="A706" s="81" t="s">
        <v>1728</v>
      </c>
      <c r="B706" s="79" t="s">
        <v>1729</v>
      </c>
      <c r="C706" s="78">
        <f>+C707+C709+C711+C713+C715</f>
        <v>0</v>
      </c>
      <c r="D706" s="78">
        <f t="shared" ref="D706:N706" si="329">+D707+D709+D711+D713+D715</f>
        <v>0</v>
      </c>
      <c r="E706" s="78">
        <f t="shared" si="329"/>
        <v>0</v>
      </c>
      <c r="F706" s="78">
        <f t="shared" si="329"/>
        <v>0</v>
      </c>
      <c r="G706" s="78">
        <f t="shared" si="329"/>
        <v>407056991.80000001</v>
      </c>
      <c r="H706" s="78">
        <f t="shared" si="329"/>
        <v>0</v>
      </c>
      <c r="I706" s="78">
        <f t="shared" si="329"/>
        <v>0</v>
      </c>
      <c r="J706" s="78">
        <f t="shared" si="329"/>
        <v>0</v>
      </c>
      <c r="K706" s="78">
        <f t="shared" si="329"/>
        <v>0</v>
      </c>
      <c r="L706" s="78">
        <f t="shared" si="329"/>
        <v>0</v>
      </c>
      <c r="M706" s="78">
        <f t="shared" si="329"/>
        <v>0</v>
      </c>
      <c r="N706" s="78">
        <f t="shared" si="329"/>
        <v>0</v>
      </c>
      <c r="O706" s="309">
        <f t="shared" si="304"/>
        <v>407056991.80000001</v>
      </c>
      <c r="P706" s="109">
        <v>407056991.80000001</v>
      </c>
      <c r="Q706" s="108">
        <f t="shared" si="311"/>
        <v>0</v>
      </c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111"/>
      <c r="AI706" s="111"/>
      <c r="AJ706" s="111"/>
      <c r="AK706" s="111"/>
      <c r="AL706" s="111"/>
      <c r="AM706" s="111"/>
      <c r="AN706" s="111"/>
      <c r="AO706" s="111"/>
      <c r="AP706" s="111"/>
      <c r="AQ706" s="111"/>
      <c r="AR706" s="111"/>
      <c r="AS706" s="111"/>
      <c r="AT706" s="111"/>
      <c r="AU706" s="111"/>
      <c r="AV706" s="111"/>
      <c r="AW706" s="111"/>
      <c r="AX706" s="111"/>
      <c r="AY706" s="111"/>
      <c r="AZ706" s="111"/>
      <c r="BA706" s="111"/>
      <c r="BB706" s="111"/>
      <c r="BC706" s="111"/>
      <c r="BD706" s="111"/>
      <c r="BE706" s="111"/>
      <c r="BF706" s="111"/>
      <c r="BG706" s="111"/>
      <c r="BH706" s="111"/>
      <c r="BI706" s="111"/>
      <c r="BJ706" s="111"/>
      <c r="BK706" s="111"/>
      <c r="BL706" s="111"/>
      <c r="BM706" s="111"/>
      <c r="BN706" s="111"/>
      <c r="BO706" s="111"/>
      <c r="BP706" s="111"/>
      <c r="BQ706" s="111"/>
      <c r="BR706" s="111"/>
      <c r="BS706" s="111"/>
      <c r="BT706" s="111"/>
      <c r="BU706" s="111"/>
      <c r="BV706" s="111"/>
    </row>
    <row r="707" spans="1:74" s="112" customFormat="1" ht="63" x14ac:dyDescent="0.2">
      <c r="A707" s="81" t="s">
        <v>1730</v>
      </c>
      <c r="B707" s="79" t="s">
        <v>110</v>
      </c>
      <c r="C707" s="78">
        <f>+C708</f>
        <v>0</v>
      </c>
      <c r="D707" s="78">
        <f t="shared" ref="D707:N707" si="330">+D708</f>
        <v>0</v>
      </c>
      <c r="E707" s="78">
        <f t="shared" si="330"/>
        <v>0</v>
      </c>
      <c r="F707" s="78">
        <f t="shared" si="330"/>
        <v>0</v>
      </c>
      <c r="G707" s="78">
        <f t="shared" si="330"/>
        <v>145325420.40000001</v>
      </c>
      <c r="H707" s="78">
        <f t="shared" si="330"/>
        <v>0</v>
      </c>
      <c r="I707" s="78">
        <f t="shared" si="330"/>
        <v>0</v>
      </c>
      <c r="J707" s="78">
        <f t="shared" si="330"/>
        <v>0</v>
      </c>
      <c r="K707" s="78">
        <f t="shared" si="330"/>
        <v>0</v>
      </c>
      <c r="L707" s="78">
        <f t="shared" si="330"/>
        <v>0</v>
      </c>
      <c r="M707" s="78">
        <f t="shared" si="330"/>
        <v>0</v>
      </c>
      <c r="N707" s="78">
        <f t="shared" si="330"/>
        <v>0</v>
      </c>
      <c r="O707" s="309">
        <f t="shared" si="304"/>
        <v>145325420.40000001</v>
      </c>
      <c r="P707" s="109">
        <v>145325420.40000001</v>
      </c>
      <c r="Q707" s="108">
        <f t="shared" si="311"/>
        <v>0</v>
      </c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111"/>
      <c r="AI707" s="111"/>
      <c r="AJ707" s="111"/>
      <c r="AK707" s="111"/>
      <c r="AL707" s="111"/>
      <c r="AM707" s="111"/>
      <c r="AN707" s="111"/>
      <c r="AO707" s="111"/>
      <c r="AP707" s="111"/>
      <c r="AQ707" s="111"/>
      <c r="AR707" s="111"/>
      <c r="AS707" s="111"/>
      <c r="AT707" s="111"/>
      <c r="AU707" s="111"/>
      <c r="AV707" s="111"/>
      <c r="AW707" s="111"/>
      <c r="AX707" s="111"/>
      <c r="AY707" s="111"/>
      <c r="AZ707" s="111"/>
      <c r="BA707" s="111"/>
      <c r="BB707" s="111"/>
      <c r="BC707" s="111"/>
      <c r="BD707" s="111"/>
      <c r="BE707" s="111"/>
      <c r="BF707" s="111"/>
      <c r="BG707" s="111"/>
      <c r="BH707" s="111"/>
      <c r="BI707" s="111"/>
      <c r="BJ707" s="111"/>
      <c r="BK707" s="111"/>
      <c r="BL707" s="111"/>
      <c r="BM707" s="111"/>
      <c r="BN707" s="111"/>
      <c r="BO707" s="111"/>
      <c r="BP707" s="111"/>
      <c r="BQ707" s="111"/>
      <c r="BR707" s="111"/>
      <c r="BS707" s="111"/>
      <c r="BT707" s="111"/>
      <c r="BU707" s="111"/>
      <c r="BV707" s="111"/>
    </row>
    <row r="708" spans="1:74" s="110" customFormat="1" ht="28.5" x14ac:dyDescent="0.2">
      <c r="A708" s="76" t="s">
        <v>1731</v>
      </c>
      <c r="B708" s="77" t="s">
        <v>1732</v>
      </c>
      <c r="C708" s="128"/>
      <c r="D708" s="128"/>
      <c r="E708" s="128"/>
      <c r="F708" s="128"/>
      <c r="G708" s="128">
        <v>145325420.40000001</v>
      </c>
      <c r="H708" s="128"/>
      <c r="I708" s="128"/>
      <c r="J708" s="128"/>
      <c r="K708" s="128"/>
      <c r="L708" s="128"/>
      <c r="M708" s="128"/>
      <c r="N708" s="128"/>
      <c r="O708" s="140">
        <f t="shared" si="304"/>
        <v>145325420.40000001</v>
      </c>
      <c r="P708" s="109">
        <v>145325420.40000001</v>
      </c>
      <c r="Q708" s="108">
        <f t="shared" si="311"/>
        <v>0</v>
      </c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  <c r="BO708" s="109"/>
      <c r="BP708" s="109"/>
      <c r="BQ708" s="109"/>
      <c r="BR708" s="109"/>
      <c r="BS708" s="109"/>
      <c r="BT708" s="109"/>
      <c r="BU708" s="109"/>
      <c r="BV708" s="109"/>
    </row>
    <row r="709" spans="1:74" s="112" customFormat="1" ht="31.5" x14ac:dyDescent="0.2">
      <c r="A709" s="81" t="s">
        <v>1733</v>
      </c>
      <c r="B709" s="79" t="s">
        <v>1734</v>
      </c>
      <c r="C709" s="78">
        <f>+C710</f>
        <v>0</v>
      </c>
      <c r="D709" s="78">
        <f t="shared" ref="D709:N709" si="331">+D710</f>
        <v>0</v>
      </c>
      <c r="E709" s="78">
        <f t="shared" si="331"/>
        <v>0</v>
      </c>
      <c r="F709" s="78">
        <f t="shared" si="331"/>
        <v>0</v>
      </c>
      <c r="G709" s="78">
        <f t="shared" si="331"/>
        <v>95830968</v>
      </c>
      <c r="H709" s="78">
        <f t="shared" si="331"/>
        <v>0</v>
      </c>
      <c r="I709" s="78">
        <f t="shared" si="331"/>
        <v>0</v>
      </c>
      <c r="J709" s="78">
        <f t="shared" si="331"/>
        <v>0</v>
      </c>
      <c r="K709" s="78">
        <f t="shared" si="331"/>
        <v>0</v>
      </c>
      <c r="L709" s="78">
        <f t="shared" si="331"/>
        <v>0</v>
      </c>
      <c r="M709" s="78">
        <f t="shared" si="331"/>
        <v>0</v>
      </c>
      <c r="N709" s="78">
        <f t="shared" si="331"/>
        <v>0</v>
      </c>
      <c r="O709" s="309">
        <f t="shared" si="304"/>
        <v>95830968</v>
      </c>
      <c r="P709" s="109">
        <v>95830968</v>
      </c>
      <c r="Q709" s="108">
        <f t="shared" si="311"/>
        <v>0</v>
      </c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1"/>
      <c r="AM709" s="111"/>
      <c r="AN709" s="111"/>
      <c r="AO709" s="111"/>
      <c r="AP709" s="111"/>
      <c r="AQ709" s="111"/>
      <c r="AR709" s="111"/>
      <c r="AS709" s="111"/>
      <c r="AT709" s="111"/>
      <c r="AU709" s="111"/>
      <c r="AV709" s="111"/>
      <c r="AW709" s="111"/>
      <c r="AX709" s="111"/>
      <c r="AY709" s="111"/>
      <c r="AZ709" s="111"/>
      <c r="BA709" s="111"/>
      <c r="BB709" s="111"/>
      <c r="BC709" s="111"/>
      <c r="BD709" s="111"/>
      <c r="BE709" s="111"/>
      <c r="BF709" s="111"/>
      <c r="BG709" s="111"/>
      <c r="BH709" s="111"/>
      <c r="BI709" s="111"/>
      <c r="BJ709" s="111"/>
      <c r="BK709" s="111"/>
      <c r="BL709" s="111"/>
      <c r="BM709" s="111"/>
      <c r="BN709" s="111"/>
      <c r="BO709" s="111"/>
      <c r="BP709" s="111"/>
      <c r="BQ709" s="111"/>
      <c r="BR709" s="111"/>
      <c r="BS709" s="111"/>
      <c r="BT709" s="111"/>
      <c r="BU709" s="111"/>
      <c r="BV709" s="111"/>
    </row>
    <row r="710" spans="1:74" s="110" customFormat="1" ht="28.5" x14ac:dyDescent="0.2">
      <c r="A710" s="76" t="s">
        <v>1735</v>
      </c>
      <c r="B710" s="77" t="s">
        <v>1734</v>
      </c>
      <c r="C710" s="128"/>
      <c r="D710" s="128"/>
      <c r="E710" s="128"/>
      <c r="F710" s="128"/>
      <c r="G710" s="128">
        <v>95830968</v>
      </c>
      <c r="H710" s="128"/>
      <c r="I710" s="128"/>
      <c r="J710" s="128"/>
      <c r="K710" s="128"/>
      <c r="L710" s="128"/>
      <c r="M710" s="128"/>
      <c r="N710" s="128"/>
      <c r="O710" s="140">
        <f t="shared" si="304"/>
        <v>95830968</v>
      </c>
      <c r="P710" s="109">
        <v>95830968</v>
      </c>
      <c r="Q710" s="108">
        <f t="shared" si="311"/>
        <v>0</v>
      </c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  <c r="BO710" s="109"/>
      <c r="BP710" s="109"/>
      <c r="BQ710" s="109"/>
      <c r="BR710" s="109"/>
      <c r="BS710" s="109"/>
      <c r="BT710" s="109"/>
      <c r="BU710" s="109"/>
      <c r="BV710" s="109"/>
    </row>
    <row r="711" spans="1:74" s="112" customFormat="1" ht="31.5" x14ac:dyDescent="0.2">
      <c r="A711" s="81" t="s">
        <v>1736</v>
      </c>
      <c r="B711" s="79" t="s">
        <v>1737</v>
      </c>
      <c r="C711" s="78">
        <f>+C712</f>
        <v>0</v>
      </c>
      <c r="D711" s="78">
        <f t="shared" ref="D711:N711" si="332">+D712</f>
        <v>0</v>
      </c>
      <c r="E711" s="78">
        <f t="shared" si="332"/>
        <v>0</v>
      </c>
      <c r="F711" s="78">
        <f t="shared" si="332"/>
        <v>0</v>
      </c>
      <c r="G711" s="78">
        <f t="shared" si="332"/>
        <v>14844803.4</v>
      </c>
      <c r="H711" s="78">
        <f t="shared" si="332"/>
        <v>0</v>
      </c>
      <c r="I711" s="78">
        <f t="shared" si="332"/>
        <v>0</v>
      </c>
      <c r="J711" s="78">
        <f t="shared" si="332"/>
        <v>0</v>
      </c>
      <c r="K711" s="78">
        <f t="shared" si="332"/>
        <v>0</v>
      </c>
      <c r="L711" s="78">
        <f t="shared" si="332"/>
        <v>0</v>
      </c>
      <c r="M711" s="78">
        <f t="shared" si="332"/>
        <v>0</v>
      </c>
      <c r="N711" s="78">
        <f t="shared" si="332"/>
        <v>0</v>
      </c>
      <c r="O711" s="309">
        <f t="shared" si="304"/>
        <v>14844803.4</v>
      </c>
      <c r="P711" s="109">
        <v>14844803.4</v>
      </c>
      <c r="Q711" s="108">
        <f t="shared" si="311"/>
        <v>0</v>
      </c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  <c r="AE711" s="111"/>
      <c r="AF711" s="111"/>
      <c r="AG711" s="111"/>
      <c r="AH711" s="111"/>
      <c r="AI711" s="111"/>
      <c r="AJ711" s="111"/>
      <c r="AK711" s="111"/>
      <c r="AL711" s="111"/>
      <c r="AM711" s="111"/>
      <c r="AN711" s="111"/>
      <c r="AO711" s="111"/>
      <c r="AP711" s="111"/>
      <c r="AQ711" s="111"/>
      <c r="AR711" s="111"/>
      <c r="AS711" s="111"/>
      <c r="AT711" s="111"/>
      <c r="AU711" s="111"/>
      <c r="AV711" s="111"/>
      <c r="AW711" s="111"/>
      <c r="AX711" s="111"/>
      <c r="AY711" s="111"/>
      <c r="AZ711" s="111"/>
      <c r="BA711" s="111"/>
      <c r="BB711" s="111"/>
      <c r="BC711" s="111"/>
      <c r="BD711" s="111"/>
      <c r="BE711" s="111"/>
      <c r="BF711" s="111"/>
      <c r="BG711" s="111"/>
      <c r="BH711" s="111"/>
      <c r="BI711" s="111"/>
      <c r="BJ711" s="111"/>
      <c r="BK711" s="111"/>
      <c r="BL711" s="111"/>
      <c r="BM711" s="111"/>
      <c r="BN711" s="111"/>
      <c r="BO711" s="111"/>
      <c r="BP711" s="111"/>
      <c r="BQ711" s="111"/>
      <c r="BR711" s="111"/>
      <c r="BS711" s="111"/>
      <c r="BT711" s="111"/>
      <c r="BU711" s="111"/>
      <c r="BV711" s="111"/>
    </row>
    <row r="712" spans="1:74" s="110" customFormat="1" ht="28.5" x14ac:dyDescent="0.2">
      <c r="A712" s="76" t="s">
        <v>1738</v>
      </c>
      <c r="B712" s="77" t="s">
        <v>1739</v>
      </c>
      <c r="C712" s="128"/>
      <c r="D712" s="128"/>
      <c r="E712" s="128"/>
      <c r="F712" s="128"/>
      <c r="G712" s="128">
        <v>14844803.4</v>
      </c>
      <c r="H712" s="128"/>
      <c r="I712" s="128"/>
      <c r="J712" s="128"/>
      <c r="K712" s="128"/>
      <c r="L712" s="128"/>
      <c r="M712" s="128"/>
      <c r="N712" s="128"/>
      <c r="O712" s="140">
        <f t="shared" si="304"/>
        <v>14844803.4</v>
      </c>
      <c r="P712" s="109">
        <v>14844803.4</v>
      </c>
      <c r="Q712" s="108">
        <f t="shared" si="311"/>
        <v>0</v>
      </c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  <c r="BO712" s="109"/>
      <c r="BP712" s="109"/>
      <c r="BQ712" s="109"/>
      <c r="BR712" s="109"/>
      <c r="BS712" s="109"/>
      <c r="BT712" s="109"/>
      <c r="BU712" s="109"/>
      <c r="BV712" s="109"/>
    </row>
    <row r="713" spans="1:74" s="112" customFormat="1" ht="47.25" x14ac:dyDescent="0.2">
      <c r="A713" s="81" t="s">
        <v>1740</v>
      </c>
      <c r="B713" s="79" t="s">
        <v>1741</v>
      </c>
      <c r="C713" s="78">
        <f>+C714</f>
        <v>0</v>
      </c>
      <c r="D713" s="78">
        <f t="shared" ref="D713:N713" si="333">+D714</f>
        <v>0</v>
      </c>
      <c r="E713" s="78">
        <f t="shared" si="333"/>
        <v>0</v>
      </c>
      <c r="F713" s="78">
        <f t="shared" si="333"/>
        <v>0</v>
      </c>
      <c r="G713" s="78">
        <f t="shared" si="333"/>
        <v>112000000</v>
      </c>
      <c r="H713" s="78">
        <f t="shared" si="333"/>
        <v>0</v>
      </c>
      <c r="I713" s="78">
        <f t="shared" si="333"/>
        <v>0</v>
      </c>
      <c r="J713" s="78">
        <f t="shared" si="333"/>
        <v>0</v>
      </c>
      <c r="K713" s="78">
        <f t="shared" si="333"/>
        <v>0</v>
      </c>
      <c r="L713" s="78">
        <f t="shared" si="333"/>
        <v>0</v>
      </c>
      <c r="M713" s="78">
        <f t="shared" si="333"/>
        <v>0</v>
      </c>
      <c r="N713" s="78">
        <f t="shared" si="333"/>
        <v>0</v>
      </c>
      <c r="O713" s="309">
        <f t="shared" si="304"/>
        <v>112000000</v>
      </c>
      <c r="P713" s="109">
        <v>112000000</v>
      </c>
      <c r="Q713" s="108">
        <f t="shared" si="311"/>
        <v>0</v>
      </c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111"/>
      <c r="AI713" s="111"/>
      <c r="AJ713" s="111"/>
      <c r="AK713" s="111"/>
      <c r="AL713" s="111"/>
      <c r="AM713" s="111"/>
      <c r="AN713" s="111"/>
      <c r="AO713" s="111"/>
      <c r="AP713" s="111"/>
      <c r="AQ713" s="111"/>
      <c r="AR713" s="111"/>
      <c r="AS713" s="111"/>
      <c r="AT713" s="111"/>
      <c r="AU713" s="111"/>
      <c r="AV713" s="111"/>
      <c r="AW713" s="111"/>
      <c r="AX713" s="111"/>
      <c r="AY713" s="111"/>
      <c r="AZ713" s="111"/>
      <c r="BA713" s="111"/>
      <c r="BB713" s="111"/>
      <c r="BC713" s="111"/>
      <c r="BD713" s="111"/>
      <c r="BE713" s="111"/>
      <c r="BF713" s="111"/>
      <c r="BG713" s="111"/>
      <c r="BH713" s="111"/>
      <c r="BI713" s="111"/>
      <c r="BJ713" s="111"/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</row>
    <row r="714" spans="1:74" s="110" customFormat="1" ht="42.75" x14ac:dyDescent="0.2">
      <c r="A714" s="76" t="s">
        <v>1742</v>
      </c>
      <c r="B714" s="77" t="s">
        <v>1743</v>
      </c>
      <c r="C714" s="128"/>
      <c r="D714" s="128"/>
      <c r="E714" s="128"/>
      <c r="F714" s="128"/>
      <c r="G714" s="128">
        <v>112000000</v>
      </c>
      <c r="H714" s="128"/>
      <c r="I714" s="128"/>
      <c r="J714" s="128"/>
      <c r="K714" s="128"/>
      <c r="L714" s="128"/>
      <c r="M714" s="128"/>
      <c r="N714" s="128"/>
      <c r="O714" s="140">
        <f t="shared" si="304"/>
        <v>112000000</v>
      </c>
      <c r="P714" s="109">
        <v>112000000</v>
      </c>
      <c r="Q714" s="108">
        <f t="shared" si="311"/>
        <v>0</v>
      </c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  <c r="BO714" s="109"/>
      <c r="BP714" s="109"/>
      <c r="BQ714" s="109"/>
      <c r="BR714" s="109"/>
      <c r="BS714" s="109"/>
      <c r="BT714" s="109"/>
      <c r="BU714" s="109"/>
      <c r="BV714" s="109"/>
    </row>
    <row r="715" spans="1:74" s="112" customFormat="1" ht="31.5" x14ac:dyDescent="0.2">
      <c r="A715" s="81" t="s">
        <v>1744</v>
      </c>
      <c r="B715" s="79" t="s">
        <v>1745</v>
      </c>
      <c r="C715" s="78">
        <f>+C716</f>
        <v>0</v>
      </c>
      <c r="D715" s="78">
        <f t="shared" ref="D715:N715" si="334">+D716</f>
        <v>0</v>
      </c>
      <c r="E715" s="78">
        <f t="shared" si="334"/>
        <v>0</v>
      </c>
      <c r="F715" s="78">
        <f t="shared" si="334"/>
        <v>0</v>
      </c>
      <c r="G715" s="78">
        <f t="shared" si="334"/>
        <v>39055800</v>
      </c>
      <c r="H715" s="78">
        <f t="shared" si="334"/>
        <v>0</v>
      </c>
      <c r="I715" s="78">
        <f t="shared" si="334"/>
        <v>0</v>
      </c>
      <c r="J715" s="78">
        <f t="shared" si="334"/>
        <v>0</v>
      </c>
      <c r="K715" s="78">
        <f t="shared" si="334"/>
        <v>0</v>
      </c>
      <c r="L715" s="78">
        <f t="shared" si="334"/>
        <v>0</v>
      </c>
      <c r="M715" s="78">
        <f t="shared" si="334"/>
        <v>0</v>
      </c>
      <c r="N715" s="78">
        <f t="shared" si="334"/>
        <v>0</v>
      </c>
      <c r="O715" s="309">
        <f t="shared" ref="O715:O764" si="335">SUM(C715:N715)</f>
        <v>39055800</v>
      </c>
      <c r="P715" s="109">
        <v>39055800</v>
      </c>
      <c r="Q715" s="108">
        <f t="shared" si="311"/>
        <v>0</v>
      </c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111"/>
      <c r="AI715" s="111"/>
      <c r="AJ715" s="111"/>
      <c r="AK715" s="111"/>
      <c r="AL715" s="111"/>
      <c r="AM715" s="111"/>
      <c r="AN715" s="111"/>
      <c r="AO715" s="111"/>
      <c r="AP715" s="111"/>
      <c r="AQ715" s="111"/>
      <c r="AR715" s="111"/>
      <c r="AS715" s="111"/>
      <c r="AT715" s="111"/>
      <c r="AU715" s="111"/>
      <c r="AV715" s="111"/>
      <c r="AW715" s="111"/>
      <c r="AX715" s="111"/>
      <c r="AY715" s="111"/>
      <c r="AZ715" s="111"/>
      <c r="BA715" s="111"/>
      <c r="BB715" s="111"/>
      <c r="BC715" s="111"/>
      <c r="BD715" s="111"/>
      <c r="BE715" s="111"/>
      <c r="BF715" s="111"/>
      <c r="BG715" s="111"/>
      <c r="BH715" s="111"/>
      <c r="BI715" s="111"/>
      <c r="BJ715" s="111"/>
      <c r="BK715" s="111"/>
      <c r="BL715" s="111"/>
      <c r="BM715" s="111"/>
      <c r="BN715" s="111"/>
      <c r="BO715" s="111"/>
      <c r="BP715" s="111"/>
      <c r="BQ715" s="111"/>
      <c r="BR715" s="111"/>
      <c r="BS715" s="111"/>
      <c r="BT715" s="111"/>
      <c r="BU715" s="111"/>
      <c r="BV715" s="111"/>
    </row>
    <row r="716" spans="1:74" s="110" customFormat="1" ht="14.25" x14ac:dyDescent="0.2">
      <c r="A716" s="76" t="s">
        <v>1746</v>
      </c>
      <c r="B716" s="77" t="s">
        <v>1747</v>
      </c>
      <c r="C716" s="128"/>
      <c r="D716" s="128"/>
      <c r="E716" s="128"/>
      <c r="F716" s="128"/>
      <c r="G716" s="128">
        <v>39055800</v>
      </c>
      <c r="H716" s="128"/>
      <c r="I716" s="128"/>
      <c r="J716" s="128"/>
      <c r="K716" s="128"/>
      <c r="L716" s="128"/>
      <c r="M716" s="128"/>
      <c r="N716" s="128"/>
      <c r="O716" s="140">
        <f t="shared" si="335"/>
        <v>39055800</v>
      </c>
      <c r="P716" s="109">
        <v>39055800</v>
      </c>
      <c r="Q716" s="108">
        <f t="shared" si="311"/>
        <v>0</v>
      </c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  <c r="BO716" s="109"/>
      <c r="BP716" s="109"/>
      <c r="BQ716" s="109"/>
      <c r="BR716" s="109"/>
      <c r="BS716" s="109"/>
      <c r="BT716" s="109"/>
      <c r="BU716" s="109"/>
      <c r="BV716" s="109"/>
    </row>
    <row r="717" spans="1:74" s="112" customFormat="1" ht="31.5" x14ac:dyDescent="0.2">
      <c r="A717" s="81" t="s">
        <v>1748</v>
      </c>
      <c r="B717" s="79" t="s">
        <v>1749</v>
      </c>
      <c r="C717" s="78">
        <f>+C718</f>
        <v>0</v>
      </c>
      <c r="D717" s="78">
        <f t="shared" ref="D717:N717" si="336">+D718</f>
        <v>0</v>
      </c>
      <c r="E717" s="78">
        <f t="shared" si="336"/>
        <v>0</v>
      </c>
      <c r="F717" s="78">
        <f t="shared" si="336"/>
        <v>0</v>
      </c>
      <c r="G717" s="78">
        <f t="shared" si="336"/>
        <v>6171202231.1300001</v>
      </c>
      <c r="H717" s="78">
        <f t="shared" si="336"/>
        <v>0</v>
      </c>
      <c r="I717" s="78">
        <f t="shared" si="336"/>
        <v>0</v>
      </c>
      <c r="J717" s="78">
        <f t="shared" si="336"/>
        <v>0</v>
      </c>
      <c r="K717" s="78">
        <f t="shared" si="336"/>
        <v>0</v>
      </c>
      <c r="L717" s="78">
        <f t="shared" si="336"/>
        <v>0</v>
      </c>
      <c r="M717" s="78">
        <f t="shared" si="336"/>
        <v>0</v>
      </c>
      <c r="N717" s="78">
        <f t="shared" si="336"/>
        <v>0</v>
      </c>
      <c r="O717" s="309">
        <f t="shared" si="335"/>
        <v>6171202231.1300001</v>
      </c>
      <c r="P717" s="109">
        <v>6171202231.1300001</v>
      </c>
      <c r="Q717" s="108">
        <f t="shared" si="311"/>
        <v>0</v>
      </c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111"/>
      <c r="AI717" s="111"/>
      <c r="AJ717" s="111"/>
      <c r="AK717" s="111"/>
      <c r="AL717" s="111"/>
      <c r="AM717" s="111"/>
      <c r="AN717" s="111"/>
      <c r="AO717" s="111"/>
      <c r="AP717" s="111"/>
      <c r="AQ717" s="111"/>
      <c r="AR717" s="111"/>
      <c r="AS717" s="111"/>
      <c r="AT717" s="111"/>
      <c r="AU717" s="111"/>
      <c r="AV717" s="111"/>
      <c r="AW717" s="111"/>
      <c r="AX717" s="111"/>
      <c r="AY717" s="111"/>
      <c r="AZ717" s="111"/>
      <c r="BA717" s="111"/>
      <c r="BB717" s="111"/>
      <c r="BC717" s="111"/>
      <c r="BD717" s="111"/>
      <c r="BE717" s="111"/>
      <c r="BF717" s="111"/>
      <c r="BG717" s="111"/>
      <c r="BH717" s="111"/>
      <c r="BI717" s="111"/>
      <c r="BJ717" s="111"/>
      <c r="BK717" s="111"/>
      <c r="BL717" s="111"/>
      <c r="BM717" s="111"/>
      <c r="BN717" s="111"/>
      <c r="BO717" s="111"/>
      <c r="BP717" s="111"/>
      <c r="BQ717" s="111"/>
      <c r="BR717" s="111"/>
      <c r="BS717" s="111"/>
      <c r="BT717" s="111"/>
      <c r="BU717" s="111"/>
      <c r="BV717" s="111"/>
    </row>
    <row r="718" spans="1:74" s="110" customFormat="1" ht="28.5" x14ac:dyDescent="0.2">
      <c r="A718" s="76" t="s">
        <v>1750</v>
      </c>
      <c r="B718" s="77" t="s">
        <v>1751</v>
      </c>
      <c r="C718" s="128"/>
      <c r="D718" s="128"/>
      <c r="E718" s="128"/>
      <c r="F718" s="128"/>
      <c r="G718" s="128">
        <v>6171202231.1300001</v>
      </c>
      <c r="H718" s="128"/>
      <c r="I718" s="128"/>
      <c r="J718" s="128"/>
      <c r="K718" s="128"/>
      <c r="L718" s="128"/>
      <c r="M718" s="128"/>
      <c r="N718" s="128"/>
      <c r="O718" s="140">
        <f t="shared" si="335"/>
        <v>6171202231.1300001</v>
      </c>
      <c r="P718" s="109">
        <v>6171202231.1300001</v>
      </c>
      <c r="Q718" s="108">
        <f t="shared" si="311"/>
        <v>0</v>
      </c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  <c r="BO718" s="109"/>
      <c r="BP718" s="109"/>
      <c r="BQ718" s="109"/>
      <c r="BR718" s="109"/>
      <c r="BS718" s="109"/>
      <c r="BT718" s="109"/>
      <c r="BU718" s="109"/>
      <c r="BV718" s="109"/>
    </row>
    <row r="719" spans="1:74" s="112" customFormat="1" ht="31.5" x14ac:dyDescent="0.2">
      <c r="A719" s="81" t="s">
        <v>1752</v>
      </c>
      <c r="B719" s="79" t="s">
        <v>1753</v>
      </c>
      <c r="C719" s="78">
        <f>SUM(C720:C764)</f>
        <v>0</v>
      </c>
      <c r="D719" s="78">
        <f t="shared" ref="D719:N719" si="337">SUM(D720:D764)</f>
        <v>0</v>
      </c>
      <c r="E719" s="78">
        <f t="shared" si="337"/>
        <v>0</v>
      </c>
      <c r="F719" s="78">
        <f t="shared" si="337"/>
        <v>0</v>
      </c>
      <c r="G719" s="78">
        <f t="shared" si="337"/>
        <v>71889004628.699997</v>
      </c>
      <c r="H719" s="78">
        <f t="shared" si="337"/>
        <v>0</v>
      </c>
      <c r="I719" s="78">
        <f t="shared" si="337"/>
        <v>0</v>
      </c>
      <c r="J719" s="78">
        <f t="shared" si="337"/>
        <v>0</v>
      </c>
      <c r="K719" s="78">
        <f t="shared" si="337"/>
        <v>0</v>
      </c>
      <c r="L719" s="78">
        <f t="shared" si="337"/>
        <v>0</v>
      </c>
      <c r="M719" s="78">
        <f t="shared" si="337"/>
        <v>0</v>
      </c>
      <c r="N719" s="78">
        <f t="shared" si="337"/>
        <v>0</v>
      </c>
      <c r="O719" s="309">
        <f t="shared" si="335"/>
        <v>71889004628.699997</v>
      </c>
      <c r="P719" s="109">
        <v>71889004628.699997</v>
      </c>
      <c r="Q719" s="108">
        <f t="shared" si="311"/>
        <v>0</v>
      </c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1"/>
      <c r="AM719" s="111"/>
      <c r="AN719" s="111"/>
      <c r="AO719" s="111"/>
      <c r="AP719" s="111"/>
      <c r="AQ719" s="111"/>
      <c r="AR719" s="111"/>
      <c r="AS719" s="111"/>
      <c r="AT719" s="111"/>
      <c r="AU719" s="111"/>
      <c r="AV719" s="111"/>
      <c r="AW719" s="111"/>
      <c r="AX719" s="111"/>
      <c r="AY719" s="111"/>
      <c r="AZ719" s="111"/>
      <c r="BA719" s="111"/>
      <c r="BB719" s="111"/>
      <c r="BC719" s="111"/>
      <c r="BD719" s="111"/>
      <c r="BE719" s="111"/>
      <c r="BF719" s="111"/>
      <c r="BG719" s="111"/>
      <c r="BH719" s="111"/>
      <c r="BI719" s="111"/>
      <c r="BJ719" s="111"/>
      <c r="BK719" s="111"/>
      <c r="BL719" s="111"/>
      <c r="BM719" s="111"/>
      <c r="BN719" s="111"/>
      <c r="BO719" s="111"/>
      <c r="BP719" s="111"/>
      <c r="BQ719" s="111"/>
      <c r="BR719" s="111"/>
      <c r="BS719" s="111"/>
      <c r="BT719" s="111"/>
      <c r="BU719" s="111"/>
      <c r="BV719" s="111"/>
    </row>
    <row r="720" spans="1:74" s="110" customFormat="1" ht="71.25" x14ac:dyDescent="0.2">
      <c r="A720" s="76" t="s">
        <v>1754</v>
      </c>
      <c r="B720" s="77" t="s">
        <v>1755</v>
      </c>
      <c r="C720" s="128"/>
      <c r="D720" s="128"/>
      <c r="E720" s="128"/>
      <c r="F720" s="128"/>
      <c r="G720" s="128">
        <v>200</v>
      </c>
      <c r="H720" s="128"/>
      <c r="I720" s="128"/>
      <c r="J720" s="128"/>
      <c r="K720" s="128"/>
      <c r="L720" s="128"/>
      <c r="M720" s="128"/>
      <c r="N720" s="128"/>
      <c r="O720" s="140">
        <f t="shared" si="335"/>
        <v>200</v>
      </c>
      <c r="P720" s="109">
        <v>200</v>
      </c>
      <c r="Q720" s="108">
        <f t="shared" si="311"/>
        <v>0</v>
      </c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  <c r="BO720" s="109"/>
      <c r="BP720" s="109"/>
      <c r="BQ720" s="109"/>
      <c r="BR720" s="109"/>
      <c r="BS720" s="109"/>
      <c r="BT720" s="109"/>
      <c r="BU720" s="109"/>
      <c r="BV720" s="109"/>
    </row>
    <row r="721" spans="1:74" s="110" customFormat="1" ht="71.25" x14ac:dyDescent="0.2">
      <c r="A721" s="76" t="s">
        <v>1756</v>
      </c>
      <c r="B721" s="77" t="s">
        <v>1757</v>
      </c>
      <c r="C721" s="128"/>
      <c r="D721" s="128"/>
      <c r="E721" s="128"/>
      <c r="F721" s="128"/>
      <c r="G721" s="128">
        <v>694330329.00999999</v>
      </c>
      <c r="H721" s="128"/>
      <c r="I721" s="128"/>
      <c r="J721" s="128"/>
      <c r="K721" s="128"/>
      <c r="L721" s="128"/>
      <c r="M721" s="128"/>
      <c r="N721" s="128"/>
      <c r="O721" s="140">
        <f t="shared" si="335"/>
        <v>694330329.00999999</v>
      </c>
      <c r="P721" s="109">
        <v>694330329.00999999</v>
      </c>
      <c r="Q721" s="108">
        <f t="shared" si="311"/>
        <v>0</v>
      </c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09"/>
      <c r="BE721" s="109"/>
      <c r="BF721" s="109"/>
      <c r="BG721" s="109"/>
      <c r="BH721" s="109"/>
      <c r="BI721" s="109"/>
      <c r="BJ721" s="109"/>
      <c r="BK721" s="109"/>
      <c r="BL721" s="109"/>
      <c r="BM721" s="109"/>
      <c r="BN721" s="109"/>
      <c r="BO721" s="109"/>
      <c r="BP721" s="109"/>
      <c r="BQ721" s="109"/>
      <c r="BR721" s="109"/>
      <c r="BS721" s="109"/>
      <c r="BT721" s="109"/>
      <c r="BU721" s="109"/>
      <c r="BV721" s="109"/>
    </row>
    <row r="722" spans="1:74" s="110" customFormat="1" ht="71.25" x14ac:dyDescent="0.2">
      <c r="A722" s="76" t="s">
        <v>1758</v>
      </c>
      <c r="B722" s="77" t="s">
        <v>1759</v>
      </c>
      <c r="C722" s="128"/>
      <c r="D722" s="128"/>
      <c r="E722" s="128"/>
      <c r="F722" s="128"/>
      <c r="G722" s="128">
        <v>769948698.44000006</v>
      </c>
      <c r="H722" s="128"/>
      <c r="I722" s="128"/>
      <c r="J722" s="128"/>
      <c r="K722" s="128"/>
      <c r="L722" s="128"/>
      <c r="M722" s="128"/>
      <c r="N722" s="128"/>
      <c r="O722" s="140">
        <f t="shared" si="335"/>
        <v>769948698.44000006</v>
      </c>
      <c r="P722" s="109">
        <v>769948698.44000006</v>
      </c>
      <c r="Q722" s="108">
        <f t="shared" si="311"/>
        <v>0</v>
      </c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09"/>
      <c r="BE722" s="109"/>
      <c r="BF722" s="109"/>
      <c r="BG722" s="109"/>
      <c r="BH722" s="109"/>
      <c r="BI722" s="109"/>
      <c r="BJ722" s="109"/>
      <c r="BK722" s="109"/>
      <c r="BL722" s="109"/>
      <c r="BM722" s="109"/>
      <c r="BN722" s="109"/>
      <c r="BO722" s="109"/>
      <c r="BP722" s="109"/>
      <c r="BQ722" s="109"/>
      <c r="BR722" s="109"/>
      <c r="BS722" s="109"/>
      <c r="BT722" s="109"/>
      <c r="BU722" s="109"/>
      <c r="BV722" s="109"/>
    </row>
    <row r="723" spans="1:74" s="110" customFormat="1" ht="71.25" x14ac:dyDescent="0.2">
      <c r="A723" s="76" t="s">
        <v>1760</v>
      </c>
      <c r="B723" s="77" t="s">
        <v>1761</v>
      </c>
      <c r="C723" s="128"/>
      <c r="D723" s="128"/>
      <c r="E723" s="128"/>
      <c r="F723" s="128"/>
      <c r="G723" s="128">
        <v>145723443.94</v>
      </c>
      <c r="H723" s="128"/>
      <c r="I723" s="128"/>
      <c r="J723" s="128"/>
      <c r="K723" s="128"/>
      <c r="L723" s="128"/>
      <c r="M723" s="128"/>
      <c r="N723" s="128"/>
      <c r="O723" s="140">
        <f t="shared" si="335"/>
        <v>145723443.94</v>
      </c>
      <c r="P723" s="109">
        <v>145723443.94</v>
      </c>
      <c r="Q723" s="108">
        <f t="shared" si="311"/>
        <v>0</v>
      </c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09"/>
      <c r="BE723" s="109"/>
      <c r="BF723" s="109"/>
      <c r="BG723" s="109"/>
      <c r="BH723" s="109"/>
      <c r="BI723" s="109"/>
      <c r="BJ723" s="109"/>
      <c r="BK723" s="109"/>
      <c r="BL723" s="109"/>
      <c r="BM723" s="109"/>
      <c r="BN723" s="109"/>
      <c r="BO723" s="109"/>
      <c r="BP723" s="109"/>
      <c r="BQ723" s="109"/>
      <c r="BR723" s="109"/>
      <c r="BS723" s="109"/>
      <c r="BT723" s="109"/>
      <c r="BU723" s="109"/>
      <c r="BV723" s="109"/>
    </row>
    <row r="724" spans="1:74" s="110" customFormat="1" ht="28.5" x14ac:dyDescent="0.2">
      <c r="A724" s="76" t="s">
        <v>1762</v>
      </c>
      <c r="B724" s="77" t="s">
        <v>1763</v>
      </c>
      <c r="C724" s="128"/>
      <c r="D724" s="128"/>
      <c r="E724" s="128"/>
      <c r="F724" s="128"/>
      <c r="G724" s="128">
        <v>892239699.46000004</v>
      </c>
      <c r="H724" s="128"/>
      <c r="I724" s="128"/>
      <c r="J724" s="128"/>
      <c r="K724" s="128"/>
      <c r="L724" s="128"/>
      <c r="M724" s="128"/>
      <c r="N724" s="128"/>
      <c r="O724" s="140">
        <f t="shared" si="335"/>
        <v>892239699.46000004</v>
      </c>
      <c r="P724" s="109">
        <v>892239699.46000004</v>
      </c>
      <c r="Q724" s="108">
        <f t="shared" si="311"/>
        <v>0</v>
      </c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09"/>
      <c r="BE724" s="109"/>
      <c r="BF724" s="109"/>
      <c r="BG724" s="109"/>
      <c r="BH724" s="109"/>
      <c r="BI724" s="109"/>
      <c r="BJ724" s="109"/>
      <c r="BK724" s="109"/>
      <c r="BL724" s="109"/>
      <c r="BM724" s="109"/>
      <c r="BN724" s="109"/>
      <c r="BO724" s="109"/>
      <c r="BP724" s="109"/>
      <c r="BQ724" s="109"/>
      <c r="BR724" s="109"/>
      <c r="BS724" s="109"/>
      <c r="BT724" s="109"/>
      <c r="BU724" s="109"/>
      <c r="BV724" s="109"/>
    </row>
    <row r="725" spans="1:74" s="110" customFormat="1" ht="57" x14ac:dyDescent="0.2">
      <c r="A725" s="76" t="s">
        <v>1764</v>
      </c>
      <c r="B725" s="77" t="s">
        <v>1765</v>
      </c>
      <c r="C725" s="128"/>
      <c r="D725" s="128"/>
      <c r="E725" s="128"/>
      <c r="F725" s="128"/>
      <c r="G725" s="128">
        <v>126666013</v>
      </c>
      <c r="H725" s="128"/>
      <c r="I725" s="128"/>
      <c r="J725" s="128"/>
      <c r="K725" s="128"/>
      <c r="L725" s="128"/>
      <c r="M725" s="128"/>
      <c r="N725" s="128"/>
      <c r="O725" s="140">
        <f t="shared" si="335"/>
        <v>126666013</v>
      </c>
      <c r="P725" s="109">
        <v>126666013</v>
      </c>
      <c r="Q725" s="108">
        <f t="shared" si="311"/>
        <v>0</v>
      </c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09"/>
      <c r="BE725" s="109"/>
      <c r="BF725" s="109"/>
      <c r="BG725" s="109"/>
      <c r="BH725" s="109"/>
      <c r="BI725" s="109"/>
      <c r="BJ725" s="109"/>
      <c r="BK725" s="109"/>
      <c r="BL725" s="109"/>
      <c r="BM725" s="109"/>
      <c r="BN725" s="109"/>
      <c r="BO725" s="109"/>
      <c r="BP725" s="109"/>
      <c r="BQ725" s="109"/>
      <c r="BR725" s="109"/>
      <c r="BS725" s="109"/>
      <c r="BT725" s="109"/>
      <c r="BU725" s="109"/>
      <c r="BV725" s="109"/>
    </row>
    <row r="726" spans="1:74" s="110" customFormat="1" ht="42.75" x14ac:dyDescent="0.2">
      <c r="A726" s="76" t="s">
        <v>1766</v>
      </c>
      <c r="B726" s="77" t="s">
        <v>1767</v>
      </c>
      <c r="C726" s="128"/>
      <c r="D726" s="128"/>
      <c r="E726" s="128"/>
      <c r="F726" s="128"/>
      <c r="G726" s="128">
        <v>3500000</v>
      </c>
      <c r="H726" s="128"/>
      <c r="I726" s="128"/>
      <c r="J726" s="128"/>
      <c r="K726" s="128"/>
      <c r="L726" s="128"/>
      <c r="M726" s="128"/>
      <c r="N726" s="128"/>
      <c r="O726" s="140">
        <f t="shared" si="335"/>
        <v>3500000</v>
      </c>
      <c r="P726" s="109">
        <v>3500000</v>
      </c>
      <c r="Q726" s="108">
        <f t="shared" si="311"/>
        <v>0</v>
      </c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09"/>
      <c r="BE726" s="109"/>
      <c r="BF726" s="109"/>
      <c r="BG726" s="109"/>
      <c r="BH726" s="109"/>
      <c r="BI726" s="109"/>
      <c r="BJ726" s="109"/>
      <c r="BK726" s="109"/>
      <c r="BL726" s="109"/>
      <c r="BM726" s="109"/>
      <c r="BN726" s="109"/>
      <c r="BO726" s="109"/>
      <c r="BP726" s="109"/>
      <c r="BQ726" s="109"/>
      <c r="BR726" s="109"/>
      <c r="BS726" s="109"/>
      <c r="BT726" s="109"/>
      <c r="BU726" s="109"/>
      <c r="BV726" s="109"/>
    </row>
    <row r="727" spans="1:74" s="110" customFormat="1" ht="57" x14ac:dyDescent="0.2">
      <c r="A727" s="76" t="s">
        <v>1768</v>
      </c>
      <c r="B727" s="77" t="s">
        <v>1769</v>
      </c>
      <c r="C727" s="128"/>
      <c r="D727" s="128"/>
      <c r="E727" s="128"/>
      <c r="F727" s="128"/>
      <c r="G727" s="128">
        <v>21000000</v>
      </c>
      <c r="H727" s="128"/>
      <c r="I727" s="128"/>
      <c r="J727" s="128"/>
      <c r="K727" s="128"/>
      <c r="L727" s="128"/>
      <c r="M727" s="128"/>
      <c r="N727" s="128"/>
      <c r="O727" s="140">
        <f t="shared" si="335"/>
        <v>21000000</v>
      </c>
      <c r="P727" s="109">
        <v>21000000</v>
      </c>
      <c r="Q727" s="108">
        <f t="shared" ref="Q727:Q764" si="338">+P727-O727</f>
        <v>0</v>
      </c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09"/>
      <c r="BE727" s="109"/>
      <c r="BF727" s="109"/>
      <c r="BG727" s="109"/>
      <c r="BH727" s="109"/>
      <c r="BI727" s="109"/>
      <c r="BJ727" s="109"/>
      <c r="BK727" s="109"/>
      <c r="BL727" s="109"/>
      <c r="BM727" s="109"/>
      <c r="BN727" s="109"/>
      <c r="BO727" s="109"/>
      <c r="BP727" s="109"/>
      <c r="BQ727" s="109"/>
      <c r="BR727" s="109"/>
      <c r="BS727" s="109"/>
      <c r="BT727" s="109"/>
      <c r="BU727" s="109"/>
      <c r="BV727" s="109"/>
    </row>
    <row r="728" spans="1:74" s="110" customFormat="1" ht="28.5" x14ac:dyDescent="0.2">
      <c r="A728" s="76" t="s">
        <v>1770</v>
      </c>
      <c r="B728" s="77" t="s">
        <v>1771</v>
      </c>
      <c r="C728" s="128"/>
      <c r="D728" s="128"/>
      <c r="E728" s="128"/>
      <c r="F728" s="128"/>
      <c r="G728" s="128">
        <v>1000000000</v>
      </c>
      <c r="H728" s="128"/>
      <c r="I728" s="128"/>
      <c r="J728" s="128"/>
      <c r="K728" s="128"/>
      <c r="L728" s="128"/>
      <c r="M728" s="128"/>
      <c r="N728" s="128"/>
      <c r="O728" s="140">
        <f t="shared" si="335"/>
        <v>1000000000</v>
      </c>
      <c r="P728" s="109">
        <v>1000000000</v>
      </c>
      <c r="Q728" s="108">
        <f t="shared" si="338"/>
        <v>0</v>
      </c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09"/>
      <c r="BE728" s="109"/>
      <c r="BF728" s="109"/>
      <c r="BG728" s="109"/>
      <c r="BH728" s="109"/>
      <c r="BI728" s="109"/>
      <c r="BJ728" s="109"/>
      <c r="BK728" s="109"/>
      <c r="BL728" s="109"/>
      <c r="BM728" s="109"/>
      <c r="BN728" s="109"/>
      <c r="BO728" s="109"/>
      <c r="BP728" s="109"/>
      <c r="BQ728" s="109"/>
      <c r="BR728" s="109"/>
      <c r="BS728" s="109"/>
      <c r="BT728" s="109"/>
      <c r="BU728" s="109"/>
      <c r="BV728" s="109"/>
    </row>
    <row r="729" spans="1:74" s="110" customFormat="1" ht="57" x14ac:dyDescent="0.2">
      <c r="A729" s="76" t="s">
        <v>1772</v>
      </c>
      <c r="B729" s="77" t="s">
        <v>1773</v>
      </c>
      <c r="C729" s="128"/>
      <c r="D729" s="128"/>
      <c r="E729" s="128"/>
      <c r="F729" s="128"/>
      <c r="G729" s="128">
        <v>683484219.72000003</v>
      </c>
      <c r="H729" s="128"/>
      <c r="I729" s="128"/>
      <c r="J729" s="128"/>
      <c r="K729" s="128"/>
      <c r="L729" s="128"/>
      <c r="M729" s="128"/>
      <c r="N729" s="128"/>
      <c r="O729" s="140">
        <f t="shared" si="335"/>
        <v>683484219.72000003</v>
      </c>
      <c r="P729" s="109">
        <v>683484219.72000003</v>
      </c>
      <c r="Q729" s="108">
        <f t="shared" si="338"/>
        <v>0</v>
      </c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09"/>
      <c r="BE729" s="109"/>
      <c r="BF729" s="109"/>
      <c r="BG729" s="109"/>
      <c r="BH729" s="109"/>
      <c r="BI729" s="109"/>
      <c r="BJ729" s="109"/>
      <c r="BK729" s="109"/>
      <c r="BL729" s="109"/>
      <c r="BM729" s="109"/>
      <c r="BN729" s="109"/>
      <c r="BO729" s="109"/>
      <c r="BP729" s="109"/>
      <c r="BQ729" s="109"/>
      <c r="BR729" s="109"/>
      <c r="BS729" s="109"/>
      <c r="BT729" s="109"/>
      <c r="BU729" s="109"/>
      <c r="BV729" s="109"/>
    </row>
    <row r="730" spans="1:74" s="110" customFormat="1" ht="42.75" x14ac:dyDescent="0.2">
      <c r="A730" s="76" t="s">
        <v>1774</v>
      </c>
      <c r="B730" s="77" t="s">
        <v>1775</v>
      </c>
      <c r="C730" s="128"/>
      <c r="D730" s="128"/>
      <c r="E730" s="128"/>
      <c r="F730" s="128"/>
      <c r="G730" s="128">
        <v>472953841.06</v>
      </c>
      <c r="H730" s="128"/>
      <c r="I730" s="128"/>
      <c r="J730" s="128"/>
      <c r="K730" s="128"/>
      <c r="L730" s="128"/>
      <c r="M730" s="128"/>
      <c r="N730" s="128"/>
      <c r="O730" s="140">
        <f t="shared" si="335"/>
        <v>472953841.06</v>
      </c>
      <c r="P730" s="109">
        <v>472953841.06</v>
      </c>
      <c r="Q730" s="108">
        <f t="shared" si="338"/>
        <v>0</v>
      </c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09"/>
      <c r="BE730" s="109"/>
      <c r="BF730" s="109"/>
      <c r="BG730" s="109"/>
      <c r="BH730" s="109"/>
      <c r="BI730" s="109"/>
      <c r="BJ730" s="109"/>
      <c r="BK730" s="109"/>
      <c r="BL730" s="109"/>
      <c r="BM730" s="109"/>
      <c r="BN730" s="109"/>
      <c r="BO730" s="109"/>
      <c r="BP730" s="109"/>
      <c r="BQ730" s="109"/>
      <c r="BR730" s="109"/>
      <c r="BS730" s="109"/>
      <c r="BT730" s="109"/>
      <c r="BU730" s="109"/>
      <c r="BV730" s="109"/>
    </row>
    <row r="731" spans="1:74" s="110" customFormat="1" ht="71.25" x14ac:dyDescent="0.2">
      <c r="A731" s="76" t="s">
        <v>1776</v>
      </c>
      <c r="B731" s="77" t="s">
        <v>1777</v>
      </c>
      <c r="C731" s="128"/>
      <c r="D731" s="128"/>
      <c r="E731" s="128"/>
      <c r="F731" s="128"/>
      <c r="G731" s="128">
        <v>1662330762.3800001</v>
      </c>
      <c r="H731" s="128"/>
      <c r="I731" s="128"/>
      <c r="J731" s="128"/>
      <c r="K731" s="128"/>
      <c r="L731" s="128"/>
      <c r="M731" s="128"/>
      <c r="N731" s="128"/>
      <c r="O731" s="140">
        <f t="shared" si="335"/>
        <v>1662330762.3800001</v>
      </c>
      <c r="P731" s="109">
        <v>1662330762.3800001</v>
      </c>
      <c r="Q731" s="108">
        <f t="shared" si="338"/>
        <v>0</v>
      </c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09"/>
      <c r="BE731" s="109"/>
      <c r="BF731" s="109"/>
      <c r="BG731" s="109"/>
      <c r="BH731" s="109"/>
      <c r="BI731" s="109"/>
      <c r="BJ731" s="109"/>
      <c r="BK731" s="109"/>
      <c r="BL731" s="109"/>
      <c r="BM731" s="109"/>
      <c r="BN731" s="109"/>
      <c r="BO731" s="109"/>
      <c r="BP731" s="109"/>
      <c r="BQ731" s="109"/>
      <c r="BR731" s="109"/>
      <c r="BS731" s="109"/>
      <c r="BT731" s="109"/>
      <c r="BU731" s="109"/>
      <c r="BV731" s="109"/>
    </row>
    <row r="732" spans="1:74" s="110" customFormat="1" ht="71.25" x14ac:dyDescent="0.2">
      <c r="A732" s="76" t="s">
        <v>1778</v>
      </c>
      <c r="B732" s="77" t="s">
        <v>1779</v>
      </c>
      <c r="C732" s="128"/>
      <c r="D732" s="128"/>
      <c r="E732" s="128"/>
      <c r="F732" s="128"/>
      <c r="G732" s="128">
        <v>815428711.37</v>
      </c>
      <c r="H732" s="128"/>
      <c r="I732" s="128"/>
      <c r="J732" s="128"/>
      <c r="K732" s="128"/>
      <c r="L732" s="128"/>
      <c r="M732" s="128"/>
      <c r="N732" s="128"/>
      <c r="O732" s="140">
        <f t="shared" si="335"/>
        <v>815428711.37</v>
      </c>
      <c r="P732" s="109">
        <v>815428711.37</v>
      </c>
      <c r="Q732" s="108">
        <f t="shared" si="338"/>
        <v>0</v>
      </c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09"/>
      <c r="BE732" s="109"/>
      <c r="BF732" s="109"/>
      <c r="BG732" s="109"/>
      <c r="BH732" s="109"/>
      <c r="BI732" s="109"/>
      <c r="BJ732" s="109"/>
      <c r="BK732" s="109"/>
      <c r="BL732" s="109"/>
      <c r="BM732" s="109"/>
      <c r="BN732" s="109"/>
      <c r="BO732" s="109"/>
      <c r="BP732" s="109"/>
      <c r="BQ732" s="109"/>
      <c r="BR732" s="109"/>
      <c r="BS732" s="109"/>
      <c r="BT732" s="109"/>
      <c r="BU732" s="109"/>
      <c r="BV732" s="109"/>
    </row>
    <row r="733" spans="1:74" s="110" customFormat="1" ht="28.5" x14ac:dyDescent="0.2">
      <c r="A733" s="76" t="s">
        <v>1780</v>
      </c>
      <c r="B733" s="77" t="s">
        <v>1781</v>
      </c>
      <c r="C733" s="128"/>
      <c r="D733" s="128"/>
      <c r="E733" s="128"/>
      <c r="F733" s="128"/>
      <c r="G733" s="128">
        <v>920627571.64999998</v>
      </c>
      <c r="H733" s="128"/>
      <c r="I733" s="128"/>
      <c r="J733" s="128"/>
      <c r="K733" s="128"/>
      <c r="L733" s="128"/>
      <c r="M733" s="128"/>
      <c r="N733" s="128"/>
      <c r="O733" s="140">
        <f t="shared" si="335"/>
        <v>920627571.64999998</v>
      </c>
      <c r="P733" s="109">
        <v>920627571.64999998</v>
      </c>
      <c r="Q733" s="108">
        <f t="shared" si="338"/>
        <v>0</v>
      </c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09"/>
      <c r="BE733" s="109"/>
      <c r="BF733" s="109"/>
      <c r="BG733" s="109"/>
      <c r="BH733" s="109"/>
      <c r="BI733" s="109"/>
      <c r="BJ733" s="109"/>
      <c r="BK733" s="109"/>
      <c r="BL733" s="109"/>
      <c r="BM733" s="109"/>
      <c r="BN733" s="109"/>
      <c r="BO733" s="109"/>
      <c r="BP733" s="109"/>
      <c r="BQ733" s="109"/>
      <c r="BR733" s="109"/>
      <c r="BS733" s="109"/>
      <c r="BT733" s="109"/>
      <c r="BU733" s="109"/>
      <c r="BV733" s="109"/>
    </row>
    <row r="734" spans="1:74" s="110" customFormat="1" ht="57" x14ac:dyDescent="0.2">
      <c r="A734" s="76" t="s">
        <v>1782</v>
      </c>
      <c r="B734" s="77" t="s">
        <v>1783</v>
      </c>
      <c r="C734" s="128"/>
      <c r="D734" s="128"/>
      <c r="E734" s="128"/>
      <c r="F734" s="128"/>
      <c r="G734" s="128">
        <v>1022061153.3200001</v>
      </c>
      <c r="H734" s="128"/>
      <c r="I734" s="128"/>
      <c r="J734" s="128"/>
      <c r="K734" s="128"/>
      <c r="L734" s="128"/>
      <c r="M734" s="128"/>
      <c r="N734" s="128"/>
      <c r="O734" s="140">
        <f t="shared" si="335"/>
        <v>1022061153.3200001</v>
      </c>
      <c r="P734" s="109">
        <v>1022061153.3200001</v>
      </c>
      <c r="Q734" s="108">
        <f t="shared" si="338"/>
        <v>0</v>
      </c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09"/>
      <c r="BE734" s="109"/>
      <c r="BF734" s="109"/>
      <c r="BG734" s="109"/>
      <c r="BH734" s="109"/>
      <c r="BI734" s="109"/>
      <c r="BJ734" s="109"/>
      <c r="BK734" s="109"/>
      <c r="BL734" s="109"/>
      <c r="BM734" s="109"/>
      <c r="BN734" s="109"/>
      <c r="BO734" s="109"/>
      <c r="BP734" s="109"/>
      <c r="BQ734" s="109"/>
      <c r="BR734" s="109"/>
      <c r="BS734" s="109"/>
      <c r="BT734" s="109"/>
      <c r="BU734" s="109"/>
      <c r="BV734" s="109"/>
    </row>
    <row r="735" spans="1:74" s="110" customFormat="1" ht="42.75" x14ac:dyDescent="0.2">
      <c r="A735" s="76" t="s">
        <v>1784</v>
      </c>
      <c r="B735" s="77" t="s">
        <v>1785</v>
      </c>
      <c r="C735" s="128"/>
      <c r="D735" s="128"/>
      <c r="E735" s="128"/>
      <c r="F735" s="128"/>
      <c r="G735" s="128">
        <v>383136341.55000001</v>
      </c>
      <c r="H735" s="128"/>
      <c r="I735" s="128"/>
      <c r="J735" s="128"/>
      <c r="K735" s="128"/>
      <c r="L735" s="128"/>
      <c r="M735" s="128"/>
      <c r="N735" s="128"/>
      <c r="O735" s="140">
        <f t="shared" si="335"/>
        <v>383136341.55000001</v>
      </c>
      <c r="P735" s="109">
        <v>383136341.55000001</v>
      </c>
      <c r="Q735" s="108">
        <f t="shared" si="338"/>
        <v>0</v>
      </c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09"/>
      <c r="BE735" s="109"/>
      <c r="BF735" s="109"/>
      <c r="BG735" s="109"/>
      <c r="BH735" s="109"/>
      <c r="BI735" s="109"/>
      <c r="BJ735" s="109"/>
      <c r="BK735" s="109"/>
      <c r="BL735" s="109"/>
      <c r="BM735" s="109"/>
      <c r="BN735" s="109"/>
      <c r="BO735" s="109"/>
      <c r="BP735" s="109"/>
      <c r="BQ735" s="109"/>
      <c r="BR735" s="109"/>
      <c r="BS735" s="109"/>
      <c r="BT735" s="109"/>
      <c r="BU735" s="109"/>
      <c r="BV735" s="109"/>
    </row>
    <row r="736" spans="1:74" s="110" customFormat="1" ht="57" x14ac:dyDescent="0.2">
      <c r="A736" s="76" t="s">
        <v>1786</v>
      </c>
      <c r="B736" s="77" t="s">
        <v>1787</v>
      </c>
      <c r="C736" s="128"/>
      <c r="D736" s="128"/>
      <c r="E736" s="128"/>
      <c r="F736" s="128"/>
      <c r="G736" s="128">
        <v>300000000</v>
      </c>
      <c r="H736" s="128"/>
      <c r="I736" s="128"/>
      <c r="J736" s="128"/>
      <c r="K736" s="128"/>
      <c r="L736" s="128"/>
      <c r="M736" s="128"/>
      <c r="N736" s="128"/>
      <c r="O736" s="140">
        <f t="shared" si="335"/>
        <v>300000000</v>
      </c>
      <c r="P736" s="111">
        <v>300000000</v>
      </c>
      <c r="Q736" s="108">
        <f t="shared" si="338"/>
        <v>0</v>
      </c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09"/>
      <c r="BE736" s="109"/>
      <c r="BF736" s="109"/>
      <c r="BG736" s="109"/>
      <c r="BH736" s="109"/>
      <c r="BI736" s="109"/>
      <c r="BJ736" s="109"/>
      <c r="BK736" s="109"/>
      <c r="BL736" s="109"/>
      <c r="BM736" s="109"/>
      <c r="BN736" s="109"/>
      <c r="BO736" s="109"/>
      <c r="BP736" s="109"/>
      <c r="BQ736" s="109"/>
      <c r="BR736" s="109"/>
      <c r="BS736" s="109"/>
      <c r="BT736" s="109"/>
      <c r="BU736" s="109"/>
      <c r="BV736" s="109"/>
    </row>
    <row r="737" spans="1:74" s="110" customFormat="1" ht="57" x14ac:dyDescent="0.2">
      <c r="A737" s="76" t="s">
        <v>1788</v>
      </c>
      <c r="B737" s="77" t="s">
        <v>1789</v>
      </c>
      <c r="C737" s="128"/>
      <c r="D737" s="128"/>
      <c r="E737" s="128"/>
      <c r="F737" s="128"/>
      <c r="G737" s="128">
        <v>848374298</v>
      </c>
      <c r="H737" s="128"/>
      <c r="I737" s="128"/>
      <c r="J737" s="128"/>
      <c r="K737" s="128"/>
      <c r="L737" s="128"/>
      <c r="M737" s="128"/>
      <c r="N737" s="128"/>
      <c r="O737" s="140">
        <f t="shared" si="335"/>
        <v>848374298</v>
      </c>
      <c r="P737" s="109">
        <v>848374298</v>
      </c>
      <c r="Q737" s="108">
        <f t="shared" si="338"/>
        <v>0</v>
      </c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09"/>
      <c r="BE737" s="109"/>
      <c r="BF737" s="109"/>
      <c r="BG737" s="109"/>
      <c r="BH737" s="109"/>
      <c r="BI737" s="109"/>
      <c r="BJ737" s="109"/>
      <c r="BK737" s="109"/>
      <c r="BL737" s="109"/>
      <c r="BM737" s="109"/>
      <c r="BN737" s="109"/>
      <c r="BO737" s="109"/>
      <c r="BP737" s="109"/>
      <c r="BQ737" s="109"/>
      <c r="BR737" s="109"/>
      <c r="BS737" s="109"/>
      <c r="BT737" s="109"/>
      <c r="BU737" s="109"/>
      <c r="BV737" s="109"/>
    </row>
    <row r="738" spans="1:74" s="110" customFormat="1" ht="57" x14ac:dyDescent="0.2">
      <c r="A738" s="76" t="s">
        <v>1790</v>
      </c>
      <c r="B738" s="77" t="s">
        <v>1791</v>
      </c>
      <c r="C738" s="128"/>
      <c r="D738" s="128"/>
      <c r="E738" s="128"/>
      <c r="F738" s="128"/>
      <c r="G738" s="128">
        <v>1062972259.02</v>
      </c>
      <c r="H738" s="128"/>
      <c r="I738" s="128"/>
      <c r="J738" s="128"/>
      <c r="K738" s="128"/>
      <c r="L738" s="128"/>
      <c r="M738" s="128"/>
      <c r="N738" s="128"/>
      <c r="O738" s="140">
        <f t="shared" si="335"/>
        <v>1062972259.02</v>
      </c>
      <c r="P738" s="109">
        <v>1062972259.02</v>
      </c>
      <c r="Q738" s="108">
        <f t="shared" si="338"/>
        <v>0</v>
      </c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09"/>
      <c r="BE738" s="109"/>
      <c r="BF738" s="109"/>
      <c r="BG738" s="109"/>
      <c r="BH738" s="109"/>
      <c r="BI738" s="109"/>
      <c r="BJ738" s="109"/>
      <c r="BK738" s="109"/>
      <c r="BL738" s="109"/>
      <c r="BM738" s="109"/>
      <c r="BN738" s="109"/>
      <c r="BO738" s="109"/>
      <c r="BP738" s="109"/>
      <c r="BQ738" s="109"/>
      <c r="BR738" s="109"/>
      <c r="BS738" s="109"/>
      <c r="BT738" s="109"/>
      <c r="BU738" s="109"/>
      <c r="BV738" s="109"/>
    </row>
    <row r="739" spans="1:74" s="110" customFormat="1" ht="57" x14ac:dyDescent="0.2">
      <c r="A739" s="76" t="s">
        <v>1792</v>
      </c>
      <c r="B739" s="77" t="s">
        <v>1793</v>
      </c>
      <c r="C739" s="128"/>
      <c r="D739" s="128"/>
      <c r="E739" s="128"/>
      <c r="F739" s="128"/>
      <c r="G739" s="128">
        <v>3983440755.0700002</v>
      </c>
      <c r="H739" s="128"/>
      <c r="I739" s="128"/>
      <c r="J739" s="128"/>
      <c r="K739" s="128"/>
      <c r="L739" s="128"/>
      <c r="M739" s="128"/>
      <c r="N739" s="128"/>
      <c r="O739" s="140">
        <f t="shared" si="335"/>
        <v>3983440755.0700002</v>
      </c>
      <c r="P739" s="67">
        <v>3983440755.0700002</v>
      </c>
      <c r="Q739" s="108">
        <f t="shared" si="338"/>
        <v>0</v>
      </c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09"/>
      <c r="BE739" s="109"/>
      <c r="BF739" s="109"/>
      <c r="BG739" s="109"/>
      <c r="BH739" s="109"/>
      <c r="BI739" s="109"/>
      <c r="BJ739" s="109"/>
      <c r="BK739" s="109"/>
      <c r="BL739" s="109"/>
      <c r="BM739" s="109"/>
      <c r="BN739" s="109"/>
      <c r="BO739" s="109"/>
      <c r="BP739" s="109"/>
      <c r="BQ739" s="109"/>
      <c r="BR739" s="109"/>
      <c r="BS739" s="109"/>
      <c r="BT739" s="109"/>
      <c r="BU739" s="109"/>
      <c r="BV739" s="109"/>
    </row>
    <row r="740" spans="1:74" s="110" customFormat="1" ht="57" x14ac:dyDescent="0.2">
      <c r="A740" s="76" t="s">
        <v>1794</v>
      </c>
      <c r="B740" s="77" t="s">
        <v>1795</v>
      </c>
      <c r="C740" s="128"/>
      <c r="D740" s="128"/>
      <c r="E740" s="128"/>
      <c r="F740" s="128"/>
      <c r="G740" s="128">
        <v>3146700090.6999998</v>
      </c>
      <c r="H740" s="128"/>
      <c r="I740" s="128"/>
      <c r="J740" s="128"/>
      <c r="K740" s="128"/>
      <c r="L740" s="128"/>
      <c r="M740" s="128"/>
      <c r="N740" s="128"/>
      <c r="O740" s="140">
        <f t="shared" si="335"/>
        <v>3146700090.6999998</v>
      </c>
      <c r="P740" s="67">
        <v>3146700090.6999998</v>
      </c>
      <c r="Q740" s="108">
        <f t="shared" si="338"/>
        <v>0</v>
      </c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09"/>
      <c r="BE740" s="109"/>
      <c r="BF740" s="109"/>
      <c r="BG740" s="109"/>
      <c r="BH740" s="109"/>
      <c r="BI740" s="109"/>
      <c r="BJ740" s="109"/>
      <c r="BK740" s="109"/>
      <c r="BL740" s="109"/>
      <c r="BM740" s="109"/>
      <c r="BN740" s="109"/>
      <c r="BO740" s="109"/>
      <c r="BP740" s="109"/>
      <c r="BQ740" s="109"/>
      <c r="BR740" s="109"/>
      <c r="BS740" s="109"/>
      <c r="BT740" s="109"/>
      <c r="BU740" s="109"/>
      <c r="BV740" s="109"/>
    </row>
    <row r="741" spans="1:74" s="110" customFormat="1" ht="57" x14ac:dyDescent="0.2">
      <c r="A741" s="76" t="s">
        <v>1796</v>
      </c>
      <c r="B741" s="77" t="s">
        <v>1797</v>
      </c>
      <c r="C741" s="128"/>
      <c r="D741" s="128"/>
      <c r="E741" s="128"/>
      <c r="F741" s="128"/>
      <c r="G741" s="128">
        <v>2369302779</v>
      </c>
      <c r="H741" s="128"/>
      <c r="I741" s="128"/>
      <c r="J741" s="128"/>
      <c r="K741" s="128"/>
      <c r="L741" s="128"/>
      <c r="M741" s="128"/>
      <c r="N741" s="128"/>
      <c r="O741" s="140">
        <f t="shared" si="335"/>
        <v>2369302779</v>
      </c>
      <c r="P741" s="67">
        <v>2369302779</v>
      </c>
      <c r="Q741" s="108">
        <f t="shared" si="338"/>
        <v>0</v>
      </c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09"/>
      <c r="BE741" s="109"/>
      <c r="BF741" s="109"/>
      <c r="BG741" s="109"/>
      <c r="BH741" s="109"/>
      <c r="BI741" s="109"/>
      <c r="BJ741" s="109"/>
      <c r="BK741" s="109"/>
      <c r="BL741" s="109"/>
      <c r="BM741" s="109"/>
      <c r="BN741" s="109"/>
      <c r="BO741" s="109"/>
      <c r="BP741" s="109"/>
      <c r="BQ741" s="109"/>
      <c r="BR741" s="109"/>
      <c r="BS741" s="109"/>
      <c r="BT741" s="109"/>
      <c r="BU741" s="109"/>
      <c r="BV741" s="109"/>
    </row>
    <row r="742" spans="1:74" s="110" customFormat="1" ht="57" x14ac:dyDescent="0.2">
      <c r="A742" s="76" t="s">
        <v>1798</v>
      </c>
      <c r="B742" s="77" t="s">
        <v>1799</v>
      </c>
      <c r="C742" s="128"/>
      <c r="D742" s="128"/>
      <c r="E742" s="128"/>
      <c r="F742" s="128"/>
      <c r="G742" s="128">
        <v>576779027.73000002</v>
      </c>
      <c r="H742" s="128"/>
      <c r="I742" s="128"/>
      <c r="J742" s="128"/>
      <c r="K742" s="128"/>
      <c r="L742" s="128"/>
      <c r="M742" s="128"/>
      <c r="N742" s="128"/>
      <c r="O742" s="140">
        <f t="shared" si="335"/>
        <v>576779027.73000002</v>
      </c>
      <c r="P742" s="67">
        <v>576779027.73000002</v>
      </c>
      <c r="Q742" s="108">
        <f t="shared" si="338"/>
        <v>0</v>
      </c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09"/>
      <c r="BE742" s="109"/>
      <c r="BF742" s="109"/>
      <c r="BG742" s="109"/>
      <c r="BH742" s="109"/>
      <c r="BI742" s="109"/>
      <c r="BJ742" s="109"/>
      <c r="BK742" s="109"/>
      <c r="BL742" s="109"/>
      <c r="BM742" s="109"/>
      <c r="BN742" s="109"/>
      <c r="BO742" s="109"/>
      <c r="BP742" s="109"/>
      <c r="BQ742" s="109"/>
      <c r="BR742" s="109"/>
      <c r="BS742" s="109"/>
      <c r="BT742" s="109"/>
      <c r="BU742" s="109"/>
      <c r="BV742" s="109"/>
    </row>
    <row r="743" spans="1:74" s="110" customFormat="1" ht="57" x14ac:dyDescent="0.2">
      <c r="A743" s="76" t="s">
        <v>1800</v>
      </c>
      <c r="B743" s="77" t="s">
        <v>1801</v>
      </c>
      <c r="C743" s="128"/>
      <c r="D743" s="128"/>
      <c r="E743" s="128"/>
      <c r="F743" s="128"/>
      <c r="G743" s="128">
        <v>108000000</v>
      </c>
      <c r="H743" s="128"/>
      <c r="I743" s="128"/>
      <c r="J743" s="128"/>
      <c r="K743" s="128"/>
      <c r="L743" s="128"/>
      <c r="M743" s="128"/>
      <c r="N743" s="128"/>
      <c r="O743" s="140">
        <f t="shared" si="335"/>
        <v>108000000</v>
      </c>
      <c r="P743" s="67">
        <v>108000000</v>
      </c>
      <c r="Q743" s="108">
        <f t="shared" si="338"/>
        <v>0</v>
      </c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  <c r="BO743" s="109"/>
      <c r="BP743" s="109"/>
      <c r="BQ743" s="109"/>
      <c r="BR743" s="109"/>
      <c r="BS743" s="109"/>
      <c r="BT743" s="109"/>
      <c r="BU743" s="109"/>
      <c r="BV743" s="109"/>
    </row>
    <row r="744" spans="1:74" s="110" customFormat="1" ht="57" x14ac:dyDescent="0.2">
      <c r="A744" s="76" t="s">
        <v>1802</v>
      </c>
      <c r="B744" s="77" t="s">
        <v>1803</v>
      </c>
      <c r="C744" s="128"/>
      <c r="D744" s="128"/>
      <c r="E744" s="128"/>
      <c r="F744" s="128"/>
      <c r="G744" s="128">
        <v>896854534.5</v>
      </c>
      <c r="H744" s="128"/>
      <c r="I744" s="128"/>
      <c r="J744" s="128"/>
      <c r="K744" s="128"/>
      <c r="L744" s="128"/>
      <c r="M744" s="128"/>
      <c r="N744" s="128"/>
      <c r="O744" s="140">
        <f t="shared" si="335"/>
        <v>896854534.5</v>
      </c>
      <c r="P744" s="67">
        <v>896854534.5</v>
      </c>
      <c r="Q744" s="108">
        <f t="shared" si="338"/>
        <v>0</v>
      </c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09"/>
      <c r="BE744" s="109"/>
      <c r="BF744" s="109"/>
      <c r="BG744" s="109"/>
      <c r="BH744" s="109"/>
      <c r="BI744" s="109"/>
      <c r="BJ744" s="109"/>
      <c r="BK744" s="109"/>
      <c r="BL744" s="109"/>
      <c r="BM744" s="109"/>
      <c r="BN744" s="109"/>
      <c r="BO744" s="109"/>
      <c r="BP744" s="109"/>
      <c r="BQ744" s="109"/>
      <c r="BR744" s="109"/>
      <c r="BS744" s="109"/>
      <c r="BT744" s="109"/>
      <c r="BU744" s="109"/>
      <c r="BV744" s="109"/>
    </row>
    <row r="745" spans="1:74" s="110" customFormat="1" ht="71.25" x14ac:dyDescent="0.2">
      <c r="A745" s="76" t="s">
        <v>1804</v>
      </c>
      <c r="B745" s="77" t="s">
        <v>1805</v>
      </c>
      <c r="C745" s="128"/>
      <c r="D745" s="128"/>
      <c r="E745" s="128"/>
      <c r="F745" s="128"/>
      <c r="G745" s="128">
        <v>3884758760.5799999</v>
      </c>
      <c r="H745" s="128"/>
      <c r="I745" s="128"/>
      <c r="J745" s="128"/>
      <c r="K745" s="128"/>
      <c r="L745" s="128"/>
      <c r="M745" s="128"/>
      <c r="N745" s="128"/>
      <c r="O745" s="140">
        <f t="shared" si="335"/>
        <v>3884758760.5799999</v>
      </c>
      <c r="P745" s="67">
        <v>3884758760.5799999</v>
      </c>
      <c r="Q745" s="108">
        <f t="shared" si="338"/>
        <v>0</v>
      </c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  <c r="BO745" s="109"/>
      <c r="BP745" s="109"/>
      <c r="BQ745" s="109"/>
      <c r="BR745" s="109"/>
      <c r="BS745" s="109"/>
      <c r="BT745" s="109"/>
      <c r="BU745" s="109"/>
      <c r="BV745" s="109"/>
    </row>
    <row r="746" spans="1:74" s="110" customFormat="1" ht="57" x14ac:dyDescent="0.2">
      <c r="A746" s="76" t="s">
        <v>1806</v>
      </c>
      <c r="B746" s="77" t="s">
        <v>1807</v>
      </c>
      <c r="C746" s="128"/>
      <c r="D746" s="128"/>
      <c r="E746" s="128"/>
      <c r="F746" s="128"/>
      <c r="G746" s="128">
        <v>386354618.76999998</v>
      </c>
      <c r="H746" s="128"/>
      <c r="I746" s="128"/>
      <c r="J746" s="128"/>
      <c r="K746" s="128"/>
      <c r="L746" s="128"/>
      <c r="M746" s="128"/>
      <c r="N746" s="128"/>
      <c r="O746" s="140">
        <f t="shared" si="335"/>
        <v>386354618.76999998</v>
      </c>
      <c r="P746" s="67">
        <v>386354618.76999998</v>
      </c>
      <c r="Q746" s="108">
        <f t="shared" si="338"/>
        <v>0</v>
      </c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09"/>
      <c r="BE746" s="109"/>
      <c r="BF746" s="109"/>
      <c r="BG746" s="109"/>
      <c r="BH746" s="109"/>
      <c r="BI746" s="109"/>
      <c r="BJ746" s="109"/>
      <c r="BK746" s="109"/>
      <c r="BL746" s="109"/>
      <c r="BM746" s="109"/>
      <c r="BN746" s="109"/>
      <c r="BO746" s="109"/>
      <c r="BP746" s="109"/>
      <c r="BQ746" s="109"/>
      <c r="BR746" s="109"/>
      <c r="BS746" s="109"/>
      <c r="BT746" s="109"/>
      <c r="BU746" s="109"/>
      <c r="BV746" s="109"/>
    </row>
    <row r="747" spans="1:74" s="110" customFormat="1" ht="57" x14ac:dyDescent="0.2">
      <c r="A747" s="76" t="s">
        <v>1808</v>
      </c>
      <c r="B747" s="77" t="s">
        <v>1809</v>
      </c>
      <c r="C747" s="128"/>
      <c r="D747" s="128"/>
      <c r="E747" s="128"/>
      <c r="F747" s="128"/>
      <c r="G747" s="128">
        <v>2626193816.73</v>
      </c>
      <c r="H747" s="128"/>
      <c r="I747" s="128"/>
      <c r="J747" s="128"/>
      <c r="K747" s="128"/>
      <c r="L747" s="128"/>
      <c r="M747" s="128"/>
      <c r="N747" s="128"/>
      <c r="O747" s="140">
        <f t="shared" si="335"/>
        <v>2626193816.73</v>
      </c>
      <c r="P747" s="67">
        <v>2626193816.73</v>
      </c>
      <c r="Q747" s="108">
        <f t="shared" si="338"/>
        <v>0</v>
      </c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09"/>
      <c r="BE747" s="109"/>
      <c r="BF747" s="109"/>
      <c r="BG747" s="109"/>
      <c r="BH747" s="109"/>
      <c r="BI747" s="109"/>
      <c r="BJ747" s="109"/>
      <c r="BK747" s="109"/>
      <c r="BL747" s="109"/>
      <c r="BM747" s="109"/>
      <c r="BN747" s="109"/>
      <c r="BO747" s="109"/>
      <c r="BP747" s="109"/>
      <c r="BQ747" s="109"/>
      <c r="BR747" s="109"/>
      <c r="BS747" s="109"/>
      <c r="BT747" s="109"/>
      <c r="BU747" s="109"/>
      <c r="BV747" s="109"/>
    </row>
    <row r="748" spans="1:74" s="110" customFormat="1" ht="57" x14ac:dyDescent="0.2">
      <c r="A748" s="76" t="s">
        <v>1810</v>
      </c>
      <c r="B748" s="77" t="s">
        <v>1811</v>
      </c>
      <c r="C748" s="128"/>
      <c r="D748" s="128"/>
      <c r="E748" s="128"/>
      <c r="F748" s="128"/>
      <c r="G748" s="128">
        <v>60263011.100000001</v>
      </c>
      <c r="H748" s="128"/>
      <c r="I748" s="128"/>
      <c r="J748" s="128"/>
      <c r="K748" s="128"/>
      <c r="L748" s="128"/>
      <c r="M748" s="128"/>
      <c r="N748" s="128"/>
      <c r="O748" s="140">
        <f t="shared" si="335"/>
        <v>60263011.100000001</v>
      </c>
      <c r="P748" s="67">
        <v>60263011.100000001</v>
      </c>
      <c r="Q748" s="108">
        <f t="shared" si="338"/>
        <v>0</v>
      </c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09"/>
      <c r="BE748" s="109"/>
      <c r="BF748" s="109"/>
      <c r="BG748" s="109"/>
      <c r="BH748" s="109"/>
      <c r="BI748" s="109"/>
      <c r="BJ748" s="109"/>
      <c r="BK748" s="109"/>
      <c r="BL748" s="109"/>
      <c r="BM748" s="109"/>
      <c r="BN748" s="109"/>
      <c r="BO748" s="109"/>
      <c r="BP748" s="109"/>
      <c r="BQ748" s="109"/>
      <c r="BR748" s="109"/>
      <c r="BS748" s="109"/>
      <c r="BT748" s="109"/>
      <c r="BU748" s="109"/>
      <c r="BV748" s="109"/>
    </row>
    <row r="749" spans="1:74" s="110" customFormat="1" ht="57" x14ac:dyDescent="0.2">
      <c r="A749" s="76" t="s">
        <v>1812</v>
      </c>
      <c r="B749" s="77" t="s">
        <v>1813</v>
      </c>
      <c r="C749" s="128"/>
      <c r="D749" s="128"/>
      <c r="E749" s="128"/>
      <c r="F749" s="128"/>
      <c r="G749" s="128">
        <v>454531370</v>
      </c>
      <c r="H749" s="128"/>
      <c r="I749" s="128"/>
      <c r="J749" s="128"/>
      <c r="K749" s="128"/>
      <c r="L749" s="128"/>
      <c r="M749" s="128"/>
      <c r="N749" s="128"/>
      <c r="O749" s="140">
        <f t="shared" si="335"/>
        <v>454531370</v>
      </c>
      <c r="P749" s="67">
        <v>454531370</v>
      </c>
      <c r="Q749" s="108">
        <f t="shared" si="338"/>
        <v>0</v>
      </c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09"/>
      <c r="BE749" s="109"/>
      <c r="BF749" s="109"/>
      <c r="BG749" s="109"/>
      <c r="BH749" s="109"/>
      <c r="BI749" s="109"/>
      <c r="BJ749" s="109"/>
      <c r="BK749" s="109"/>
      <c r="BL749" s="109"/>
      <c r="BM749" s="109"/>
      <c r="BN749" s="109"/>
      <c r="BO749" s="109"/>
      <c r="BP749" s="109"/>
      <c r="BQ749" s="109"/>
      <c r="BR749" s="109"/>
      <c r="BS749" s="109"/>
      <c r="BT749" s="109"/>
      <c r="BU749" s="109"/>
      <c r="BV749" s="109"/>
    </row>
    <row r="750" spans="1:74" s="110" customFormat="1" ht="57" x14ac:dyDescent="0.2">
      <c r="A750" s="76" t="s">
        <v>1814</v>
      </c>
      <c r="B750" s="77" t="s">
        <v>1815</v>
      </c>
      <c r="C750" s="128"/>
      <c r="D750" s="128"/>
      <c r="E750" s="128"/>
      <c r="F750" s="128"/>
      <c r="G750" s="128">
        <v>881070078.24000001</v>
      </c>
      <c r="H750" s="128"/>
      <c r="I750" s="128"/>
      <c r="J750" s="128"/>
      <c r="K750" s="128"/>
      <c r="L750" s="128"/>
      <c r="M750" s="128"/>
      <c r="N750" s="128"/>
      <c r="O750" s="140">
        <f t="shared" si="335"/>
        <v>881070078.24000001</v>
      </c>
      <c r="P750" s="67">
        <v>881070078.24000001</v>
      </c>
      <c r="Q750" s="108">
        <f t="shared" si="338"/>
        <v>0</v>
      </c>
      <c r="R750" s="109"/>
      <c r="S750" s="109"/>
      <c r="T750" s="109"/>
      <c r="U750" s="109"/>
      <c r="V750" s="109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09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09"/>
      <c r="BE750" s="109"/>
      <c r="BF750" s="109"/>
      <c r="BG750" s="109"/>
      <c r="BH750" s="109"/>
      <c r="BI750" s="109"/>
      <c r="BJ750" s="109"/>
      <c r="BK750" s="109"/>
      <c r="BL750" s="109"/>
      <c r="BM750" s="109"/>
      <c r="BN750" s="109"/>
      <c r="BO750" s="109"/>
      <c r="BP750" s="109"/>
      <c r="BQ750" s="109"/>
      <c r="BR750" s="109"/>
      <c r="BS750" s="109"/>
      <c r="BT750" s="109"/>
      <c r="BU750" s="109"/>
      <c r="BV750" s="109"/>
    </row>
    <row r="751" spans="1:74" s="110" customFormat="1" ht="57" x14ac:dyDescent="0.2">
      <c r="A751" s="76" t="s">
        <v>1816</v>
      </c>
      <c r="B751" s="77" t="s">
        <v>1817</v>
      </c>
      <c r="C751" s="128"/>
      <c r="D751" s="128"/>
      <c r="E751" s="128"/>
      <c r="F751" s="128"/>
      <c r="G751" s="128">
        <v>361244499.5</v>
      </c>
      <c r="H751" s="128"/>
      <c r="I751" s="128"/>
      <c r="J751" s="128"/>
      <c r="K751" s="128"/>
      <c r="L751" s="128"/>
      <c r="M751" s="128"/>
      <c r="N751" s="128"/>
      <c r="O751" s="140">
        <f t="shared" si="335"/>
        <v>361244499.5</v>
      </c>
      <c r="P751" s="67">
        <v>361244499.5</v>
      </c>
      <c r="Q751" s="108">
        <f t="shared" si="338"/>
        <v>0</v>
      </c>
      <c r="R751" s="109"/>
      <c r="S751" s="109"/>
      <c r="T751" s="109"/>
      <c r="U751" s="109"/>
      <c r="V751" s="109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  <c r="AH751" s="109"/>
      <c r="AI751" s="109"/>
      <c r="AJ751" s="109"/>
      <c r="AK751" s="109"/>
      <c r="AL751" s="109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09"/>
      <c r="BE751" s="109"/>
      <c r="BF751" s="109"/>
      <c r="BG751" s="109"/>
      <c r="BH751" s="109"/>
      <c r="BI751" s="109"/>
      <c r="BJ751" s="109"/>
      <c r="BK751" s="109"/>
      <c r="BL751" s="109"/>
      <c r="BM751" s="109"/>
      <c r="BN751" s="109"/>
      <c r="BO751" s="109"/>
      <c r="BP751" s="109"/>
      <c r="BQ751" s="109"/>
      <c r="BR751" s="109"/>
      <c r="BS751" s="109"/>
      <c r="BT751" s="109"/>
      <c r="BU751" s="109"/>
      <c r="BV751" s="109"/>
    </row>
    <row r="752" spans="1:74" s="110" customFormat="1" ht="57" x14ac:dyDescent="0.2">
      <c r="A752" s="76" t="s">
        <v>1818</v>
      </c>
      <c r="B752" s="77" t="s">
        <v>1819</v>
      </c>
      <c r="C752" s="128"/>
      <c r="D752" s="128"/>
      <c r="E752" s="128"/>
      <c r="F752" s="128"/>
      <c r="G752" s="128">
        <v>245208094.47999999</v>
      </c>
      <c r="H752" s="128"/>
      <c r="I752" s="128"/>
      <c r="J752" s="128"/>
      <c r="K752" s="128"/>
      <c r="L752" s="128"/>
      <c r="M752" s="128"/>
      <c r="N752" s="128"/>
      <c r="O752" s="140">
        <f t="shared" si="335"/>
        <v>245208094.47999999</v>
      </c>
      <c r="P752" s="67">
        <v>245208094.47999999</v>
      </c>
      <c r="Q752" s="108">
        <f t="shared" si="338"/>
        <v>0</v>
      </c>
      <c r="R752" s="109"/>
      <c r="S752" s="109"/>
      <c r="T752" s="109"/>
      <c r="U752" s="109"/>
      <c r="V752" s="109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  <c r="AH752" s="109"/>
      <c r="AI752" s="109"/>
      <c r="AJ752" s="109"/>
      <c r="AK752" s="109"/>
      <c r="AL752" s="109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09"/>
      <c r="BE752" s="109"/>
      <c r="BF752" s="109"/>
      <c r="BG752" s="109"/>
      <c r="BH752" s="109"/>
      <c r="BI752" s="109"/>
      <c r="BJ752" s="109"/>
      <c r="BK752" s="109"/>
      <c r="BL752" s="109"/>
      <c r="BM752" s="109"/>
      <c r="BN752" s="109"/>
      <c r="BO752" s="109"/>
      <c r="BP752" s="109"/>
      <c r="BQ752" s="109"/>
      <c r="BR752" s="109"/>
      <c r="BS752" s="109"/>
      <c r="BT752" s="109"/>
      <c r="BU752" s="109"/>
      <c r="BV752" s="109"/>
    </row>
    <row r="753" spans="1:74" s="110" customFormat="1" ht="57" x14ac:dyDescent="0.2">
      <c r="A753" s="76" t="s">
        <v>1820</v>
      </c>
      <c r="B753" s="77" t="s">
        <v>1821</v>
      </c>
      <c r="C753" s="128"/>
      <c r="D753" s="128"/>
      <c r="E753" s="128"/>
      <c r="F753" s="128"/>
      <c r="G753" s="128">
        <v>126838929.55</v>
      </c>
      <c r="H753" s="128"/>
      <c r="I753" s="128"/>
      <c r="J753" s="128"/>
      <c r="K753" s="128"/>
      <c r="L753" s="128"/>
      <c r="M753" s="128"/>
      <c r="N753" s="128"/>
      <c r="O753" s="140">
        <f t="shared" si="335"/>
        <v>126838929.55</v>
      </c>
      <c r="P753" s="67">
        <v>126838929.55</v>
      </c>
      <c r="Q753" s="108">
        <f t="shared" si="338"/>
        <v>0</v>
      </c>
      <c r="R753" s="109"/>
      <c r="S753" s="109"/>
      <c r="T753" s="109"/>
      <c r="U753" s="109"/>
      <c r="V753" s="109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  <c r="AH753" s="109"/>
      <c r="AI753" s="109"/>
      <c r="AJ753" s="109"/>
      <c r="AK753" s="109"/>
      <c r="AL753" s="109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09"/>
      <c r="BE753" s="109"/>
      <c r="BF753" s="109"/>
      <c r="BG753" s="109"/>
      <c r="BH753" s="109"/>
      <c r="BI753" s="109"/>
      <c r="BJ753" s="109"/>
      <c r="BK753" s="109"/>
      <c r="BL753" s="109"/>
      <c r="BM753" s="109"/>
      <c r="BN753" s="109"/>
      <c r="BO753" s="109"/>
      <c r="BP753" s="109"/>
      <c r="BQ753" s="109"/>
      <c r="BR753" s="109"/>
      <c r="BS753" s="109"/>
      <c r="BT753" s="109"/>
      <c r="BU753" s="109"/>
      <c r="BV753" s="109"/>
    </row>
    <row r="754" spans="1:74" s="110" customFormat="1" ht="57" x14ac:dyDescent="0.2">
      <c r="A754" s="76" t="s">
        <v>1822</v>
      </c>
      <c r="B754" s="77" t="s">
        <v>1823</v>
      </c>
      <c r="C754" s="128"/>
      <c r="D754" s="128"/>
      <c r="E754" s="128"/>
      <c r="F754" s="128"/>
      <c r="G754" s="128">
        <v>1654927335.5699999</v>
      </c>
      <c r="H754" s="128"/>
      <c r="I754" s="128"/>
      <c r="J754" s="128"/>
      <c r="K754" s="128"/>
      <c r="L754" s="128"/>
      <c r="M754" s="128"/>
      <c r="N754" s="128"/>
      <c r="O754" s="140">
        <f t="shared" si="335"/>
        <v>1654927335.5699999</v>
      </c>
      <c r="P754" s="67">
        <v>1654927335.5699999</v>
      </c>
      <c r="Q754" s="108">
        <f t="shared" si="338"/>
        <v>0</v>
      </c>
      <c r="R754" s="109"/>
      <c r="S754" s="109"/>
      <c r="T754" s="109"/>
      <c r="U754" s="109"/>
      <c r="V754" s="109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  <c r="AH754" s="109"/>
      <c r="AI754" s="109"/>
      <c r="AJ754" s="109"/>
      <c r="AK754" s="109"/>
      <c r="AL754" s="109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09"/>
      <c r="BE754" s="109"/>
      <c r="BF754" s="109"/>
      <c r="BG754" s="109"/>
      <c r="BH754" s="109"/>
      <c r="BI754" s="109"/>
      <c r="BJ754" s="109"/>
      <c r="BK754" s="109"/>
      <c r="BL754" s="109"/>
      <c r="BM754" s="109"/>
      <c r="BN754" s="109"/>
      <c r="BO754" s="109"/>
      <c r="BP754" s="109"/>
      <c r="BQ754" s="109"/>
      <c r="BR754" s="109"/>
      <c r="BS754" s="109"/>
      <c r="BT754" s="109"/>
      <c r="BU754" s="109"/>
      <c r="BV754" s="109"/>
    </row>
    <row r="755" spans="1:74" s="110" customFormat="1" ht="57" x14ac:dyDescent="0.2">
      <c r="A755" s="76" t="s">
        <v>1824</v>
      </c>
      <c r="B755" s="77" t="s">
        <v>1825</v>
      </c>
      <c r="C755" s="128"/>
      <c r="D755" s="128"/>
      <c r="E755" s="128"/>
      <c r="F755" s="128"/>
      <c r="G755" s="128">
        <v>836739879.01999998</v>
      </c>
      <c r="H755" s="128"/>
      <c r="I755" s="128"/>
      <c r="J755" s="128"/>
      <c r="K755" s="128"/>
      <c r="L755" s="128"/>
      <c r="M755" s="128"/>
      <c r="N755" s="128"/>
      <c r="O755" s="140">
        <f t="shared" si="335"/>
        <v>836739879.01999998</v>
      </c>
      <c r="P755" s="67">
        <v>836739879.01999998</v>
      </c>
      <c r="Q755" s="108">
        <f t="shared" si="338"/>
        <v>0</v>
      </c>
      <c r="R755" s="109"/>
      <c r="S755" s="109"/>
      <c r="T755" s="109"/>
      <c r="U755" s="109"/>
      <c r="V755" s="109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  <c r="AH755" s="109"/>
      <c r="AI755" s="109"/>
      <c r="AJ755" s="109"/>
      <c r="AK755" s="109"/>
      <c r="AL755" s="109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09"/>
      <c r="BE755" s="109"/>
      <c r="BF755" s="109"/>
      <c r="BG755" s="109"/>
      <c r="BH755" s="109"/>
      <c r="BI755" s="109"/>
      <c r="BJ755" s="109"/>
      <c r="BK755" s="109"/>
      <c r="BL755" s="109"/>
      <c r="BM755" s="109"/>
      <c r="BN755" s="109"/>
      <c r="BO755" s="109"/>
      <c r="BP755" s="109"/>
      <c r="BQ755" s="109"/>
      <c r="BR755" s="109"/>
      <c r="BS755" s="109"/>
      <c r="BT755" s="109"/>
      <c r="BU755" s="109"/>
      <c r="BV755" s="109"/>
    </row>
    <row r="756" spans="1:74" s="110" customFormat="1" ht="42.75" x14ac:dyDescent="0.2">
      <c r="A756" s="76" t="s">
        <v>1826</v>
      </c>
      <c r="B756" s="77" t="s">
        <v>1827</v>
      </c>
      <c r="C756" s="128"/>
      <c r="D756" s="128"/>
      <c r="E756" s="128"/>
      <c r="F756" s="128"/>
      <c r="G756" s="128">
        <v>756285670.79999995</v>
      </c>
      <c r="H756" s="128"/>
      <c r="I756" s="128"/>
      <c r="J756" s="128"/>
      <c r="K756" s="128"/>
      <c r="L756" s="128"/>
      <c r="M756" s="128"/>
      <c r="N756" s="128"/>
      <c r="O756" s="140">
        <f t="shared" si="335"/>
        <v>756285670.79999995</v>
      </c>
      <c r="P756" s="67">
        <v>756285670.79999995</v>
      </c>
      <c r="Q756" s="108">
        <f t="shared" si="338"/>
        <v>0</v>
      </c>
      <c r="R756" s="109"/>
      <c r="S756" s="109"/>
      <c r="T756" s="109"/>
      <c r="U756" s="109"/>
      <c r="V756" s="109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  <c r="AH756" s="109"/>
      <c r="AI756" s="109"/>
      <c r="AJ756" s="109"/>
      <c r="AK756" s="109"/>
      <c r="AL756" s="109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09"/>
      <c r="BE756" s="109"/>
      <c r="BF756" s="109"/>
      <c r="BG756" s="109"/>
      <c r="BH756" s="109"/>
      <c r="BI756" s="109"/>
      <c r="BJ756" s="109"/>
      <c r="BK756" s="109"/>
      <c r="BL756" s="109"/>
      <c r="BM756" s="109"/>
      <c r="BN756" s="109"/>
      <c r="BO756" s="109"/>
      <c r="BP756" s="109"/>
      <c r="BQ756" s="109"/>
      <c r="BR756" s="109"/>
      <c r="BS756" s="109"/>
      <c r="BT756" s="109"/>
      <c r="BU756" s="109"/>
      <c r="BV756" s="109"/>
    </row>
    <row r="757" spans="1:74" s="110" customFormat="1" ht="57" x14ac:dyDescent="0.2">
      <c r="A757" s="76" t="s">
        <v>1828</v>
      </c>
      <c r="B757" s="77" t="s">
        <v>1829</v>
      </c>
      <c r="C757" s="128"/>
      <c r="D757" s="128"/>
      <c r="E757" s="128"/>
      <c r="F757" s="128"/>
      <c r="G757" s="128">
        <v>15000000000</v>
      </c>
      <c r="H757" s="128"/>
      <c r="I757" s="128"/>
      <c r="J757" s="128"/>
      <c r="K757" s="128"/>
      <c r="L757" s="128"/>
      <c r="M757" s="128"/>
      <c r="N757" s="128"/>
      <c r="O757" s="140">
        <f t="shared" si="335"/>
        <v>15000000000</v>
      </c>
      <c r="P757" s="67">
        <v>15000000000</v>
      </c>
      <c r="Q757" s="108">
        <f t="shared" si="338"/>
        <v>0</v>
      </c>
      <c r="R757" s="109"/>
      <c r="S757" s="109"/>
      <c r="T757" s="109"/>
      <c r="U757" s="109"/>
      <c r="V757" s="109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  <c r="AH757" s="109"/>
      <c r="AI757" s="109"/>
      <c r="AJ757" s="109"/>
      <c r="AK757" s="109"/>
      <c r="AL757" s="109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09"/>
      <c r="BE757" s="109"/>
      <c r="BF757" s="109"/>
      <c r="BG757" s="109"/>
      <c r="BH757" s="109"/>
      <c r="BI757" s="109"/>
      <c r="BJ757" s="109"/>
      <c r="BK757" s="109"/>
      <c r="BL757" s="109"/>
      <c r="BM757" s="109"/>
      <c r="BN757" s="109"/>
      <c r="BO757" s="109"/>
      <c r="BP757" s="109"/>
      <c r="BQ757" s="109"/>
      <c r="BR757" s="109"/>
      <c r="BS757" s="109"/>
      <c r="BT757" s="109"/>
      <c r="BU757" s="109"/>
      <c r="BV757" s="109"/>
    </row>
    <row r="758" spans="1:74" s="110" customFormat="1" ht="42.75" x14ac:dyDescent="0.2">
      <c r="A758" s="76" t="s">
        <v>1830</v>
      </c>
      <c r="B758" s="77" t="s">
        <v>1831</v>
      </c>
      <c r="C758" s="128"/>
      <c r="D758" s="128"/>
      <c r="E758" s="128"/>
      <c r="F758" s="128"/>
      <c r="G758" s="128">
        <v>999896762</v>
      </c>
      <c r="H758" s="128"/>
      <c r="I758" s="128"/>
      <c r="J758" s="128"/>
      <c r="K758" s="128"/>
      <c r="L758" s="128"/>
      <c r="M758" s="128"/>
      <c r="N758" s="128"/>
      <c r="O758" s="140">
        <f t="shared" si="335"/>
        <v>999896762</v>
      </c>
      <c r="P758" s="67">
        <v>999896762</v>
      </c>
      <c r="Q758" s="108">
        <f t="shared" si="338"/>
        <v>0</v>
      </c>
      <c r="R758" s="109"/>
      <c r="S758" s="109"/>
      <c r="T758" s="109"/>
      <c r="U758" s="109"/>
      <c r="V758" s="109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  <c r="AH758" s="109"/>
      <c r="AI758" s="109"/>
      <c r="AJ758" s="109"/>
      <c r="AK758" s="109"/>
      <c r="AL758" s="109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09"/>
      <c r="BE758" s="109"/>
      <c r="BF758" s="109"/>
      <c r="BG758" s="109"/>
      <c r="BH758" s="109"/>
      <c r="BI758" s="109"/>
      <c r="BJ758" s="109"/>
      <c r="BK758" s="109"/>
      <c r="BL758" s="109"/>
      <c r="BM758" s="109"/>
      <c r="BN758" s="109"/>
      <c r="BO758" s="109"/>
      <c r="BP758" s="109"/>
      <c r="BQ758" s="109"/>
      <c r="BR758" s="109"/>
      <c r="BS758" s="109"/>
      <c r="BT758" s="109"/>
      <c r="BU758" s="109"/>
      <c r="BV758" s="109"/>
    </row>
    <row r="759" spans="1:74" s="110" customFormat="1" ht="71.25" x14ac:dyDescent="0.2">
      <c r="A759" s="76" t="s">
        <v>1832</v>
      </c>
      <c r="B759" s="77" t="s">
        <v>1833</v>
      </c>
      <c r="C759" s="128"/>
      <c r="D759" s="128"/>
      <c r="E759" s="128"/>
      <c r="F759" s="128"/>
      <c r="G759" s="128">
        <v>324093620.44999999</v>
      </c>
      <c r="H759" s="128"/>
      <c r="I759" s="128"/>
      <c r="J759" s="128"/>
      <c r="K759" s="128"/>
      <c r="L759" s="128"/>
      <c r="M759" s="128"/>
      <c r="N759" s="128"/>
      <c r="O759" s="140">
        <f t="shared" si="335"/>
        <v>324093620.44999999</v>
      </c>
      <c r="P759" s="67">
        <v>324093620.44999999</v>
      </c>
      <c r="Q759" s="108">
        <f t="shared" si="338"/>
        <v>0</v>
      </c>
      <c r="R759" s="109"/>
      <c r="S759" s="109"/>
      <c r="T759" s="109"/>
      <c r="U759" s="109"/>
      <c r="V759" s="109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  <c r="AH759" s="109"/>
      <c r="AI759" s="109"/>
      <c r="AJ759" s="109"/>
      <c r="AK759" s="109"/>
      <c r="AL759" s="109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09"/>
      <c r="BE759" s="109"/>
      <c r="BF759" s="109"/>
      <c r="BG759" s="109"/>
      <c r="BH759" s="109"/>
      <c r="BI759" s="109"/>
      <c r="BJ759" s="109"/>
      <c r="BK759" s="109"/>
      <c r="BL759" s="109"/>
      <c r="BM759" s="109"/>
      <c r="BN759" s="109"/>
      <c r="BO759" s="109"/>
      <c r="BP759" s="109"/>
      <c r="BQ759" s="109"/>
      <c r="BR759" s="109"/>
      <c r="BS759" s="109"/>
      <c r="BT759" s="109"/>
      <c r="BU759" s="109"/>
      <c r="BV759" s="109"/>
    </row>
    <row r="760" spans="1:74" s="110" customFormat="1" ht="57" x14ac:dyDescent="0.2">
      <c r="A760" s="76" t="s">
        <v>1834</v>
      </c>
      <c r="B760" s="77" t="s">
        <v>1835</v>
      </c>
      <c r="C760" s="128"/>
      <c r="D760" s="128"/>
      <c r="E760" s="128"/>
      <c r="F760" s="128"/>
      <c r="G760" s="128">
        <v>248932465.52000001</v>
      </c>
      <c r="H760" s="128"/>
      <c r="I760" s="128"/>
      <c r="J760" s="128"/>
      <c r="K760" s="128"/>
      <c r="L760" s="128"/>
      <c r="M760" s="128"/>
      <c r="N760" s="128"/>
      <c r="O760" s="140">
        <f t="shared" si="335"/>
        <v>248932465.52000001</v>
      </c>
      <c r="P760" s="67">
        <v>248932465.52000001</v>
      </c>
      <c r="Q760" s="108">
        <f t="shared" si="338"/>
        <v>0</v>
      </c>
      <c r="R760" s="109"/>
      <c r="S760" s="109"/>
      <c r="T760" s="109"/>
      <c r="U760" s="109"/>
      <c r="V760" s="109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  <c r="AH760" s="109"/>
      <c r="AI760" s="109"/>
      <c r="AJ760" s="109"/>
      <c r="AK760" s="109"/>
      <c r="AL760" s="109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  <c r="BA760" s="109"/>
      <c r="BB760" s="109"/>
      <c r="BC760" s="109"/>
      <c r="BD760" s="109"/>
      <c r="BE760" s="109"/>
      <c r="BF760" s="109"/>
      <c r="BG760" s="109"/>
      <c r="BH760" s="109"/>
      <c r="BI760" s="109"/>
      <c r="BJ760" s="109"/>
      <c r="BK760" s="109"/>
      <c r="BL760" s="109"/>
      <c r="BM760" s="109"/>
      <c r="BN760" s="109"/>
      <c r="BO760" s="109"/>
      <c r="BP760" s="109"/>
      <c r="BQ760" s="109"/>
      <c r="BR760" s="109"/>
      <c r="BS760" s="109"/>
      <c r="BT760" s="109"/>
      <c r="BU760" s="109"/>
      <c r="BV760" s="109"/>
    </row>
    <row r="761" spans="1:74" s="110" customFormat="1" ht="57" x14ac:dyDescent="0.2">
      <c r="A761" s="76" t="s">
        <v>1836</v>
      </c>
      <c r="B761" s="77" t="s">
        <v>1837</v>
      </c>
      <c r="C761" s="128"/>
      <c r="D761" s="128"/>
      <c r="E761" s="128"/>
      <c r="F761" s="128"/>
      <c r="G761" s="128">
        <v>262570505</v>
      </c>
      <c r="H761" s="128"/>
      <c r="I761" s="128"/>
      <c r="J761" s="128"/>
      <c r="K761" s="128"/>
      <c r="L761" s="128"/>
      <c r="M761" s="128"/>
      <c r="N761" s="128"/>
      <c r="O761" s="140">
        <f t="shared" si="335"/>
        <v>262570505</v>
      </c>
      <c r="P761" s="67">
        <v>262570505</v>
      </c>
      <c r="Q761" s="108">
        <f t="shared" si="338"/>
        <v>0</v>
      </c>
      <c r="R761" s="109"/>
      <c r="S761" s="109"/>
      <c r="T761" s="109"/>
      <c r="U761" s="109"/>
      <c r="V761" s="109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  <c r="AH761" s="109"/>
      <c r="AI761" s="109"/>
      <c r="AJ761" s="109"/>
      <c r="AK761" s="109"/>
      <c r="AL761" s="109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  <c r="BA761" s="109"/>
      <c r="BB761" s="109"/>
      <c r="BC761" s="109"/>
      <c r="BD761" s="109"/>
      <c r="BE761" s="109"/>
      <c r="BF761" s="109"/>
      <c r="BG761" s="109"/>
      <c r="BH761" s="109"/>
      <c r="BI761" s="109"/>
      <c r="BJ761" s="109"/>
      <c r="BK761" s="109"/>
      <c r="BL761" s="109"/>
      <c r="BM761" s="109"/>
      <c r="BN761" s="109"/>
      <c r="BO761" s="109"/>
      <c r="BP761" s="109"/>
      <c r="BQ761" s="109"/>
      <c r="BR761" s="109"/>
      <c r="BS761" s="109"/>
      <c r="BT761" s="109"/>
      <c r="BU761" s="109"/>
      <c r="BV761" s="109"/>
    </row>
    <row r="762" spans="1:74" s="110" customFormat="1" ht="28.5" x14ac:dyDescent="0.2">
      <c r="A762" s="76" t="s">
        <v>1838</v>
      </c>
      <c r="B762" s="77" t="s">
        <v>1839</v>
      </c>
      <c r="C762" s="128"/>
      <c r="D762" s="128"/>
      <c r="E762" s="128"/>
      <c r="F762" s="128"/>
      <c r="G762" s="128">
        <v>18594911012.080002</v>
      </c>
      <c r="H762" s="128"/>
      <c r="I762" s="128"/>
      <c r="J762" s="128"/>
      <c r="K762" s="128"/>
      <c r="L762" s="128"/>
      <c r="M762" s="128"/>
      <c r="N762" s="128"/>
      <c r="O762" s="140">
        <f t="shared" si="335"/>
        <v>18594911012.080002</v>
      </c>
      <c r="P762" s="67">
        <v>18594911012.080002</v>
      </c>
      <c r="Q762" s="108">
        <f t="shared" si="338"/>
        <v>0</v>
      </c>
      <c r="R762" s="109"/>
      <c r="S762" s="109"/>
      <c r="T762" s="109"/>
      <c r="U762" s="109"/>
      <c r="V762" s="109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  <c r="BO762" s="109"/>
      <c r="BP762" s="109"/>
      <c r="BQ762" s="109"/>
      <c r="BR762" s="109"/>
      <c r="BS762" s="109"/>
      <c r="BT762" s="109"/>
      <c r="BU762" s="109"/>
      <c r="BV762" s="109"/>
    </row>
    <row r="763" spans="1:74" s="110" customFormat="1" ht="42.75" x14ac:dyDescent="0.2">
      <c r="A763" s="76" t="s">
        <v>1840</v>
      </c>
      <c r="B763" s="77" t="s">
        <v>1841</v>
      </c>
      <c r="C763" s="128"/>
      <c r="D763" s="128"/>
      <c r="E763" s="128"/>
      <c r="F763" s="128"/>
      <c r="G763" s="128">
        <v>1263330116.8699999</v>
      </c>
      <c r="H763" s="128"/>
      <c r="I763" s="128"/>
      <c r="J763" s="128"/>
      <c r="K763" s="128"/>
      <c r="L763" s="128"/>
      <c r="M763" s="128"/>
      <c r="N763" s="128"/>
      <c r="O763" s="140">
        <f t="shared" si="335"/>
        <v>1263330116.8699999</v>
      </c>
      <c r="P763" s="67">
        <v>1263330116.8699999</v>
      </c>
      <c r="Q763" s="108">
        <f t="shared" si="338"/>
        <v>0</v>
      </c>
      <c r="R763" s="109"/>
      <c r="S763" s="109"/>
      <c r="T763" s="109"/>
      <c r="U763" s="109"/>
      <c r="V763" s="109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  <c r="AH763" s="109"/>
      <c r="AI763" s="109"/>
      <c r="AJ763" s="109"/>
      <c r="AK763" s="109"/>
      <c r="AL763" s="109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  <c r="BA763" s="109"/>
      <c r="BB763" s="109"/>
      <c r="BC763" s="109"/>
      <c r="BD763" s="109"/>
      <c r="BE763" s="109"/>
      <c r="BF763" s="109"/>
      <c r="BG763" s="109"/>
      <c r="BH763" s="109"/>
      <c r="BI763" s="109"/>
      <c r="BJ763" s="109"/>
      <c r="BK763" s="109"/>
      <c r="BL763" s="109"/>
      <c r="BM763" s="109"/>
      <c r="BN763" s="109"/>
      <c r="BO763" s="109"/>
      <c r="BP763" s="109"/>
      <c r="BQ763" s="109"/>
      <c r="BR763" s="109"/>
      <c r="BS763" s="109"/>
      <c r="BT763" s="109"/>
      <c r="BU763" s="109"/>
      <c r="BV763" s="109"/>
    </row>
    <row r="764" spans="1:74" s="110" customFormat="1" ht="29.25" thickBot="1" x14ac:dyDescent="0.25">
      <c r="A764" s="158" t="s">
        <v>1842</v>
      </c>
      <c r="B764" s="221" t="s">
        <v>1843</v>
      </c>
      <c r="C764" s="129"/>
      <c r="D764" s="129"/>
      <c r="E764" s="129"/>
      <c r="F764" s="129"/>
      <c r="G764" s="129">
        <v>14999353.52</v>
      </c>
      <c r="H764" s="129"/>
      <c r="I764" s="129"/>
      <c r="J764" s="129"/>
      <c r="K764" s="129"/>
      <c r="L764" s="129"/>
      <c r="M764" s="129"/>
      <c r="N764" s="129"/>
      <c r="O764" s="372">
        <f t="shared" si="335"/>
        <v>14999353.52</v>
      </c>
      <c r="P764" s="67">
        <v>14999353.52</v>
      </c>
      <c r="Q764" s="108">
        <f t="shared" si="338"/>
        <v>0</v>
      </c>
      <c r="R764" s="109"/>
      <c r="S764" s="109"/>
      <c r="T764" s="109"/>
      <c r="U764" s="109"/>
      <c r="V764" s="109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  <c r="BO764" s="109"/>
      <c r="BP764" s="109"/>
      <c r="BQ764" s="109"/>
      <c r="BR764" s="109"/>
      <c r="BS764" s="109"/>
      <c r="BT764" s="109"/>
      <c r="BU764" s="109"/>
      <c r="BV764" s="109"/>
    </row>
    <row r="765" spans="1:74" s="112" customFormat="1" ht="20.25" thickBot="1" x14ac:dyDescent="0.25">
      <c r="A765" s="459" t="s">
        <v>49</v>
      </c>
      <c r="B765" s="460"/>
      <c r="C765" s="373">
        <f t="shared" ref="C765:N765" si="339">+C11+C667</f>
        <v>5734052268</v>
      </c>
      <c r="D765" s="373">
        <f t="shared" si="339"/>
        <v>0</v>
      </c>
      <c r="E765" s="373">
        <f t="shared" si="339"/>
        <v>19694419247.690002</v>
      </c>
      <c r="F765" s="373">
        <f t="shared" si="339"/>
        <v>97517512149.100006</v>
      </c>
      <c r="G765" s="373">
        <f t="shared" si="339"/>
        <v>336729090268.91998</v>
      </c>
      <c r="H765" s="373">
        <f t="shared" si="339"/>
        <v>1837938193.73</v>
      </c>
      <c r="I765" s="373">
        <f t="shared" si="339"/>
        <v>353771970.91000003</v>
      </c>
      <c r="J765" s="373">
        <f t="shared" si="339"/>
        <v>0</v>
      </c>
      <c r="K765" s="373">
        <f t="shared" si="339"/>
        <v>0</v>
      </c>
      <c r="L765" s="373">
        <f t="shared" si="339"/>
        <v>0</v>
      </c>
      <c r="M765" s="373">
        <f t="shared" si="339"/>
        <v>0</v>
      </c>
      <c r="N765" s="373">
        <f t="shared" si="339"/>
        <v>0</v>
      </c>
      <c r="O765" s="374">
        <f>+O11</f>
        <v>324396293021.59991</v>
      </c>
      <c r="P765" s="67"/>
      <c r="Q765" s="108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  <c r="AE765" s="111"/>
      <c r="AF765" s="111"/>
      <c r="AG765" s="111"/>
      <c r="AH765" s="111"/>
      <c r="AI765" s="111"/>
      <c r="AJ765" s="111"/>
      <c r="AK765" s="111"/>
      <c r="AL765" s="111"/>
      <c r="AM765" s="111"/>
      <c r="AN765" s="111"/>
      <c r="AO765" s="111"/>
      <c r="AP765" s="111"/>
      <c r="AQ765" s="111"/>
      <c r="AR765" s="111"/>
      <c r="AS765" s="111"/>
      <c r="AT765" s="111"/>
      <c r="AU765" s="111"/>
      <c r="AV765" s="111"/>
      <c r="AW765" s="111"/>
      <c r="AX765" s="111"/>
      <c r="AY765" s="111"/>
      <c r="AZ765" s="111"/>
      <c r="BA765" s="111"/>
      <c r="BB765" s="111"/>
      <c r="BC765" s="111"/>
      <c r="BD765" s="111"/>
      <c r="BE765" s="111"/>
      <c r="BF765" s="111"/>
      <c r="BG765" s="111"/>
      <c r="BH765" s="111"/>
      <c r="BI765" s="111"/>
      <c r="BJ765" s="111"/>
      <c r="BK765" s="111"/>
      <c r="BL765" s="111"/>
      <c r="BM765" s="111"/>
      <c r="BN765" s="111"/>
      <c r="BO765" s="111"/>
      <c r="BP765" s="111"/>
      <c r="BQ765" s="111"/>
      <c r="BR765" s="111"/>
      <c r="BS765" s="111"/>
      <c r="BT765" s="111"/>
      <c r="BU765" s="111"/>
      <c r="BV765" s="111"/>
    </row>
    <row r="766" spans="1:74" s="110" customFormat="1" x14ac:dyDescent="0.2">
      <c r="A766" s="120"/>
      <c r="B766" s="121"/>
      <c r="C766" s="122"/>
      <c r="D766" s="122"/>
      <c r="E766" s="376"/>
      <c r="F766" s="377"/>
      <c r="G766" s="122">
        <v>287754113565.92004</v>
      </c>
      <c r="H766" s="122"/>
      <c r="I766" s="122"/>
      <c r="J766" s="122"/>
      <c r="K766" s="122"/>
      <c r="L766" s="122"/>
      <c r="M766" s="122"/>
      <c r="N766" s="122"/>
      <c r="O766" s="102"/>
      <c r="P766" s="67"/>
      <c r="Q766" s="108"/>
      <c r="R766" s="109"/>
      <c r="S766" s="109"/>
      <c r="T766" s="109"/>
      <c r="U766" s="109"/>
      <c r="V766" s="109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  <c r="AH766" s="109"/>
      <c r="AI766" s="109"/>
      <c r="AJ766" s="109"/>
      <c r="AK766" s="109"/>
      <c r="AL766" s="109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  <c r="BA766" s="109"/>
      <c r="BB766" s="109"/>
      <c r="BC766" s="109"/>
      <c r="BD766" s="109"/>
      <c r="BE766" s="109"/>
      <c r="BF766" s="109"/>
      <c r="BG766" s="109"/>
      <c r="BH766" s="109"/>
      <c r="BI766" s="109"/>
      <c r="BJ766" s="109"/>
      <c r="BK766" s="109"/>
      <c r="BL766" s="109"/>
      <c r="BM766" s="109"/>
      <c r="BN766" s="109"/>
      <c r="BO766" s="109"/>
      <c r="BP766" s="109"/>
      <c r="BQ766" s="109"/>
      <c r="BR766" s="109"/>
      <c r="BS766" s="109"/>
      <c r="BT766" s="109"/>
      <c r="BU766" s="109"/>
      <c r="BV766" s="109"/>
    </row>
    <row r="767" spans="1:74" s="110" customFormat="1" ht="19.5" x14ac:dyDescent="0.2">
      <c r="A767" s="378"/>
      <c r="B767" s="453" t="s">
        <v>21</v>
      </c>
      <c r="C767" s="453"/>
      <c r="D767" s="73"/>
      <c r="E767" s="375"/>
      <c r="F767" s="73"/>
      <c r="G767" s="73">
        <f>+G766-G765</f>
        <v>-48974976702.999939</v>
      </c>
      <c r="H767" s="73"/>
      <c r="I767" s="73"/>
      <c r="J767" s="73"/>
      <c r="K767" s="73"/>
      <c r="L767" s="73"/>
      <c r="M767" s="73"/>
      <c r="N767" s="73"/>
      <c r="O767" s="88"/>
      <c r="P767" s="67"/>
      <c r="Q767" s="108"/>
      <c r="R767" s="109"/>
      <c r="S767" s="109"/>
      <c r="T767" s="109"/>
      <c r="U767" s="109"/>
      <c r="V767" s="109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  <c r="AH767" s="109"/>
      <c r="AI767" s="109"/>
      <c r="AJ767" s="109"/>
      <c r="AK767" s="109"/>
      <c r="AL767" s="109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  <c r="BA767" s="109"/>
      <c r="BB767" s="109"/>
      <c r="BC767" s="109"/>
      <c r="BD767" s="109"/>
      <c r="BE767" s="109"/>
      <c r="BF767" s="109"/>
      <c r="BG767" s="109"/>
      <c r="BH767" s="109"/>
      <c r="BI767" s="109"/>
      <c r="BJ767" s="109"/>
      <c r="BK767" s="109"/>
      <c r="BL767" s="109"/>
      <c r="BM767" s="109"/>
      <c r="BN767" s="109"/>
      <c r="BO767" s="109"/>
      <c r="BP767" s="109"/>
      <c r="BQ767" s="109"/>
      <c r="BR767" s="109"/>
      <c r="BS767" s="109"/>
      <c r="BT767" s="109"/>
      <c r="BU767" s="109"/>
      <c r="BV767" s="109"/>
    </row>
    <row r="768" spans="1:74" s="68" customFormat="1" ht="19.5" x14ac:dyDescent="0.2">
      <c r="A768" s="161" t="s">
        <v>382</v>
      </c>
      <c r="B768" s="160" t="s">
        <v>965</v>
      </c>
      <c r="C768" s="165">
        <f t="shared" ref="C768:N768" si="340">+C769+C889</f>
        <v>0</v>
      </c>
      <c r="D768" s="165">
        <f t="shared" si="340"/>
        <v>0</v>
      </c>
      <c r="E768" s="165">
        <f t="shared" si="340"/>
        <v>288000000</v>
      </c>
      <c r="F768" s="165">
        <f t="shared" si="340"/>
        <v>13935863889.029999</v>
      </c>
      <c r="G768" s="165">
        <f t="shared" si="340"/>
        <v>22869930480.32</v>
      </c>
      <c r="H768" s="165">
        <f t="shared" si="340"/>
        <v>11584539610.870001</v>
      </c>
      <c r="I768" s="165">
        <f t="shared" si="340"/>
        <v>0</v>
      </c>
      <c r="J768" s="165">
        <f t="shared" si="340"/>
        <v>0</v>
      </c>
      <c r="K768" s="165">
        <f t="shared" si="340"/>
        <v>0</v>
      </c>
      <c r="L768" s="165">
        <f t="shared" si="340"/>
        <v>0</v>
      </c>
      <c r="M768" s="165">
        <f t="shared" si="340"/>
        <v>0</v>
      </c>
      <c r="N768" s="165">
        <f t="shared" si="340"/>
        <v>0</v>
      </c>
      <c r="O768" s="93">
        <f>SUM(C768:N768)</f>
        <v>48678333980.220001</v>
      </c>
      <c r="P768" s="69"/>
      <c r="Q768" s="108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  <c r="AK768" s="67"/>
      <c r="AL768" s="67"/>
      <c r="AM768" s="67"/>
      <c r="AN768" s="67"/>
      <c r="AO768" s="67"/>
      <c r="AP768" s="67"/>
      <c r="AQ768" s="67"/>
      <c r="AR768" s="67"/>
      <c r="AS768" s="67"/>
      <c r="AT768" s="67"/>
      <c r="AU768" s="67"/>
      <c r="AV768" s="67"/>
      <c r="AW768" s="67"/>
      <c r="AX768" s="67"/>
      <c r="AY768" s="67"/>
      <c r="AZ768" s="67"/>
      <c r="BA768" s="67"/>
      <c r="BB768" s="67"/>
      <c r="BC768" s="67"/>
      <c r="BD768" s="67"/>
      <c r="BE768" s="67"/>
      <c r="BF768" s="67"/>
      <c r="BG768" s="67"/>
      <c r="BH768" s="67"/>
      <c r="BI768" s="67"/>
      <c r="BJ768" s="67"/>
      <c r="BK768" s="67"/>
      <c r="BL768" s="67"/>
      <c r="BM768" s="67"/>
      <c r="BN768" s="67"/>
      <c r="BO768" s="67"/>
      <c r="BP768" s="67"/>
      <c r="BQ768" s="67"/>
      <c r="BR768" s="67"/>
      <c r="BS768" s="67"/>
      <c r="BT768" s="67"/>
      <c r="BU768" s="67"/>
      <c r="BV768" s="67"/>
    </row>
    <row r="769" spans="1:74" s="68" customFormat="1" ht="19.5" x14ac:dyDescent="0.2">
      <c r="A769" s="161" t="s">
        <v>383</v>
      </c>
      <c r="B769" s="160" t="s">
        <v>966</v>
      </c>
      <c r="C769" s="165">
        <f t="shared" ref="C769:N769" si="341">+C770+C824</f>
        <v>0</v>
      </c>
      <c r="D769" s="165">
        <f t="shared" si="341"/>
        <v>0</v>
      </c>
      <c r="E769" s="165">
        <f t="shared" si="341"/>
        <v>0</v>
      </c>
      <c r="F769" s="165">
        <f t="shared" si="341"/>
        <v>5470110693.0299997</v>
      </c>
      <c r="G769" s="165">
        <f t="shared" si="341"/>
        <v>0</v>
      </c>
      <c r="H769" s="165">
        <f t="shared" si="341"/>
        <v>11584539610.870001</v>
      </c>
      <c r="I769" s="165">
        <f t="shared" si="341"/>
        <v>0</v>
      </c>
      <c r="J769" s="165">
        <f t="shared" si="341"/>
        <v>0</v>
      </c>
      <c r="K769" s="165">
        <f t="shared" si="341"/>
        <v>0</v>
      </c>
      <c r="L769" s="165">
        <f t="shared" si="341"/>
        <v>0</v>
      </c>
      <c r="M769" s="165">
        <f t="shared" si="341"/>
        <v>0</v>
      </c>
      <c r="N769" s="165">
        <f t="shared" si="341"/>
        <v>0</v>
      </c>
      <c r="O769" s="93">
        <f t="shared" ref="O769:O834" si="342">SUM(C769:N769)</f>
        <v>17054650303.900002</v>
      </c>
      <c r="P769" s="69"/>
      <c r="Q769" s="108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  <c r="AK769" s="67"/>
      <c r="AL769" s="67"/>
      <c r="AM769" s="67"/>
      <c r="AN769" s="67"/>
      <c r="AO769" s="67"/>
      <c r="AP769" s="67"/>
      <c r="AQ769" s="67"/>
      <c r="AR769" s="67"/>
      <c r="AS769" s="67"/>
      <c r="AT769" s="67"/>
      <c r="AU769" s="67"/>
      <c r="AV769" s="67"/>
      <c r="AW769" s="67"/>
      <c r="AX769" s="67"/>
      <c r="AY769" s="67"/>
      <c r="AZ769" s="67"/>
      <c r="BA769" s="67"/>
      <c r="BB769" s="67"/>
      <c r="BC769" s="67"/>
      <c r="BD769" s="67"/>
      <c r="BE769" s="67"/>
      <c r="BF769" s="67"/>
      <c r="BG769" s="67"/>
      <c r="BH769" s="67"/>
      <c r="BI769" s="67"/>
      <c r="BJ769" s="67"/>
      <c r="BK769" s="67"/>
      <c r="BL769" s="67"/>
      <c r="BM769" s="67"/>
      <c r="BN769" s="67"/>
      <c r="BO769" s="67"/>
      <c r="BP769" s="67"/>
      <c r="BQ769" s="67"/>
      <c r="BR769" s="67"/>
      <c r="BS769" s="67"/>
      <c r="BT769" s="67"/>
      <c r="BU769" s="67"/>
      <c r="BV769" s="67"/>
    </row>
    <row r="770" spans="1:74" s="68" customFormat="1" ht="19.5" x14ac:dyDescent="0.2">
      <c r="A770" s="161" t="s">
        <v>384</v>
      </c>
      <c r="B770" s="160" t="s">
        <v>967</v>
      </c>
      <c r="C770" s="165">
        <f t="shared" ref="C770:N770" si="343">+C771+C777</f>
        <v>0</v>
      </c>
      <c r="D770" s="165">
        <f t="shared" si="343"/>
        <v>0</v>
      </c>
      <c r="E770" s="165">
        <f t="shared" si="343"/>
        <v>0</v>
      </c>
      <c r="F770" s="165">
        <f t="shared" si="343"/>
        <v>168538869.03</v>
      </c>
      <c r="G770" s="165">
        <f t="shared" si="343"/>
        <v>0</v>
      </c>
      <c r="H770" s="165">
        <f t="shared" si="343"/>
        <v>0</v>
      </c>
      <c r="I770" s="165">
        <f t="shared" si="343"/>
        <v>0</v>
      </c>
      <c r="J770" s="165">
        <f t="shared" si="343"/>
        <v>0</v>
      </c>
      <c r="K770" s="165">
        <f t="shared" si="343"/>
        <v>0</v>
      </c>
      <c r="L770" s="165">
        <f t="shared" si="343"/>
        <v>0</v>
      </c>
      <c r="M770" s="165">
        <f t="shared" si="343"/>
        <v>0</v>
      </c>
      <c r="N770" s="165">
        <f t="shared" si="343"/>
        <v>0</v>
      </c>
      <c r="O770" s="93">
        <f t="shared" si="342"/>
        <v>168538869.03</v>
      </c>
      <c r="P770" s="67"/>
      <c r="Q770" s="108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  <c r="AK770" s="67"/>
      <c r="AL770" s="67"/>
      <c r="AM770" s="67"/>
      <c r="AN770" s="67"/>
      <c r="AO770" s="67"/>
      <c r="AP770" s="67"/>
      <c r="AQ770" s="67"/>
      <c r="AR770" s="67"/>
      <c r="AS770" s="67"/>
      <c r="AT770" s="67"/>
      <c r="AU770" s="67"/>
      <c r="AV770" s="67"/>
      <c r="AW770" s="67"/>
      <c r="AX770" s="67"/>
      <c r="AY770" s="67"/>
      <c r="AZ770" s="67"/>
      <c r="BA770" s="67"/>
      <c r="BB770" s="67"/>
      <c r="BC770" s="67"/>
      <c r="BD770" s="67"/>
      <c r="BE770" s="67"/>
      <c r="BF770" s="67"/>
      <c r="BG770" s="67"/>
      <c r="BH770" s="67"/>
      <c r="BI770" s="67"/>
      <c r="BJ770" s="67"/>
      <c r="BK770" s="67"/>
      <c r="BL770" s="67"/>
      <c r="BM770" s="67"/>
      <c r="BN770" s="67"/>
      <c r="BO770" s="67"/>
      <c r="BP770" s="67"/>
      <c r="BQ770" s="67"/>
      <c r="BR770" s="67"/>
      <c r="BS770" s="67"/>
      <c r="BT770" s="67"/>
      <c r="BU770" s="67"/>
      <c r="BV770" s="67"/>
    </row>
    <row r="771" spans="1:74" s="68" customFormat="1" ht="19.5" x14ac:dyDescent="0.2">
      <c r="A771" s="161" t="s">
        <v>385</v>
      </c>
      <c r="B771" s="160" t="s">
        <v>968</v>
      </c>
      <c r="C771" s="165">
        <f t="shared" ref="C771:N771" si="344">+C772</f>
        <v>0</v>
      </c>
      <c r="D771" s="165">
        <f t="shared" si="344"/>
        <v>0</v>
      </c>
      <c r="E771" s="165">
        <f t="shared" si="344"/>
        <v>0</v>
      </c>
      <c r="F771" s="165">
        <f t="shared" si="344"/>
        <v>0</v>
      </c>
      <c r="G771" s="165">
        <f t="shared" si="344"/>
        <v>0</v>
      </c>
      <c r="H771" s="165">
        <f t="shared" si="344"/>
        <v>0</v>
      </c>
      <c r="I771" s="165">
        <f t="shared" si="344"/>
        <v>0</v>
      </c>
      <c r="J771" s="165">
        <f t="shared" si="344"/>
        <v>0</v>
      </c>
      <c r="K771" s="165">
        <f t="shared" si="344"/>
        <v>0</v>
      </c>
      <c r="L771" s="165">
        <f t="shared" si="344"/>
        <v>0</v>
      </c>
      <c r="M771" s="165">
        <f t="shared" si="344"/>
        <v>0</v>
      </c>
      <c r="N771" s="165">
        <f t="shared" si="344"/>
        <v>0</v>
      </c>
      <c r="O771" s="93">
        <f t="shared" si="342"/>
        <v>0</v>
      </c>
      <c r="P771" s="67"/>
      <c r="Q771" s="108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  <c r="AK771" s="67"/>
      <c r="AL771" s="67"/>
      <c r="AM771" s="67"/>
      <c r="AN771" s="67"/>
      <c r="AO771" s="67"/>
      <c r="AP771" s="67"/>
      <c r="AQ771" s="67"/>
      <c r="AR771" s="67"/>
      <c r="AS771" s="67"/>
      <c r="AT771" s="67"/>
      <c r="AU771" s="67"/>
      <c r="AV771" s="67"/>
      <c r="AW771" s="67"/>
      <c r="AX771" s="67"/>
      <c r="AY771" s="67"/>
      <c r="AZ771" s="67"/>
      <c r="BA771" s="67"/>
      <c r="BB771" s="67"/>
      <c r="BC771" s="67"/>
      <c r="BD771" s="67"/>
      <c r="BE771" s="67"/>
      <c r="BF771" s="67"/>
      <c r="BG771" s="67"/>
      <c r="BH771" s="67"/>
      <c r="BI771" s="67"/>
      <c r="BJ771" s="67"/>
      <c r="BK771" s="67"/>
      <c r="BL771" s="67"/>
      <c r="BM771" s="67"/>
      <c r="BN771" s="67"/>
      <c r="BO771" s="67"/>
      <c r="BP771" s="67"/>
      <c r="BQ771" s="67"/>
      <c r="BR771" s="67"/>
      <c r="BS771" s="67"/>
      <c r="BT771" s="67"/>
      <c r="BU771" s="67"/>
      <c r="BV771" s="67"/>
    </row>
    <row r="772" spans="1:74" s="68" customFormat="1" ht="31.5" x14ac:dyDescent="0.2">
      <c r="A772" s="81" t="s">
        <v>969</v>
      </c>
      <c r="B772" s="79" t="s">
        <v>970</v>
      </c>
      <c r="C772" s="130">
        <f t="shared" ref="C772:N772" si="345">SUM(C773:C775)</f>
        <v>0</v>
      </c>
      <c r="D772" s="130">
        <f t="shared" si="345"/>
        <v>0</v>
      </c>
      <c r="E772" s="130">
        <f t="shared" si="345"/>
        <v>0</v>
      </c>
      <c r="F772" s="130">
        <f t="shared" si="345"/>
        <v>0</v>
      </c>
      <c r="G772" s="130">
        <f t="shared" si="345"/>
        <v>0</v>
      </c>
      <c r="H772" s="130">
        <f t="shared" si="345"/>
        <v>0</v>
      </c>
      <c r="I772" s="130">
        <f t="shared" si="345"/>
        <v>0</v>
      </c>
      <c r="J772" s="130">
        <f t="shared" si="345"/>
        <v>0</v>
      </c>
      <c r="K772" s="130">
        <f t="shared" si="345"/>
        <v>0</v>
      </c>
      <c r="L772" s="130">
        <f t="shared" si="345"/>
        <v>0</v>
      </c>
      <c r="M772" s="130">
        <f t="shared" si="345"/>
        <v>0</v>
      </c>
      <c r="N772" s="130">
        <f t="shared" si="345"/>
        <v>0</v>
      </c>
      <c r="O772" s="93">
        <f t="shared" si="342"/>
        <v>0</v>
      </c>
      <c r="P772" s="67"/>
      <c r="Q772" s="108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  <c r="AK772" s="67"/>
      <c r="AL772" s="67"/>
      <c r="AM772" s="67"/>
      <c r="AN772" s="67"/>
      <c r="AO772" s="67"/>
      <c r="AP772" s="67"/>
      <c r="AQ772" s="67"/>
      <c r="AR772" s="67"/>
      <c r="AS772" s="67"/>
      <c r="AT772" s="67"/>
      <c r="AU772" s="67"/>
      <c r="AV772" s="67"/>
      <c r="AW772" s="67"/>
      <c r="AX772" s="67"/>
      <c r="AY772" s="67"/>
      <c r="AZ772" s="67"/>
      <c r="BA772" s="67"/>
      <c r="BB772" s="67"/>
      <c r="BC772" s="67"/>
      <c r="BD772" s="67"/>
      <c r="BE772" s="67"/>
      <c r="BF772" s="67"/>
      <c r="BG772" s="67"/>
      <c r="BH772" s="67"/>
      <c r="BI772" s="67"/>
      <c r="BJ772" s="67"/>
      <c r="BK772" s="67"/>
      <c r="BL772" s="67"/>
      <c r="BM772" s="67"/>
      <c r="BN772" s="67"/>
      <c r="BO772" s="67"/>
      <c r="BP772" s="67"/>
      <c r="BQ772" s="67"/>
      <c r="BR772" s="67"/>
      <c r="BS772" s="67"/>
      <c r="BT772" s="67"/>
      <c r="BU772" s="67"/>
      <c r="BV772" s="67"/>
    </row>
    <row r="773" spans="1:74" s="68" customFormat="1" ht="28.5" x14ac:dyDescent="0.2">
      <c r="A773" s="76" t="s">
        <v>971</v>
      </c>
      <c r="B773" s="77" t="s">
        <v>375</v>
      </c>
      <c r="C773" s="132"/>
      <c r="D773" s="132"/>
      <c r="E773" s="132"/>
      <c r="F773" s="132"/>
      <c r="G773" s="132"/>
      <c r="H773" s="132"/>
      <c r="I773" s="132"/>
      <c r="J773" s="132"/>
      <c r="K773" s="132"/>
      <c r="L773" s="132"/>
      <c r="M773" s="132"/>
      <c r="N773" s="132"/>
      <c r="O773" s="93">
        <f t="shared" si="342"/>
        <v>0</v>
      </c>
      <c r="P773" s="67"/>
      <c r="Q773" s="108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  <c r="AK773" s="67"/>
      <c r="AL773" s="67"/>
      <c r="AM773" s="67"/>
      <c r="AN773" s="67"/>
      <c r="AO773" s="67"/>
      <c r="AP773" s="67"/>
      <c r="AQ773" s="67"/>
      <c r="AR773" s="67"/>
      <c r="AS773" s="67"/>
      <c r="AT773" s="67"/>
      <c r="AU773" s="67"/>
      <c r="AV773" s="67"/>
      <c r="AW773" s="67"/>
      <c r="AX773" s="67"/>
      <c r="AY773" s="67"/>
      <c r="AZ773" s="67"/>
      <c r="BA773" s="67"/>
      <c r="BB773" s="67"/>
      <c r="BC773" s="67"/>
      <c r="BD773" s="67"/>
      <c r="BE773" s="67"/>
      <c r="BF773" s="67"/>
      <c r="BG773" s="67"/>
      <c r="BH773" s="67"/>
      <c r="BI773" s="67"/>
      <c r="BJ773" s="67"/>
      <c r="BK773" s="67"/>
      <c r="BL773" s="67"/>
      <c r="BM773" s="67"/>
      <c r="BN773" s="67"/>
      <c r="BO773" s="67"/>
      <c r="BP773" s="67"/>
      <c r="BQ773" s="67"/>
      <c r="BR773" s="67"/>
      <c r="BS773" s="67"/>
      <c r="BT773" s="67"/>
      <c r="BU773" s="67"/>
      <c r="BV773" s="67"/>
    </row>
    <row r="774" spans="1:74" s="68" customFormat="1" ht="28.5" x14ac:dyDescent="0.2">
      <c r="A774" s="76" t="s">
        <v>972</v>
      </c>
      <c r="B774" s="77" t="s">
        <v>375</v>
      </c>
      <c r="C774" s="132"/>
      <c r="D774" s="132"/>
      <c r="E774" s="132"/>
      <c r="F774" s="132"/>
      <c r="G774" s="132"/>
      <c r="H774" s="132"/>
      <c r="I774" s="132"/>
      <c r="J774" s="132"/>
      <c r="K774" s="132"/>
      <c r="L774" s="132"/>
      <c r="M774" s="132"/>
      <c r="N774" s="132"/>
      <c r="O774" s="93">
        <f t="shared" si="342"/>
        <v>0</v>
      </c>
      <c r="P774" s="69"/>
      <c r="Q774" s="108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  <c r="AK774" s="67"/>
      <c r="AL774" s="67"/>
      <c r="AM774" s="67"/>
      <c r="AN774" s="67"/>
      <c r="AO774" s="67"/>
      <c r="AP774" s="67"/>
      <c r="AQ774" s="67"/>
      <c r="AR774" s="67"/>
      <c r="AS774" s="67"/>
      <c r="AT774" s="67"/>
      <c r="AU774" s="67"/>
      <c r="AV774" s="67"/>
      <c r="AW774" s="67"/>
      <c r="AX774" s="67"/>
      <c r="AY774" s="67"/>
      <c r="AZ774" s="67"/>
      <c r="BA774" s="67"/>
      <c r="BB774" s="67"/>
      <c r="BC774" s="67"/>
      <c r="BD774" s="67"/>
      <c r="BE774" s="67"/>
      <c r="BF774" s="67"/>
      <c r="BG774" s="67"/>
      <c r="BH774" s="67"/>
      <c r="BI774" s="67"/>
      <c r="BJ774" s="67"/>
      <c r="BK774" s="67"/>
      <c r="BL774" s="67"/>
      <c r="BM774" s="67"/>
      <c r="BN774" s="67"/>
      <c r="BO774" s="67"/>
      <c r="BP774" s="67"/>
      <c r="BQ774" s="67"/>
      <c r="BR774" s="67"/>
      <c r="BS774" s="67"/>
      <c r="BT774" s="67"/>
      <c r="BU774" s="67"/>
      <c r="BV774" s="67"/>
    </row>
    <row r="775" spans="1:74" s="68" customFormat="1" ht="31.5" x14ac:dyDescent="0.2">
      <c r="A775" s="81" t="s">
        <v>973</v>
      </c>
      <c r="B775" s="79" t="s">
        <v>974</v>
      </c>
      <c r="C775" s="130">
        <f t="shared" ref="C775:N775" si="346">+C776</f>
        <v>0</v>
      </c>
      <c r="D775" s="130">
        <f t="shared" si="346"/>
        <v>0</v>
      </c>
      <c r="E775" s="130">
        <f t="shared" si="346"/>
        <v>0</v>
      </c>
      <c r="F775" s="130">
        <f t="shared" si="346"/>
        <v>0</v>
      </c>
      <c r="G775" s="130">
        <f t="shared" si="346"/>
        <v>0</v>
      </c>
      <c r="H775" s="130">
        <f t="shared" si="346"/>
        <v>0</v>
      </c>
      <c r="I775" s="130">
        <f t="shared" si="346"/>
        <v>0</v>
      </c>
      <c r="J775" s="130">
        <f t="shared" si="346"/>
        <v>0</v>
      </c>
      <c r="K775" s="130">
        <f t="shared" si="346"/>
        <v>0</v>
      </c>
      <c r="L775" s="130">
        <f t="shared" si="346"/>
        <v>0</v>
      </c>
      <c r="M775" s="130">
        <f t="shared" si="346"/>
        <v>0</v>
      </c>
      <c r="N775" s="130">
        <f t="shared" si="346"/>
        <v>0</v>
      </c>
      <c r="O775" s="93">
        <f t="shared" si="342"/>
        <v>0</v>
      </c>
      <c r="P775" s="67"/>
      <c r="Q775" s="108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  <c r="AK775" s="67"/>
      <c r="AL775" s="67"/>
      <c r="AM775" s="67"/>
      <c r="AN775" s="67"/>
      <c r="AO775" s="67"/>
      <c r="AP775" s="67"/>
      <c r="AQ775" s="67"/>
      <c r="AR775" s="67"/>
      <c r="AS775" s="67"/>
      <c r="AT775" s="67"/>
      <c r="AU775" s="67"/>
      <c r="AV775" s="67"/>
      <c r="AW775" s="67"/>
      <c r="AX775" s="67"/>
      <c r="AY775" s="67"/>
      <c r="AZ775" s="67"/>
      <c r="BA775" s="67"/>
      <c r="BB775" s="67"/>
      <c r="BC775" s="67"/>
      <c r="BD775" s="67"/>
      <c r="BE775" s="67"/>
      <c r="BF775" s="67"/>
      <c r="BG775" s="67"/>
      <c r="BH775" s="67"/>
      <c r="BI775" s="67"/>
      <c r="BJ775" s="67"/>
      <c r="BK775" s="67"/>
      <c r="BL775" s="67"/>
      <c r="BM775" s="67"/>
      <c r="BN775" s="67"/>
      <c r="BO775" s="67"/>
      <c r="BP775" s="67"/>
      <c r="BQ775" s="67"/>
      <c r="BR775" s="67"/>
      <c r="BS775" s="67"/>
      <c r="BT775" s="67"/>
      <c r="BU775" s="67"/>
      <c r="BV775" s="67"/>
    </row>
    <row r="776" spans="1:74" s="68" customFormat="1" ht="28.5" x14ac:dyDescent="0.2">
      <c r="A776" s="76" t="s">
        <v>975</v>
      </c>
      <c r="B776" s="77" t="s">
        <v>378</v>
      </c>
      <c r="C776" s="132"/>
      <c r="D776" s="132"/>
      <c r="E776" s="132"/>
      <c r="F776" s="132"/>
      <c r="G776" s="132"/>
      <c r="H776" s="132"/>
      <c r="I776" s="132"/>
      <c r="J776" s="132"/>
      <c r="K776" s="132"/>
      <c r="L776" s="132"/>
      <c r="M776" s="132"/>
      <c r="N776" s="132"/>
      <c r="O776" s="93">
        <f t="shared" si="342"/>
        <v>0</v>
      </c>
      <c r="P776" s="67"/>
      <c r="Q776" s="108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7"/>
      <c r="AL776" s="67"/>
      <c r="AM776" s="67"/>
      <c r="AN776" s="67"/>
      <c r="AO776" s="67"/>
      <c r="AP776" s="67"/>
      <c r="AQ776" s="67"/>
      <c r="AR776" s="67"/>
      <c r="AS776" s="67"/>
      <c r="AT776" s="67"/>
      <c r="AU776" s="67"/>
      <c r="AV776" s="67"/>
      <c r="AW776" s="67"/>
      <c r="AX776" s="67"/>
      <c r="AY776" s="67"/>
      <c r="AZ776" s="67"/>
      <c r="BA776" s="67"/>
      <c r="BB776" s="67"/>
      <c r="BC776" s="67"/>
      <c r="BD776" s="67"/>
      <c r="BE776" s="67"/>
      <c r="BF776" s="67"/>
      <c r="BG776" s="67"/>
      <c r="BH776" s="67"/>
      <c r="BI776" s="67"/>
      <c r="BJ776" s="67"/>
      <c r="BK776" s="67"/>
      <c r="BL776" s="67"/>
      <c r="BM776" s="67"/>
      <c r="BN776" s="67"/>
      <c r="BO776" s="67"/>
      <c r="BP776" s="67"/>
      <c r="BQ776" s="67"/>
      <c r="BR776" s="67"/>
      <c r="BS776" s="67"/>
      <c r="BT776" s="67"/>
      <c r="BU776" s="67"/>
      <c r="BV776" s="67"/>
    </row>
    <row r="777" spans="1:74" s="68" customFormat="1" ht="15.75" x14ac:dyDescent="0.2">
      <c r="A777" s="81" t="s">
        <v>404</v>
      </c>
      <c r="B777" s="79" t="s">
        <v>976</v>
      </c>
      <c r="C777" s="130">
        <f t="shared" ref="C777:N777" si="347">+C778+C783+C789+C807+C818</f>
        <v>0</v>
      </c>
      <c r="D777" s="130">
        <f t="shared" si="347"/>
        <v>0</v>
      </c>
      <c r="E777" s="130">
        <f t="shared" si="347"/>
        <v>0</v>
      </c>
      <c r="F777" s="130">
        <f t="shared" si="347"/>
        <v>168538869.03</v>
      </c>
      <c r="G777" s="130">
        <f t="shared" si="347"/>
        <v>0</v>
      </c>
      <c r="H777" s="130">
        <f t="shared" si="347"/>
        <v>0</v>
      </c>
      <c r="I777" s="130">
        <f t="shared" si="347"/>
        <v>0</v>
      </c>
      <c r="J777" s="130">
        <f t="shared" si="347"/>
        <v>0</v>
      </c>
      <c r="K777" s="130">
        <f t="shared" si="347"/>
        <v>0</v>
      </c>
      <c r="L777" s="130">
        <f t="shared" si="347"/>
        <v>0</v>
      </c>
      <c r="M777" s="130">
        <f t="shared" si="347"/>
        <v>0</v>
      </c>
      <c r="N777" s="130">
        <f t="shared" si="347"/>
        <v>0</v>
      </c>
      <c r="O777" s="93">
        <f t="shared" si="342"/>
        <v>168538869.03</v>
      </c>
      <c r="P777" s="67"/>
      <c r="Q777" s="108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  <c r="AK777" s="67"/>
      <c r="AL777" s="67"/>
      <c r="AM777" s="67"/>
      <c r="AN777" s="67"/>
      <c r="AO777" s="67"/>
      <c r="AP777" s="67"/>
      <c r="AQ777" s="67"/>
      <c r="AR777" s="67"/>
      <c r="AS777" s="67"/>
      <c r="AT777" s="67"/>
      <c r="AU777" s="67"/>
      <c r="AV777" s="67"/>
      <c r="AW777" s="67"/>
      <c r="AX777" s="67"/>
      <c r="AY777" s="67"/>
      <c r="AZ777" s="67"/>
      <c r="BA777" s="67"/>
      <c r="BB777" s="67"/>
      <c r="BC777" s="67"/>
      <c r="BD777" s="67"/>
      <c r="BE777" s="67"/>
      <c r="BF777" s="67"/>
      <c r="BG777" s="67"/>
      <c r="BH777" s="67"/>
      <c r="BI777" s="67"/>
      <c r="BJ777" s="67"/>
      <c r="BK777" s="67"/>
      <c r="BL777" s="67"/>
      <c r="BM777" s="67"/>
      <c r="BN777" s="67"/>
      <c r="BO777" s="67"/>
      <c r="BP777" s="67"/>
      <c r="BQ777" s="67"/>
      <c r="BR777" s="67"/>
      <c r="BS777" s="67"/>
      <c r="BT777" s="67"/>
      <c r="BU777" s="67"/>
      <c r="BV777" s="67"/>
    </row>
    <row r="778" spans="1:74" s="68" customFormat="1" ht="15.75" x14ac:dyDescent="0.2">
      <c r="A778" s="81" t="s">
        <v>977</v>
      </c>
      <c r="B778" s="79" t="s">
        <v>978</v>
      </c>
      <c r="C778" s="130">
        <f t="shared" ref="C778:N778" si="348">SUM(C779:C781)</f>
        <v>0</v>
      </c>
      <c r="D778" s="130">
        <f t="shared" si="348"/>
        <v>0</v>
      </c>
      <c r="E778" s="130">
        <f t="shared" si="348"/>
        <v>0</v>
      </c>
      <c r="F778" s="130">
        <f t="shared" si="348"/>
        <v>0</v>
      </c>
      <c r="G778" s="130">
        <f t="shared" si="348"/>
        <v>0</v>
      </c>
      <c r="H778" s="130">
        <f t="shared" si="348"/>
        <v>0</v>
      </c>
      <c r="I778" s="130">
        <f t="shared" si="348"/>
        <v>0</v>
      </c>
      <c r="J778" s="130">
        <f t="shared" si="348"/>
        <v>0</v>
      </c>
      <c r="K778" s="130">
        <f t="shared" si="348"/>
        <v>0</v>
      </c>
      <c r="L778" s="130">
        <f t="shared" si="348"/>
        <v>0</v>
      </c>
      <c r="M778" s="130">
        <f t="shared" si="348"/>
        <v>0</v>
      </c>
      <c r="N778" s="130">
        <f t="shared" si="348"/>
        <v>0</v>
      </c>
      <c r="O778" s="93">
        <f t="shared" si="342"/>
        <v>0</v>
      </c>
      <c r="P778" s="67"/>
      <c r="Q778" s="108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  <c r="AK778" s="67"/>
      <c r="AL778" s="67"/>
      <c r="AM778" s="67"/>
      <c r="AN778" s="67"/>
      <c r="AO778" s="67"/>
      <c r="AP778" s="67"/>
      <c r="AQ778" s="67"/>
      <c r="AR778" s="67"/>
      <c r="AS778" s="67"/>
      <c r="AT778" s="67"/>
      <c r="AU778" s="67"/>
      <c r="AV778" s="67"/>
      <c r="AW778" s="67"/>
      <c r="AX778" s="67"/>
      <c r="AY778" s="67"/>
      <c r="AZ778" s="67"/>
      <c r="BA778" s="67"/>
      <c r="BB778" s="67"/>
      <c r="BC778" s="67"/>
      <c r="BD778" s="67"/>
      <c r="BE778" s="67"/>
      <c r="BF778" s="67"/>
      <c r="BG778" s="67"/>
      <c r="BH778" s="67"/>
      <c r="BI778" s="67"/>
      <c r="BJ778" s="67"/>
      <c r="BK778" s="67"/>
      <c r="BL778" s="67"/>
      <c r="BM778" s="67"/>
      <c r="BN778" s="67"/>
      <c r="BO778" s="67"/>
      <c r="BP778" s="67"/>
      <c r="BQ778" s="67"/>
      <c r="BR778" s="67"/>
      <c r="BS778" s="67"/>
      <c r="BT778" s="67"/>
      <c r="BU778" s="67"/>
      <c r="BV778" s="67"/>
    </row>
    <row r="779" spans="1:74" s="68" customFormat="1" ht="28.5" x14ac:dyDescent="0.2">
      <c r="A779" s="76" t="s">
        <v>979</v>
      </c>
      <c r="B779" s="77" t="s">
        <v>375</v>
      </c>
      <c r="C779" s="132"/>
      <c r="D779" s="132"/>
      <c r="E779" s="132"/>
      <c r="F779" s="132"/>
      <c r="G779" s="132"/>
      <c r="H779" s="132"/>
      <c r="I779" s="132"/>
      <c r="J779" s="132"/>
      <c r="K779" s="132"/>
      <c r="L779" s="132"/>
      <c r="M779" s="132"/>
      <c r="N779" s="132"/>
      <c r="O779" s="93">
        <f t="shared" si="342"/>
        <v>0</v>
      </c>
      <c r="P779" s="67"/>
      <c r="Q779" s="108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  <c r="AK779" s="67"/>
      <c r="AL779" s="67"/>
      <c r="AM779" s="67"/>
      <c r="AN779" s="67"/>
      <c r="AO779" s="67"/>
      <c r="AP779" s="67"/>
      <c r="AQ779" s="67"/>
      <c r="AR779" s="67"/>
      <c r="AS779" s="67"/>
      <c r="AT779" s="67"/>
      <c r="AU779" s="67"/>
      <c r="AV779" s="67"/>
      <c r="AW779" s="67"/>
      <c r="AX779" s="67"/>
      <c r="AY779" s="67"/>
      <c r="AZ779" s="67"/>
      <c r="BA779" s="67"/>
      <c r="BB779" s="67"/>
      <c r="BC779" s="67"/>
      <c r="BD779" s="67"/>
      <c r="BE779" s="67"/>
      <c r="BF779" s="67"/>
      <c r="BG779" s="67"/>
      <c r="BH779" s="67"/>
      <c r="BI779" s="67"/>
      <c r="BJ779" s="67"/>
      <c r="BK779" s="67"/>
      <c r="BL779" s="67"/>
      <c r="BM779" s="67"/>
      <c r="BN779" s="67"/>
      <c r="BO779" s="67"/>
      <c r="BP779" s="67"/>
      <c r="BQ779" s="67"/>
      <c r="BR779" s="67"/>
      <c r="BS779" s="67"/>
      <c r="BT779" s="67"/>
      <c r="BU779" s="67"/>
      <c r="BV779" s="67"/>
    </row>
    <row r="780" spans="1:74" s="68" customFormat="1" ht="28.5" x14ac:dyDescent="0.2">
      <c r="A780" s="76" t="s">
        <v>980</v>
      </c>
      <c r="B780" s="77" t="s">
        <v>375</v>
      </c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93">
        <f t="shared" si="342"/>
        <v>0</v>
      </c>
      <c r="P780" s="67"/>
      <c r="Q780" s="108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  <c r="AK780" s="67"/>
      <c r="AL780" s="67"/>
      <c r="AM780" s="67"/>
      <c r="AN780" s="67"/>
      <c r="AO780" s="67"/>
      <c r="AP780" s="67"/>
      <c r="AQ780" s="67"/>
      <c r="AR780" s="67"/>
      <c r="AS780" s="67"/>
      <c r="AT780" s="67"/>
      <c r="AU780" s="67"/>
      <c r="AV780" s="67"/>
      <c r="AW780" s="67"/>
      <c r="AX780" s="67"/>
      <c r="AY780" s="67"/>
      <c r="AZ780" s="67"/>
      <c r="BA780" s="67"/>
      <c r="BB780" s="67"/>
      <c r="BC780" s="67"/>
      <c r="BD780" s="67"/>
      <c r="BE780" s="67"/>
      <c r="BF780" s="67"/>
      <c r="BG780" s="67"/>
      <c r="BH780" s="67"/>
      <c r="BI780" s="67"/>
      <c r="BJ780" s="67"/>
      <c r="BK780" s="67"/>
      <c r="BL780" s="67"/>
      <c r="BM780" s="67"/>
      <c r="BN780" s="67"/>
      <c r="BO780" s="67"/>
      <c r="BP780" s="67"/>
      <c r="BQ780" s="67"/>
      <c r="BR780" s="67"/>
      <c r="BS780" s="67"/>
      <c r="BT780" s="67"/>
      <c r="BU780" s="67"/>
      <c r="BV780" s="67"/>
    </row>
    <row r="781" spans="1:74" s="68" customFormat="1" ht="30" x14ac:dyDescent="0.2">
      <c r="A781" s="81" t="s">
        <v>981</v>
      </c>
      <c r="B781" s="194" t="s">
        <v>974</v>
      </c>
      <c r="C781" s="130">
        <f t="shared" ref="C781:N781" si="349">+C782</f>
        <v>0</v>
      </c>
      <c r="D781" s="130">
        <f t="shared" si="349"/>
        <v>0</v>
      </c>
      <c r="E781" s="130">
        <f t="shared" si="349"/>
        <v>0</v>
      </c>
      <c r="F781" s="130">
        <f t="shared" si="349"/>
        <v>0</v>
      </c>
      <c r="G781" s="130">
        <f t="shared" si="349"/>
        <v>0</v>
      </c>
      <c r="H781" s="130">
        <f t="shared" si="349"/>
        <v>0</v>
      </c>
      <c r="I781" s="130">
        <f t="shared" si="349"/>
        <v>0</v>
      </c>
      <c r="J781" s="130">
        <f t="shared" si="349"/>
        <v>0</v>
      </c>
      <c r="K781" s="130">
        <f t="shared" si="349"/>
        <v>0</v>
      </c>
      <c r="L781" s="130">
        <f t="shared" si="349"/>
        <v>0</v>
      </c>
      <c r="M781" s="130">
        <f t="shared" si="349"/>
        <v>0</v>
      </c>
      <c r="N781" s="130">
        <f t="shared" si="349"/>
        <v>0</v>
      </c>
      <c r="O781" s="93">
        <f t="shared" si="342"/>
        <v>0</v>
      </c>
      <c r="P781" s="67"/>
      <c r="Q781" s="108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  <c r="AK781" s="67"/>
      <c r="AL781" s="67"/>
      <c r="AM781" s="67"/>
      <c r="AN781" s="67"/>
      <c r="AO781" s="67"/>
      <c r="AP781" s="67"/>
      <c r="AQ781" s="67"/>
      <c r="AR781" s="67"/>
      <c r="AS781" s="67"/>
      <c r="AT781" s="67"/>
      <c r="AU781" s="67"/>
      <c r="AV781" s="67"/>
      <c r="AW781" s="67"/>
      <c r="AX781" s="67"/>
      <c r="AY781" s="67"/>
      <c r="AZ781" s="67"/>
      <c r="BA781" s="67"/>
      <c r="BB781" s="67"/>
      <c r="BC781" s="67"/>
      <c r="BD781" s="67"/>
      <c r="BE781" s="67"/>
      <c r="BF781" s="67"/>
      <c r="BG781" s="67"/>
      <c r="BH781" s="67"/>
      <c r="BI781" s="67"/>
      <c r="BJ781" s="67"/>
      <c r="BK781" s="67"/>
      <c r="BL781" s="67"/>
      <c r="BM781" s="67"/>
      <c r="BN781" s="67"/>
      <c r="BO781" s="67"/>
      <c r="BP781" s="67"/>
      <c r="BQ781" s="67"/>
      <c r="BR781" s="67"/>
      <c r="BS781" s="67"/>
      <c r="BT781" s="67"/>
      <c r="BU781" s="67"/>
      <c r="BV781" s="67"/>
    </row>
    <row r="782" spans="1:74" s="68" customFormat="1" ht="30" x14ac:dyDescent="0.2">
      <c r="A782" s="82" t="s">
        <v>982</v>
      </c>
      <c r="B782" s="83" t="s">
        <v>378</v>
      </c>
      <c r="C782" s="132"/>
      <c r="D782" s="132"/>
      <c r="E782" s="132"/>
      <c r="F782" s="132"/>
      <c r="G782" s="132"/>
      <c r="H782" s="132"/>
      <c r="I782" s="132"/>
      <c r="J782" s="132"/>
      <c r="K782" s="132"/>
      <c r="L782" s="132"/>
      <c r="M782" s="132"/>
      <c r="N782" s="132"/>
      <c r="O782" s="93">
        <f t="shared" si="342"/>
        <v>0</v>
      </c>
      <c r="P782" s="67"/>
      <c r="Q782" s="108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  <c r="AK782" s="67"/>
      <c r="AL782" s="67"/>
      <c r="AM782" s="67"/>
      <c r="AN782" s="67"/>
      <c r="AO782" s="67"/>
      <c r="AP782" s="67"/>
      <c r="AQ782" s="67"/>
      <c r="AR782" s="67"/>
      <c r="AS782" s="67"/>
      <c r="AT782" s="67"/>
      <c r="AU782" s="67"/>
      <c r="AV782" s="67"/>
      <c r="AW782" s="67"/>
      <c r="AX782" s="67"/>
      <c r="AY782" s="67"/>
      <c r="AZ782" s="67"/>
      <c r="BA782" s="67"/>
      <c r="BB782" s="67"/>
      <c r="BC782" s="67"/>
      <c r="BD782" s="67"/>
      <c r="BE782" s="67"/>
      <c r="BF782" s="67"/>
      <c r="BG782" s="67"/>
      <c r="BH782" s="67"/>
      <c r="BI782" s="67"/>
      <c r="BJ782" s="67"/>
      <c r="BK782" s="67"/>
      <c r="BL782" s="67"/>
      <c r="BM782" s="67"/>
      <c r="BN782" s="67"/>
      <c r="BO782" s="67"/>
      <c r="BP782" s="67"/>
      <c r="BQ782" s="67"/>
      <c r="BR782" s="67"/>
      <c r="BS782" s="67"/>
      <c r="BT782" s="67"/>
      <c r="BU782" s="67"/>
      <c r="BV782" s="67"/>
    </row>
    <row r="783" spans="1:74" s="68" customFormat="1" ht="47.25" x14ac:dyDescent="0.2">
      <c r="A783" s="81" t="s">
        <v>983</v>
      </c>
      <c r="B783" s="79" t="s">
        <v>984</v>
      </c>
      <c r="C783" s="130">
        <f>SUM(C784:C786)</f>
        <v>0</v>
      </c>
      <c r="D783" s="130">
        <f t="shared" ref="D783:N783" si="350">SUM(D784:D786)</f>
        <v>0</v>
      </c>
      <c r="E783" s="130">
        <f t="shared" si="350"/>
        <v>0</v>
      </c>
      <c r="F783" s="130">
        <f t="shared" si="350"/>
        <v>168538869.03</v>
      </c>
      <c r="G783" s="130">
        <f t="shared" si="350"/>
        <v>0</v>
      </c>
      <c r="H783" s="130">
        <f t="shared" si="350"/>
        <v>0</v>
      </c>
      <c r="I783" s="130">
        <f t="shared" si="350"/>
        <v>0</v>
      </c>
      <c r="J783" s="130">
        <f t="shared" si="350"/>
        <v>0</v>
      </c>
      <c r="K783" s="130">
        <f t="shared" si="350"/>
        <v>0</v>
      </c>
      <c r="L783" s="130">
        <f t="shared" si="350"/>
        <v>0</v>
      </c>
      <c r="M783" s="130">
        <f t="shared" si="350"/>
        <v>0</v>
      </c>
      <c r="N783" s="130">
        <f t="shared" si="350"/>
        <v>0</v>
      </c>
      <c r="O783" s="93">
        <f t="shared" si="342"/>
        <v>168538869.03</v>
      </c>
      <c r="P783" s="67"/>
      <c r="Q783" s="108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  <c r="AK783" s="67"/>
      <c r="AL783" s="67"/>
      <c r="AM783" s="67"/>
      <c r="AN783" s="67"/>
      <c r="AO783" s="67"/>
      <c r="AP783" s="67"/>
      <c r="AQ783" s="67"/>
      <c r="AR783" s="67"/>
      <c r="AS783" s="67"/>
      <c r="AT783" s="67"/>
      <c r="AU783" s="67"/>
      <c r="AV783" s="67"/>
      <c r="AW783" s="67"/>
      <c r="AX783" s="67"/>
      <c r="AY783" s="67"/>
      <c r="AZ783" s="67"/>
      <c r="BA783" s="67"/>
      <c r="BB783" s="67"/>
      <c r="BC783" s="67"/>
      <c r="BD783" s="67"/>
      <c r="BE783" s="67"/>
      <c r="BF783" s="67"/>
      <c r="BG783" s="67"/>
      <c r="BH783" s="67"/>
      <c r="BI783" s="67"/>
      <c r="BJ783" s="67"/>
      <c r="BK783" s="67"/>
      <c r="BL783" s="67"/>
      <c r="BM783" s="67"/>
      <c r="BN783" s="67"/>
      <c r="BO783" s="67"/>
      <c r="BP783" s="67"/>
      <c r="BQ783" s="67"/>
      <c r="BR783" s="67"/>
      <c r="BS783" s="67"/>
      <c r="BT783" s="67"/>
      <c r="BU783" s="67"/>
      <c r="BV783" s="67"/>
    </row>
    <row r="784" spans="1:74" s="68" customFormat="1" ht="28.5" x14ac:dyDescent="0.2">
      <c r="A784" s="76" t="s">
        <v>985</v>
      </c>
      <c r="B784" s="77" t="s">
        <v>375</v>
      </c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93">
        <f t="shared" si="342"/>
        <v>0</v>
      </c>
      <c r="P784" s="67"/>
      <c r="Q784" s="108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  <c r="AK784" s="67"/>
      <c r="AL784" s="67"/>
      <c r="AM784" s="67"/>
      <c r="AN784" s="67"/>
      <c r="AO784" s="67"/>
      <c r="AP784" s="67"/>
      <c r="AQ784" s="67"/>
      <c r="AR784" s="67"/>
      <c r="AS784" s="67"/>
      <c r="AT784" s="67"/>
      <c r="AU784" s="67"/>
      <c r="AV784" s="67"/>
      <c r="AW784" s="67"/>
      <c r="AX784" s="67"/>
      <c r="AY784" s="67"/>
      <c r="AZ784" s="67"/>
      <c r="BA784" s="67"/>
      <c r="BB784" s="67"/>
      <c r="BC784" s="67"/>
      <c r="BD784" s="67"/>
      <c r="BE784" s="67"/>
      <c r="BF784" s="67"/>
      <c r="BG784" s="67"/>
      <c r="BH784" s="67"/>
      <c r="BI784" s="67"/>
      <c r="BJ784" s="67"/>
      <c r="BK784" s="67"/>
      <c r="BL784" s="67"/>
      <c r="BM784" s="67"/>
      <c r="BN784" s="67"/>
      <c r="BO784" s="67"/>
      <c r="BP784" s="67"/>
      <c r="BQ784" s="67"/>
      <c r="BR784" s="67"/>
      <c r="BS784" s="67"/>
      <c r="BT784" s="67"/>
      <c r="BU784" s="67"/>
      <c r="BV784" s="67"/>
    </row>
    <row r="785" spans="1:74" s="68" customFormat="1" ht="28.5" x14ac:dyDescent="0.2">
      <c r="A785" s="76" t="s">
        <v>985</v>
      </c>
      <c r="B785" s="77" t="s">
        <v>375</v>
      </c>
      <c r="C785" s="131"/>
      <c r="D785" s="131"/>
      <c r="E785" s="131"/>
      <c r="F785" s="131">
        <v>42134730.799999997</v>
      </c>
      <c r="G785" s="131"/>
      <c r="H785" s="131"/>
      <c r="I785" s="131"/>
      <c r="J785" s="131"/>
      <c r="K785" s="131"/>
      <c r="L785" s="131"/>
      <c r="M785" s="131"/>
      <c r="N785" s="131"/>
      <c r="O785" s="93">
        <f t="shared" si="342"/>
        <v>42134730.799999997</v>
      </c>
      <c r="P785" s="67"/>
      <c r="Q785" s="108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  <c r="AK785" s="67"/>
      <c r="AL785" s="67"/>
      <c r="AM785" s="67"/>
      <c r="AN785" s="67"/>
      <c r="AO785" s="67"/>
      <c r="AP785" s="67"/>
      <c r="AQ785" s="67"/>
      <c r="AR785" s="67"/>
      <c r="AS785" s="67"/>
      <c r="AT785" s="67"/>
      <c r="AU785" s="67"/>
      <c r="AV785" s="67"/>
      <c r="AW785" s="67"/>
      <c r="AX785" s="67"/>
      <c r="AY785" s="67"/>
      <c r="AZ785" s="67"/>
      <c r="BA785" s="67"/>
      <c r="BB785" s="67"/>
      <c r="BC785" s="67"/>
      <c r="BD785" s="67"/>
      <c r="BE785" s="67"/>
      <c r="BF785" s="67"/>
      <c r="BG785" s="67"/>
      <c r="BH785" s="67"/>
      <c r="BI785" s="67"/>
      <c r="BJ785" s="67"/>
      <c r="BK785" s="67"/>
      <c r="BL785" s="67"/>
      <c r="BM785" s="67"/>
      <c r="BN785" s="67"/>
      <c r="BO785" s="67"/>
      <c r="BP785" s="67"/>
      <c r="BQ785" s="67"/>
      <c r="BR785" s="67"/>
      <c r="BS785" s="67"/>
      <c r="BT785" s="67"/>
      <c r="BU785" s="67"/>
      <c r="BV785" s="67"/>
    </row>
    <row r="786" spans="1:74" s="68" customFormat="1" ht="31.5" x14ac:dyDescent="0.2">
      <c r="A786" s="81" t="s">
        <v>986</v>
      </c>
      <c r="B786" s="79" t="s">
        <v>987</v>
      </c>
      <c r="C786" s="130">
        <f>+C787+C788</f>
        <v>0</v>
      </c>
      <c r="D786" s="130">
        <f t="shared" ref="D786:N786" si="351">+D787+D788</f>
        <v>0</v>
      </c>
      <c r="E786" s="130">
        <f t="shared" si="351"/>
        <v>0</v>
      </c>
      <c r="F786" s="130">
        <f t="shared" si="351"/>
        <v>126404138.23</v>
      </c>
      <c r="G786" s="130">
        <f>+G787+G788</f>
        <v>0</v>
      </c>
      <c r="H786" s="130">
        <f t="shared" si="351"/>
        <v>0</v>
      </c>
      <c r="I786" s="130">
        <f t="shared" si="351"/>
        <v>0</v>
      </c>
      <c r="J786" s="130">
        <f t="shared" si="351"/>
        <v>0</v>
      </c>
      <c r="K786" s="130">
        <f t="shared" si="351"/>
        <v>0</v>
      </c>
      <c r="L786" s="130">
        <f t="shared" si="351"/>
        <v>0</v>
      </c>
      <c r="M786" s="130">
        <f t="shared" si="351"/>
        <v>0</v>
      </c>
      <c r="N786" s="130">
        <f t="shared" si="351"/>
        <v>0</v>
      </c>
      <c r="O786" s="93">
        <f t="shared" si="342"/>
        <v>126404138.23</v>
      </c>
      <c r="P786" s="67"/>
      <c r="Q786" s="108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  <c r="AK786" s="67"/>
      <c r="AL786" s="67"/>
      <c r="AM786" s="67"/>
      <c r="AN786" s="67"/>
      <c r="AO786" s="67"/>
      <c r="AP786" s="67"/>
      <c r="AQ786" s="67"/>
      <c r="AR786" s="67"/>
      <c r="AS786" s="67"/>
      <c r="AT786" s="67"/>
      <c r="AU786" s="67"/>
      <c r="AV786" s="67"/>
      <c r="AW786" s="67"/>
      <c r="AX786" s="67"/>
      <c r="AY786" s="67"/>
      <c r="AZ786" s="67"/>
      <c r="BA786" s="67"/>
      <c r="BB786" s="67"/>
      <c r="BC786" s="67"/>
      <c r="BD786" s="67"/>
      <c r="BE786" s="67"/>
      <c r="BF786" s="67"/>
      <c r="BG786" s="67"/>
      <c r="BH786" s="67"/>
      <c r="BI786" s="67"/>
      <c r="BJ786" s="67"/>
      <c r="BK786" s="67"/>
      <c r="BL786" s="67"/>
      <c r="BM786" s="67"/>
      <c r="BN786" s="67"/>
      <c r="BO786" s="67"/>
      <c r="BP786" s="67"/>
      <c r="BQ786" s="67"/>
      <c r="BR786" s="67"/>
      <c r="BS786" s="67"/>
      <c r="BT786" s="67"/>
      <c r="BU786" s="67"/>
      <c r="BV786" s="67"/>
    </row>
    <row r="787" spans="1:74" s="68" customFormat="1" ht="30" x14ac:dyDescent="0.2">
      <c r="A787" s="76" t="s">
        <v>988</v>
      </c>
      <c r="B787" s="83" t="s">
        <v>378</v>
      </c>
      <c r="C787" s="132"/>
      <c r="D787" s="132"/>
      <c r="E787" s="132"/>
      <c r="F787" s="132"/>
      <c r="G787" s="132"/>
      <c r="H787" s="132"/>
      <c r="I787" s="132"/>
      <c r="J787" s="132"/>
      <c r="K787" s="132"/>
      <c r="L787" s="132"/>
      <c r="M787" s="132"/>
      <c r="N787" s="132"/>
      <c r="O787" s="93">
        <f t="shared" si="342"/>
        <v>0</v>
      </c>
      <c r="P787" s="69"/>
      <c r="Q787" s="108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  <c r="AK787" s="67"/>
      <c r="AL787" s="67"/>
      <c r="AM787" s="67"/>
      <c r="AN787" s="67"/>
      <c r="AO787" s="67"/>
      <c r="AP787" s="67"/>
      <c r="AQ787" s="67"/>
      <c r="AR787" s="67"/>
      <c r="AS787" s="67"/>
      <c r="AT787" s="67"/>
      <c r="AU787" s="67"/>
      <c r="AV787" s="67"/>
      <c r="AW787" s="67"/>
      <c r="AX787" s="67"/>
      <c r="AY787" s="67"/>
      <c r="AZ787" s="67"/>
      <c r="BA787" s="67"/>
      <c r="BB787" s="67"/>
      <c r="BC787" s="67"/>
      <c r="BD787" s="67"/>
      <c r="BE787" s="67"/>
      <c r="BF787" s="67"/>
      <c r="BG787" s="67"/>
      <c r="BH787" s="67"/>
      <c r="BI787" s="67"/>
      <c r="BJ787" s="67"/>
      <c r="BK787" s="67"/>
      <c r="BL787" s="67"/>
      <c r="BM787" s="67"/>
      <c r="BN787" s="67"/>
      <c r="BO787" s="67"/>
      <c r="BP787" s="67"/>
      <c r="BQ787" s="67"/>
      <c r="BR787" s="67"/>
      <c r="BS787" s="67"/>
      <c r="BT787" s="67"/>
      <c r="BU787" s="67"/>
      <c r="BV787" s="67"/>
    </row>
    <row r="788" spans="1:74" s="68" customFormat="1" ht="30" x14ac:dyDescent="0.2">
      <c r="A788" s="76" t="s">
        <v>988</v>
      </c>
      <c r="B788" s="83" t="s">
        <v>378</v>
      </c>
      <c r="C788" s="132"/>
      <c r="D788" s="132"/>
      <c r="E788" s="132"/>
      <c r="F788" s="132">
        <v>126404138.23</v>
      </c>
      <c r="G788" s="132"/>
      <c r="H788" s="132"/>
      <c r="I788" s="132"/>
      <c r="J788" s="132"/>
      <c r="K788" s="132"/>
      <c r="L788" s="132"/>
      <c r="M788" s="132"/>
      <c r="N788" s="132"/>
      <c r="O788" s="93">
        <f t="shared" si="342"/>
        <v>126404138.23</v>
      </c>
      <c r="P788" s="67"/>
      <c r="Q788" s="108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  <c r="AK788" s="67"/>
      <c r="AL788" s="67"/>
      <c r="AM788" s="67"/>
      <c r="AN788" s="67"/>
      <c r="AO788" s="67"/>
      <c r="AP788" s="67"/>
      <c r="AQ788" s="67"/>
      <c r="AR788" s="67"/>
      <c r="AS788" s="67"/>
      <c r="AT788" s="67"/>
      <c r="AU788" s="67"/>
      <c r="AV788" s="67"/>
      <c r="AW788" s="67"/>
      <c r="AX788" s="67"/>
      <c r="AY788" s="67"/>
      <c r="AZ788" s="67"/>
      <c r="BA788" s="67"/>
      <c r="BB788" s="67"/>
      <c r="BC788" s="67"/>
      <c r="BD788" s="67"/>
      <c r="BE788" s="67"/>
      <c r="BF788" s="67"/>
      <c r="BG788" s="67"/>
      <c r="BH788" s="67"/>
      <c r="BI788" s="67"/>
      <c r="BJ788" s="67"/>
      <c r="BK788" s="67"/>
      <c r="BL788" s="67"/>
      <c r="BM788" s="67"/>
      <c r="BN788" s="67"/>
      <c r="BO788" s="67"/>
      <c r="BP788" s="67"/>
      <c r="BQ788" s="67"/>
      <c r="BR788" s="67"/>
      <c r="BS788" s="67"/>
      <c r="BT788" s="67"/>
      <c r="BU788" s="67"/>
      <c r="BV788" s="67"/>
    </row>
    <row r="789" spans="1:74" s="68" customFormat="1" ht="47.25" x14ac:dyDescent="0.2">
      <c r="A789" s="81" t="s">
        <v>431</v>
      </c>
      <c r="B789" s="79" t="s">
        <v>989</v>
      </c>
      <c r="C789" s="130">
        <f t="shared" ref="C789:N789" si="352">+C790+C796</f>
        <v>0</v>
      </c>
      <c r="D789" s="130">
        <f t="shared" si="352"/>
        <v>0</v>
      </c>
      <c r="E789" s="130">
        <f t="shared" si="352"/>
        <v>0</v>
      </c>
      <c r="F789" s="130">
        <f t="shared" si="352"/>
        <v>0</v>
      </c>
      <c r="G789" s="130">
        <f t="shared" si="352"/>
        <v>0</v>
      </c>
      <c r="H789" s="130">
        <f t="shared" si="352"/>
        <v>0</v>
      </c>
      <c r="I789" s="130">
        <f t="shared" si="352"/>
        <v>0</v>
      </c>
      <c r="J789" s="130">
        <f t="shared" si="352"/>
        <v>0</v>
      </c>
      <c r="K789" s="130">
        <f t="shared" si="352"/>
        <v>0</v>
      </c>
      <c r="L789" s="130">
        <f t="shared" si="352"/>
        <v>0</v>
      </c>
      <c r="M789" s="130">
        <f t="shared" si="352"/>
        <v>0</v>
      </c>
      <c r="N789" s="130">
        <f t="shared" si="352"/>
        <v>0</v>
      </c>
      <c r="O789" s="93">
        <f t="shared" si="342"/>
        <v>0</v>
      </c>
      <c r="P789" s="69"/>
      <c r="Q789" s="108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  <c r="AK789" s="67"/>
      <c r="AL789" s="67"/>
      <c r="AM789" s="67"/>
      <c r="AN789" s="67"/>
      <c r="AO789" s="67"/>
      <c r="AP789" s="67"/>
      <c r="AQ789" s="67"/>
      <c r="AR789" s="67"/>
      <c r="AS789" s="67"/>
      <c r="AT789" s="67"/>
      <c r="AU789" s="67"/>
      <c r="AV789" s="67"/>
      <c r="AW789" s="67"/>
      <c r="AX789" s="67"/>
      <c r="AY789" s="67"/>
      <c r="AZ789" s="67"/>
      <c r="BA789" s="67"/>
      <c r="BB789" s="67"/>
      <c r="BC789" s="67"/>
      <c r="BD789" s="67"/>
      <c r="BE789" s="67"/>
      <c r="BF789" s="67"/>
      <c r="BG789" s="67"/>
      <c r="BH789" s="67"/>
      <c r="BI789" s="67"/>
      <c r="BJ789" s="67"/>
      <c r="BK789" s="67"/>
      <c r="BL789" s="67"/>
      <c r="BM789" s="67"/>
      <c r="BN789" s="67"/>
      <c r="BO789" s="67"/>
      <c r="BP789" s="67"/>
      <c r="BQ789" s="67"/>
      <c r="BR789" s="67"/>
      <c r="BS789" s="67"/>
      <c r="BT789" s="67"/>
      <c r="BU789" s="67"/>
      <c r="BV789" s="67"/>
    </row>
    <row r="790" spans="1:74" s="68" customFormat="1" ht="31.5" x14ac:dyDescent="0.2">
      <c r="A790" s="81" t="s">
        <v>433</v>
      </c>
      <c r="B790" s="79" t="s">
        <v>990</v>
      </c>
      <c r="C790" s="130">
        <f t="shared" ref="C790:N790" si="353">+C791</f>
        <v>0</v>
      </c>
      <c r="D790" s="130">
        <f t="shared" si="353"/>
        <v>0</v>
      </c>
      <c r="E790" s="130">
        <f t="shared" si="353"/>
        <v>0</v>
      </c>
      <c r="F790" s="130">
        <f t="shared" si="353"/>
        <v>0</v>
      </c>
      <c r="G790" s="130">
        <f t="shared" si="353"/>
        <v>0</v>
      </c>
      <c r="H790" s="130">
        <f t="shared" si="353"/>
        <v>0</v>
      </c>
      <c r="I790" s="130">
        <f t="shared" si="353"/>
        <v>0</v>
      </c>
      <c r="J790" s="130">
        <f t="shared" si="353"/>
        <v>0</v>
      </c>
      <c r="K790" s="130">
        <f t="shared" si="353"/>
        <v>0</v>
      </c>
      <c r="L790" s="130">
        <f t="shared" si="353"/>
        <v>0</v>
      </c>
      <c r="M790" s="130">
        <f t="shared" si="353"/>
        <v>0</v>
      </c>
      <c r="N790" s="130">
        <f t="shared" si="353"/>
        <v>0</v>
      </c>
      <c r="O790" s="93">
        <f t="shared" si="342"/>
        <v>0</v>
      </c>
      <c r="P790" s="67"/>
      <c r="Q790" s="108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  <c r="AK790" s="67"/>
      <c r="AL790" s="67"/>
      <c r="AM790" s="67"/>
      <c r="AN790" s="67"/>
      <c r="AO790" s="67"/>
      <c r="AP790" s="67"/>
      <c r="AQ790" s="67"/>
      <c r="AR790" s="67"/>
      <c r="AS790" s="67"/>
      <c r="AT790" s="67"/>
      <c r="AU790" s="67"/>
      <c r="AV790" s="67"/>
      <c r="AW790" s="67"/>
      <c r="AX790" s="67"/>
      <c r="AY790" s="67"/>
      <c r="AZ790" s="67"/>
      <c r="BA790" s="67"/>
      <c r="BB790" s="67"/>
      <c r="BC790" s="67"/>
      <c r="BD790" s="67"/>
      <c r="BE790" s="67"/>
      <c r="BF790" s="67"/>
      <c r="BG790" s="67"/>
      <c r="BH790" s="67"/>
      <c r="BI790" s="67"/>
      <c r="BJ790" s="67"/>
      <c r="BK790" s="67"/>
      <c r="BL790" s="67"/>
      <c r="BM790" s="67"/>
      <c r="BN790" s="67"/>
      <c r="BO790" s="67"/>
      <c r="BP790" s="67"/>
      <c r="BQ790" s="67"/>
      <c r="BR790" s="67"/>
      <c r="BS790" s="67"/>
      <c r="BT790" s="67"/>
      <c r="BU790" s="67"/>
      <c r="BV790" s="67"/>
    </row>
    <row r="791" spans="1:74" s="68" customFormat="1" ht="47.25" x14ac:dyDescent="0.2">
      <c r="A791" s="81" t="s">
        <v>442</v>
      </c>
      <c r="B791" s="79" t="s">
        <v>991</v>
      </c>
      <c r="C791" s="130">
        <f t="shared" ref="C791:N791" si="354">SUM(C792:C794)</f>
        <v>0</v>
      </c>
      <c r="D791" s="130">
        <f t="shared" si="354"/>
        <v>0</v>
      </c>
      <c r="E791" s="130">
        <f t="shared" si="354"/>
        <v>0</v>
      </c>
      <c r="F791" s="130">
        <f t="shared" si="354"/>
        <v>0</v>
      </c>
      <c r="G791" s="130">
        <f t="shared" si="354"/>
        <v>0</v>
      </c>
      <c r="H791" s="130">
        <f t="shared" si="354"/>
        <v>0</v>
      </c>
      <c r="I791" s="130">
        <f t="shared" si="354"/>
        <v>0</v>
      </c>
      <c r="J791" s="130">
        <f t="shared" si="354"/>
        <v>0</v>
      </c>
      <c r="K791" s="130">
        <f t="shared" si="354"/>
        <v>0</v>
      </c>
      <c r="L791" s="130">
        <f t="shared" si="354"/>
        <v>0</v>
      </c>
      <c r="M791" s="130">
        <f t="shared" si="354"/>
        <v>0</v>
      </c>
      <c r="N791" s="130">
        <f t="shared" si="354"/>
        <v>0</v>
      </c>
      <c r="O791" s="93">
        <f t="shared" si="342"/>
        <v>0</v>
      </c>
      <c r="P791" s="67"/>
      <c r="Q791" s="108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7"/>
      <c r="AL791" s="67"/>
      <c r="AM791" s="67"/>
      <c r="AN791" s="67"/>
      <c r="AO791" s="67"/>
      <c r="AP791" s="67"/>
      <c r="AQ791" s="67"/>
      <c r="AR791" s="67"/>
      <c r="AS791" s="67"/>
      <c r="AT791" s="67"/>
      <c r="AU791" s="67"/>
      <c r="AV791" s="67"/>
      <c r="AW791" s="67"/>
      <c r="AX791" s="67"/>
      <c r="AY791" s="67"/>
      <c r="AZ791" s="67"/>
      <c r="BA791" s="67"/>
      <c r="BB791" s="67"/>
      <c r="BC791" s="67"/>
      <c r="BD791" s="67"/>
      <c r="BE791" s="67"/>
      <c r="BF791" s="67"/>
      <c r="BG791" s="67"/>
      <c r="BH791" s="67"/>
      <c r="BI791" s="67"/>
      <c r="BJ791" s="67"/>
      <c r="BK791" s="67"/>
      <c r="BL791" s="67"/>
      <c r="BM791" s="67"/>
      <c r="BN791" s="67"/>
      <c r="BO791" s="67"/>
      <c r="BP791" s="67"/>
      <c r="BQ791" s="67"/>
      <c r="BR791" s="67"/>
      <c r="BS791" s="67"/>
      <c r="BT791" s="67"/>
      <c r="BU791" s="67"/>
      <c r="BV791" s="67"/>
    </row>
    <row r="792" spans="1:74" s="68" customFormat="1" ht="28.5" x14ac:dyDescent="0.2">
      <c r="A792" s="76" t="s">
        <v>444</v>
      </c>
      <c r="B792" s="77" t="s">
        <v>375</v>
      </c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93">
        <f t="shared" si="342"/>
        <v>0</v>
      </c>
      <c r="P792" s="67"/>
      <c r="Q792" s="108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  <c r="AK792" s="67"/>
      <c r="AL792" s="67"/>
      <c r="AM792" s="67"/>
      <c r="AN792" s="67"/>
      <c r="AO792" s="67"/>
      <c r="AP792" s="67"/>
      <c r="AQ792" s="67"/>
      <c r="AR792" s="67"/>
      <c r="AS792" s="67"/>
      <c r="AT792" s="67"/>
      <c r="AU792" s="67"/>
      <c r="AV792" s="67"/>
      <c r="AW792" s="67"/>
      <c r="AX792" s="67"/>
      <c r="AY792" s="67"/>
      <c r="AZ792" s="67"/>
      <c r="BA792" s="67"/>
      <c r="BB792" s="67"/>
      <c r="BC792" s="67"/>
      <c r="BD792" s="67"/>
      <c r="BE792" s="67"/>
      <c r="BF792" s="67"/>
      <c r="BG792" s="67"/>
      <c r="BH792" s="67"/>
      <c r="BI792" s="67"/>
      <c r="BJ792" s="67"/>
      <c r="BK792" s="67"/>
      <c r="BL792" s="67"/>
      <c r="BM792" s="67"/>
      <c r="BN792" s="67"/>
      <c r="BO792" s="67"/>
      <c r="BP792" s="67"/>
      <c r="BQ792" s="67"/>
      <c r="BR792" s="67"/>
      <c r="BS792" s="67"/>
      <c r="BT792" s="67"/>
      <c r="BU792" s="67"/>
      <c r="BV792" s="67"/>
    </row>
    <row r="793" spans="1:74" s="68" customFormat="1" ht="42.75" x14ac:dyDescent="0.2">
      <c r="A793" s="76" t="s">
        <v>445</v>
      </c>
      <c r="B793" s="77" t="s">
        <v>376</v>
      </c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93">
        <f t="shared" si="342"/>
        <v>0</v>
      </c>
      <c r="P793" s="67"/>
      <c r="Q793" s="108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  <c r="AK793" s="67"/>
      <c r="AL793" s="67"/>
      <c r="AM793" s="67"/>
      <c r="AN793" s="67"/>
      <c r="AO793" s="67"/>
      <c r="AP793" s="67"/>
      <c r="AQ793" s="67"/>
      <c r="AR793" s="67"/>
      <c r="AS793" s="67"/>
      <c r="AT793" s="67"/>
      <c r="AU793" s="67"/>
      <c r="AV793" s="67"/>
      <c r="AW793" s="67"/>
      <c r="AX793" s="67"/>
      <c r="AY793" s="67"/>
      <c r="AZ793" s="67"/>
      <c r="BA793" s="67"/>
      <c r="BB793" s="67"/>
      <c r="BC793" s="67"/>
      <c r="BD793" s="67"/>
      <c r="BE793" s="67"/>
      <c r="BF793" s="67"/>
      <c r="BG793" s="67"/>
      <c r="BH793" s="67"/>
      <c r="BI793" s="67"/>
      <c r="BJ793" s="67"/>
      <c r="BK793" s="67"/>
      <c r="BL793" s="67"/>
      <c r="BM793" s="67"/>
      <c r="BN793" s="67"/>
      <c r="BO793" s="67"/>
      <c r="BP793" s="67"/>
      <c r="BQ793" s="67"/>
      <c r="BR793" s="67"/>
      <c r="BS793" s="67"/>
      <c r="BT793" s="67"/>
      <c r="BU793" s="67"/>
      <c r="BV793" s="67"/>
    </row>
    <row r="794" spans="1:74" s="68" customFormat="1" ht="31.5" x14ac:dyDescent="0.2">
      <c r="A794" s="81" t="s">
        <v>446</v>
      </c>
      <c r="B794" s="79" t="s">
        <v>987</v>
      </c>
      <c r="C794" s="130">
        <f t="shared" ref="C794:N794" si="355">+C795</f>
        <v>0</v>
      </c>
      <c r="D794" s="130">
        <f t="shared" si="355"/>
        <v>0</v>
      </c>
      <c r="E794" s="130">
        <f t="shared" si="355"/>
        <v>0</v>
      </c>
      <c r="F794" s="130">
        <f t="shared" si="355"/>
        <v>0</v>
      </c>
      <c r="G794" s="130">
        <f t="shared" si="355"/>
        <v>0</v>
      </c>
      <c r="H794" s="130">
        <f t="shared" si="355"/>
        <v>0</v>
      </c>
      <c r="I794" s="130">
        <f t="shared" si="355"/>
        <v>0</v>
      </c>
      <c r="J794" s="130">
        <f t="shared" si="355"/>
        <v>0</v>
      </c>
      <c r="K794" s="130">
        <f t="shared" si="355"/>
        <v>0</v>
      </c>
      <c r="L794" s="130">
        <f t="shared" si="355"/>
        <v>0</v>
      </c>
      <c r="M794" s="130">
        <f t="shared" si="355"/>
        <v>0</v>
      </c>
      <c r="N794" s="130">
        <f t="shared" si="355"/>
        <v>0</v>
      </c>
      <c r="O794" s="93">
        <f t="shared" si="342"/>
        <v>0</v>
      </c>
      <c r="P794" s="67"/>
      <c r="Q794" s="108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  <c r="AK794" s="67"/>
      <c r="AL794" s="67"/>
      <c r="AM794" s="67"/>
      <c r="AN794" s="67"/>
      <c r="AO794" s="67"/>
      <c r="AP794" s="67"/>
      <c r="AQ794" s="67"/>
      <c r="AR794" s="67"/>
      <c r="AS794" s="67"/>
      <c r="AT794" s="67"/>
      <c r="AU794" s="67"/>
      <c r="AV794" s="67"/>
      <c r="AW794" s="67"/>
      <c r="AX794" s="67"/>
      <c r="AY794" s="67"/>
      <c r="AZ794" s="67"/>
      <c r="BA794" s="67"/>
      <c r="BB794" s="67"/>
      <c r="BC794" s="67"/>
      <c r="BD794" s="67"/>
      <c r="BE794" s="67"/>
      <c r="BF794" s="67"/>
      <c r="BG794" s="67"/>
      <c r="BH794" s="67"/>
      <c r="BI794" s="67"/>
      <c r="BJ794" s="67"/>
      <c r="BK794" s="67"/>
      <c r="BL794" s="67"/>
      <c r="BM794" s="67"/>
      <c r="BN794" s="67"/>
      <c r="BO794" s="67"/>
      <c r="BP794" s="67"/>
      <c r="BQ794" s="67"/>
      <c r="BR794" s="67"/>
      <c r="BS794" s="67"/>
      <c r="BT794" s="67"/>
      <c r="BU794" s="67"/>
      <c r="BV794" s="67"/>
    </row>
    <row r="795" spans="1:74" s="68" customFormat="1" ht="28.5" x14ac:dyDescent="0.2">
      <c r="A795" s="76" t="s">
        <v>992</v>
      </c>
      <c r="B795" s="77" t="s">
        <v>378</v>
      </c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93">
        <f t="shared" si="342"/>
        <v>0</v>
      </c>
      <c r="P795" s="69"/>
      <c r="Q795" s="108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  <c r="AK795" s="67"/>
      <c r="AL795" s="67"/>
      <c r="AM795" s="67"/>
      <c r="AN795" s="67"/>
      <c r="AO795" s="67"/>
      <c r="AP795" s="67"/>
      <c r="AQ795" s="67"/>
      <c r="AR795" s="67"/>
      <c r="AS795" s="67"/>
      <c r="AT795" s="67"/>
      <c r="AU795" s="67"/>
      <c r="AV795" s="67"/>
      <c r="AW795" s="67"/>
      <c r="AX795" s="67"/>
      <c r="AY795" s="67"/>
      <c r="AZ795" s="67"/>
      <c r="BA795" s="67"/>
      <c r="BB795" s="67"/>
      <c r="BC795" s="67"/>
      <c r="BD795" s="67"/>
      <c r="BE795" s="67"/>
      <c r="BF795" s="67"/>
      <c r="BG795" s="67"/>
      <c r="BH795" s="67"/>
      <c r="BI795" s="67"/>
      <c r="BJ795" s="67"/>
      <c r="BK795" s="67"/>
      <c r="BL795" s="67"/>
      <c r="BM795" s="67"/>
      <c r="BN795" s="67"/>
      <c r="BO795" s="67"/>
      <c r="BP795" s="67"/>
      <c r="BQ795" s="67"/>
      <c r="BR795" s="67"/>
      <c r="BS795" s="67"/>
      <c r="BT795" s="67"/>
      <c r="BU795" s="67"/>
      <c r="BV795" s="67"/>
    </row>
    <row r="796" spans="1:74" s="68" customFormat="1" ht="31.5" x14ac:dyDescent="0.2">
      <c r="A796" s="81" t="s">
        <v>449</v>
      </c>
      <c r="B796" s="79" t="s">
        <v>993</v>
      </c>
      <c r="C796" s="130">
        <f t="shared" ref="C796:N796" si="356">+C797+C802</f>
        <v>0</v>
      </c>
      <c r="D796" s="130">
        <f t="shared" si="356"/>
        <v>0</v>
      </c>
      <c r="E796" s="130">
        <f t="shared" si="356"/>
        <v>0</v>
      </c>
      <c r="F796" s="130">
        <f t="shared" si="356"/>
        <v>0</v>
      </c>
      <c r="G796" s="130">
        <f t="shared" si="356"/>
        <v>0</v>
      </c>
      <c r="H796" s="130">
        <f t="shared" si="356"/>
        <v>0</v>
      </c>
      <c r="I796" s="130">
        <f t="shared" si="356"/>
        <v>0</v>
      </c>
      <c r="J796" s="130">
        <f t="shared" si="356"/>
        <v>0</v>
      </c>
      <c r="K796" s="130">
        <f t="shared" si="356"/>
        <v>0</v>
      </c>
      <c r="L796" s="130">
        <f t="shared" si="356"/>
        <v>0</v>
      </c>
      <c r="M796" s="130">
        <f t="shared" si="356"/>
        <v>0</v>
      </c>
      <c r="N796" s="130">
        <f t="shared" si="356"/>
        <v>0</v>
      </c>
      <c r="O796" s="93">
        <f t="shared" si="342"/>
        <v>0</v>
      </c>
      <c r="P796" s="67"/>
      <c r="Q796" s="108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  <c r="AK796" s="67"/>
      <c r="AL796" s="67"/>
      <c r="AM796" s="67"/>
      <c r="AN796" s="67"/>
      <c r="AO796" s="67"/>
      <c r="AP796" s="67"/>
      <c r="AQ796" s="67"/>
      <c r="AR796" s="67"/>
      <c r="AS796" s="67"/>
      <c r="AT796" s="67"/>
      <c r="AU796" s="67"/>
      <c r="AV796" s="67"/>
      <c r="AW796" s="67"/>
      <c r="AX796" s="67"/>
      <c r="AY796" s="67"/>
      <c r="AZ796" s="67"/>
      <c r="BA796" s="67"/>
      <c r="BB796" s="67"/>
      <c r="BC796" s="67"/>
      <c r="BD796" s="67"/>
      <c r="BE796" s="67"/>
      <c r="BF796" s="67"/>
      <c r="BG796" s="67"/>
      <c r="BH796" s="67"/>
      <c r="BI796" s="67"/>
      <c r="BJ796" s="67"/>
      <c r="BK796" s="67"/>
      <c r="BL796" s="67"/>
      <c r="BM796" s="67"/>
      <c r="BN796" s="67"/>
      <c r="BO796" s="67"/>
      <c r="BP796" s="67"/>
      <c r="BQ796" s="67"/>
      <c r="BR796" s="67"/>
      <c r="BS796" s="67"/>
      <c r="BT796" s="67"/>
      <c r="BU796" s="67"/>
      <c r="BV796" s="67"/>
    </row>
    <row r="797" spans="1:74" s="70" customFormat="1" ht="63" x14ac:dyDescent="0.2">
      <c r="A797" s="81" t="s">
        <v>451</v>
      </c>
      <c r="B797" s="79" t="s">
        <v>994</v>
      </c>
      <c r="C797" s="130">
        <f t="shared" ref="C797:N797" si="357">SUM(C798:C800)</f>
        <v>0</v>
      </c>
      <c r="D797" s="130">
        <f t="shared" si="357"/>
        <v>0</v>
      </c>
      <c r="E797" s="130">
        <f t="shared" si="357"/>
        <v>0</v>
      </c>
      <c r="F797" s="130">
        <f t="shared" si="357"/>
        <v>0</v>
      </c>
      <c r="G797" s="130">
        <f t="shared" si="357"/>
        <v>0</v>
      </c>
      <c r="H797" s="130">
        <f t="shared" si="357"/>
        <v>0</v>
      </c>
      <c r="I797" s="130">
        <f t="shared" si="357"/>
        <v>0</v>
      </c>
      <c r="J797" s="130">
        <f t="shared" si="357"/>
        <v>0</v>
      </c>
      <c r="K797" s="130">
        <f t="shared" si="357"/>
        <v>0</v>
      </c>
      <c r="L797" s="130">
        <f t="shared" si="357"/>
        <v>0</v>
      </c>
      <c r="M797" s="130">
        <f t="shared" si="357"/>
        <v>0</v>
      </c>
      <c r="N797" s="130">
        <f t="shared" si="357"/>
        <v>0</v>
      </c>
      <c r="O797" s="93">
        <f t="shared" si="342"/>
        <v>0</v>
      </c>
      <c r="P797" s="67"/>
      <c r="Q797" s="108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  <c r="AV797" s="69"/>
      <c r="AW797" s="69"/>
      <c r="AX797" s="69"/>
      <c r="AY797" s="69"/>
      <c r="AZ797" s="69"/>
      <c r="BA797" s="69"/>
      <c r="BB797" s="69"/>
      <c r="BC797" s="69"/>
      <c r="BD797" s="69"/>
      <c r="BE797" s="69"/>
      <c r="BF797" s="69"/>
      <c r="BG797" s="69"/>
      <c r="BH797" s="69"/>
      <c r="BI797" s="69"/>
      <c r="BJ797" s="69"/>
      <c r="BK797" s="69"/>
      <c r="BL797" s="69"/>
      <c r="BM797" s="69"/>
      <c r="BN797" s="69"/>
      <c r="BO797" s="69"/>
      <c r="BP797" s="69"/>
      <c r="BQ797" s="69"/>
      <c r="BR797" s="69"/>
      <c r="BS797" s="69"/>
      <c r="BT797" s="69"/>
      <c r="BU797" s="69"/>
      <c r="BV797" s="69"/>
    </row>
    <row r="798" spans="1:74" s="70" customFormat="1" ht="28.5" x14ac:dyDescent="0.2">
      <c r="A798" s="76" t="s">
        <v>453</v>
      </c>
      <c r="B798" s="77" t="s">
        <v>375</v>
      </c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93">
        <f t="shared" si="342"/>
        <v>0</v>
      </c>
      <c r="P798" s="67"/>
      <c r="Q798" s="108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  <c r="AV798" s="69"/>
      <c r="AW798" s="69"/>
      <c r="AX798" s="69"/>
      <c r="AY798" s="69"/>
      <c r="AZ798" s="69"/>
      <c r="BA798" s="69"/>
      <c r="BB798" s="69"/>
      <c r="BC798" s="69"/>
      <c r="BD798" s="69"/>
      <c r="BE798" s="69"/>
      <c r="BF798" s="69"/>
      <c r="BG798" s="69"/>
      <c r="BH798" s="69"/>
      <c r="BI798" s="69"/>
      <c r="BJ798" s="69"/>
      <c r="BK798" s="69"/>
      <c r="BL798" s="69"/>
      <c r="BM798" s="69"/>
      <c r="BN798" s="69"/>
      <c r="BO798" s="69"/>
      <c r="BP798" s="69"/>
      <c r="BQ798" s="69"/>
      <c r="BR798" s="69"/>
      <c r="BS798" s="69"/>
      <c r="BT798" s="69"/>
      <c r="BU798" s="69"/>
      <c r="BV798" s="69"/>
    </row>
    <row r="799" spans="1:74" s="68" customFormat="1" ht="42.75" x14ac:dyDescent="0.2">
      <c r="A799" s="76" t="s">
        <v>454</v>
      </c>
      <c r="B799" s="77" t="s">
        <v>376</v>
      </c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93">
        <f t="shared" si="342"/>
        <v>0</v>
      </c>
      <c r="P799" s="67"/>
      <c r="Q799" s="108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  <c r="AK799" s="67"/>
      <c r="AL799" s="67"/>
      <c r="AM799" s="67"/>
      <c r="AN799" s="67"/>
      <c r="AO799" s="67"/>
      <c r="AP799" s="67"/>
      <c r="AQ799" s="67"/>
      <c r="AR799" s="67"/>
      <c r="AS799" s="67"/>
      <c r="AT799" s="67"/>
      <c r="AU799" s="67"/>
      <c r="AV799" s="67"/>
      <c r="AW799" s="67"/>
      <c r="AX799" s="67"/>
      <c r="AY799" s="67"/>
      <c r="AZ799" s="67"/>
      <c r="BA799" s="67"/>
      <c r="BB799" s="67"/>
      <c r="BC799" s="67"/>
      <c r="BD799" s="67"/>
      <c r="BE799" s="67"/>
      <c r="BF799" s="67"/>
      <c r="BG799" s="67"/>
      <c r="BH799" s="67"/>
      <c r="BI799" s="67"/>
      <c r="BJ799" s="67"/>
      <c r="BK799" s="67"/>
      <c r="BL799" s="67"/>
      <c r="BM799" s="67"/>
      <c r="BN799" s="67"/>
      <c r="BO799" s="67"/>
      <c r="BP799" s="67"/>
      <c r="BQ799" s="67"/>
      <c r="BR799" s="67"/>
      <c r="BS799" s="67"/>
      <c r="BT799" s="67"/>
      <c r="BU799" s="67"/>
      <c r="BV799" s="67"/>
    </row>
    <row r="800" spans="1:74" s="68" customFormat="1" ht="30" x14ac:dyDescent="0.2">
      <c r="A800" s="193" t="s">
        <v>455</v>
      </c>
      <c r="B800" s="194" t="s">
        <v>987</v>
      </c>
      <c r="C800" s="130">
        <f t="shared" ref="C800:N800" si="358">+C801</f>
        <v>0</v>
      </c>
      <c r="D800" s="130">
        <f t="shared" si="358"/>
        <v>0</v>
      </c>
      <c r="E800" s="130">
        <f t="shared" si="358"/>
        <v>0</v>
      </c>
      <c r="F800" s="130">
        <f t="shared" si="358"/>
        <v>0</v>
      </c>
      <c r="G800" s="130">
        <f t="shared" si="358"/>
        <v>0</v>
      </c>
      <c r="H800" s="130">
        <f t="shared" si="358"/>
        <v>0</v>
      </c>
      <c r="I800" s="130">
        <f t="shared" si="358"/>
        <v>0</v>
      </c>
      <c r="J800" s="130">
        <f t="shared" si="358"/>
        <v>0</v>
      </c>
      <c r="K800" s="130">
        <f t="shared" si="358"/>
        <v>0</v>
      </c>
      <c r="L800" s="130">
        <f t="shared" si="358"/>
        <v>0</v>
      </c>
      <c r="M800" s="130">
        <f t="shared" si="358"/>
        <v>0</v>
      </c>
      <c r="N800" s="130">
        <f t="shared" si="358"/>
        <v>0</v>
      </c>
      <c r="O800" s="93">
        <f t="shared" si="342"/>
        <v>0</v>
      </c>
      <c r="P800" s="67"/>
      <c r="Q800" s="108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  <c r="AK800" s="67"/>
      <c r="AL800" s="67"/>
      <c r="AM800" s="67"/>
      <c r="AN800" s="67"/>
      <c r="AO800" s="67"/>
      <c r="AP800" s="67"/>
      <c r="AQ800" s="67"/>
      <c r="AR800" s="67"/>
      <c r="AS800" s="67"/>
      <c r="AT800" s="67"/>
      <c r="AU800" s="67"/>
      <c r="AV800" s="67"/>
      <c r="AW800" s="67"/>
      <c r="AX800" s="67"/>
      <c r="AY800" s="67"/>
      <c r="AZ800" s="67"/>
      <c r="BA800" s="67"/>
      <c r="BB800" s="67"/>
      <c r="BC800" s="67"/>
      <c r="BD800" s="67"/>
      <c r="BE800" s="67"/>
      <c r="BF800" s="67"/>
      <c r="BG800" s="67"/>
      <c r="BH800" s="67"/>
      <c r="BI800" s="67"/>
      <c r="BJ800" s="67"/>
      <c r="BK800" s="67"/>
      <c r="BL800" s="67"/>
      <c r="BM800" s="67"/>
      <c r="BN800" s="67"/>
      <c r="BO800" s="67"/>
      <c r="BP800" s="67"/>
      <c r="BQ800" s="67"/>
      <c r="BR800" s="67"/>
      <c r="BS800" s="67"/>
      <c r="BT800" s="67"/>
      <c r="BU800" s="67"/>
      <c r="BV800" s="67"/>
    </row>
    <row r="801" spans="1:74" s="68" customFormat="1" ht="28.5" x14ac:dyDescent="0.2">
      <c r="A801" s="76" t="s">
        <v>995</v>
      </c>
      <c r="B801" s="77" t="s">
        <v>378</v>
      </c>
      <c r="C801" s="132"/>
      <c r="D801" s="132"/>
      <c r="E801" s="132"/>
      <c r="F801" s="132"/>
      <c r="G801" s="132"/>
      <c r="H801" s="132"/>
      <c r="I801" s="132"/>
      <c r="J801" s="132"/>
      <c r="K801" s="132"/>
      <c r="L801" s="132"/>
      <c r="M801" s="132"/>
      <c r="N801" s="132"/>
      <c r="O801" s="93">
        <f t="shared" si="342"/>
        <v>0</v>
      </c>
      <c r="P801" s="67"/>
      <c r="Q801" s="108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7"/>
      <c r="AL801" s="67"/>
      <c r="AM801" s="67"/>
      <c r="AN801" s="67"/>
      <c r="AO801" s="67"/>
      <c r="AP801" s="67"/>
      <c r="AQ801" s="67"/>
      <c r="AR801" s="67"/>
      <c r="AS801" s="67"/>
      <c r="AT801" s="67"/>
      <c r="AU801" s="67"/>
      <c r="AV801" s="67"/>
      <c r="AW801" s="67"/>
      <c r="AX801" s="67"/>
      <c r="AY801" s="67"/>
      <c r="AZ801" s="67"/>
      <c r="BA801" s="67"/>
      <c r="BB801" s="67"/>
      <c r="BC801" s="67"/>
      <c r="BD801" s="67"/>
      <c r="BE801" s="67"/>
      <c r="BF801" s="67"/>
      <c r="BG801" s="67"/>
      <c r="BH801" s="67"/>
      <c r="BI801" s="67"/>
      <c r="BJ801" s="67"/>
      <c r="BK801" s="67"/>
      <c r="BL801" s="67"/>
      <c r="BM801" s="67"/>
      <c r="BN801" s="67"/>
      <c r="BO801" s="67"/>
      <c r="BP801" s="67"/>
      <c r="BQ801" s="67"/>
      <c r="BR801" s="67"/>
      <c r="BS801" s="67"/>
      <c r="BT801" s="67"/>
      <c r="BU801" s="67"/>
      <c r="BV801" s="67"/>
    </row>
    <row r="802" spans="1:74" s="68" customFormat="1" ht="63" x14ac:dyDescent="0.2">
      <c r="A802" s="81" t="s">
        <v>458</v>
      </c>
      <c r="B802" s="79" t="s">
        <v>996</v>
      </c>
      <c r="C802" s="130">
        <f t="shared" ref="C802:N802" si="359">SUM(C803:C805)</f>
        <v>0</v>
      </c>
      <c r="D802" s="130">
        <f t="shared" si="359"/>
        <v>0</v>
      </c>
      <c r="E802" s="130">
        <f t="shared" si="359"/>
        <v>0</v>
      </c>
      <c r="F802" s="130">
        <f t="shared" si="359"/>
        <v>0</v>
      </c>
      <c r="G802" s="130">
        <f t="shared" si="359"/>
        <v>0</v>
      </c>
      <c r="H802" s="130">
        <f t="shared" si="359"/>
        <v>0</v>
      </c>
      <c r="I802" s="130">
        <f t="shared" si="359"/>
        <v>0</v>
      </c>
      <c r="J802" s="130">
        <f t="shared" si="359"/>
        <v>0</v>
      </c>
      <c r="K802" s="130">
        <f t="shared" si="359"/>
        <v>0</v>
      </c>
      <c r="L802" s="130">
        <f t="shared" si="359"/>
        <v>0</v>
      </c>
      <c r="M802" s="130">
        <f t="shared" si="359"/>
        <v>0</v>
      </c>
      <c r="N802" s="130">
        <f t="shared" si="359"/>
        <v>0</v>
      </c>
      <c r="O802" s="93">
        <f t="shared" si="342"/>
        <v>0</v>
      </c>
      <c r="P802" s="67"/>
      <c r="Q802" s="108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67"/>
      <c r="AM802" s="67"/>
      <c r="AN802" s="67"/>
      <c r="AO802" s="67"/>
      <c r="AP802" s="67"/>
      <c r="AQ802" s="67"/>
      <c r="AR802" s="67"/>
      <c r="AS802" s="67"/>
      <c r="AT802" s="67"/>
      <c r="AU802" s="67"/>
      <c r="AV802" s="67"/>
      <c r="AW802" s="67"/>
      <c r="AX802" s="67"/>
      <c r="AY802" s="67"/>
      <c r="AZ802" s="67"/>
      <c r="BA802" s="67"/>
      <c r="BB802" s="67"/>
      <c r="BC802" s="67"/>
      <c r="BD802" s="67"/>
      <c r="BE802" s="67"/>
      <c r="BF802" s="67"/>
      <c r="BG802" s="67"/>
      <c r="BH802" s="67"/>
      <c r="BI802" s="67"/>
      <c r="BJ802" s="67"/>
      <c r="BK802" s="67"/>
      <c r="BL802" s="67"/>
      <c r="BM802" s="67"/>
      <c r="BN802" s="67"/>
      <c r="BO802" s="67"/>
      <c r="BP802" s="67"/>
      <c r="BQ802" s="67"/>
      <c r="BR802" s="67"/>
      <c r="BS802" s="67"/>
      <c r="BT802" s="67"/>
      <c r="BU802" s="67"/>
      <c r="BV802" s="67"/>
    </row>
    <row r="803" spans="1:74" s="70" customFormat="1" ht="30" x14ac:dyDescent="0.2">
      <c r="A803" s="82" t="s">
        <v>460</v>
      </c>
      <c r="B803" s="83" t="s">
        <v>375</v>
      </c>
      <c r="C803" s="132"/>
      <c r="D803" s="132"/>
      <c r="E803" s="132"/>
      <c r="F803" s="132"/>
      <c r="G803" s="132"/>
      <c r="H803" s="132"/>
      <c r="I803" s="132"/>
      <c r="J803" s="132"/>
      <c r="K803" s="132"/>
      <c r="L803" s="132"/>
      <c r="M803" s="132"/>
      <c r="N803" s="132"/>
      <c r="O803" s="93">
        <f t="shared" si="342"/>
        <v>0</v>
      </c>
      <c r="P803" s="67"/>
      <c r="Q803" s="108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  <c r="AV803" s="69"/>
      <c r="AW803" s="69"/>
      <c r="AX803" s="69"/>
      <c r="AY803" s="69"/>
      <c r="AZ803" s="69"/>
      <c r="BA803" s="69"/>
      <c r="BB803" s="69"/>
      <c r="BC803" s="69"/>
      <c r="BD803" s="69"/>
      <c r="BE803" s="69"/>
      <c r="BF803" s="69"/>
      <c r="BG803" s="69"/>
      <c r="BH803" s="69"/>
      <c r="BI803" s="69"/>
      <c r="BJ803" s="69"/>
      <c r="BK803" s="69"/>
      <c r="BL803" s="69"/>
      <c r="BM803" s="69"/>
      <c r="BN803" s="69"/>
      <c r="BO803" s="69"/>
      <c r="BP803" s="69"/>
      <c r="BQ803" s="69"/>
      <c r="BR803" s="69"/>
      <c r="BS803" s="69"/>
      <c r="BT803" s="69"/>
      <c r="BU803" s="69"/>
      <c r="BV803" s="69"/>
    </row>
    <row r="804" spans="1:74" s="68" customFormat="1" ht="60" x14ac:dyDescent="0.2">
      <c r="A804" s="82" t="s">
        <v>461</v>
      </c>
      <c r="B804" s="235" t="s">
        <v>376</v>
      </c>
      <c r="C804" s="132"/>
      <c r="D804" s="132"/>
      <c r="E804" s="132"/>
      <c r="F804" s="132"/>
      <c r="G804" s="132"/>
      <c r="H804" s="132"/>
      <c r="I804" s="132"/>
      <c r="J804" s="132"/>
      <c r="K804" s="132"/>
      <c r="L804" s="132"/>
      <c r="M804" s="132"/>
      <c r="N804" s="132"/>
      <c r="O804" s="93">
        <f t="shared" si="342"/>
        <v>0</v>
      </c>
      <c r="P804" s="67"/>
      <c r="Q804" s="108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7"/>
      <c r="AL804" s="67"/>
      <c r="AM804" s="67"/>
      <c r="AN804" s="67"/>
      <c r="AO804" s="67"/>
      <c r="AP804" s="67"/>
      <c r="AQ804" s="67"/>
      <c r="AR804" s="67"/>
      <c r="AS804" s="67"/>
      <c r="AT804" s="67"/>
      <c r="AU804" s="67"/>
      <c r="AV804" s="67"/>
      <c r="AW804" s="67"/>
      <c r="AX804" s="67"/>
      <c r="AY804" s="67"/>
      <c r="AZ804" s="67"/>
      <c r="BA804" s="67"/>
      <c r="BB804" s="67"/>
      <c r="BC804" s="67"/>
      <c r="BD804" s="67"/>
      <c r="BE804" s="67"/>
      <c r="BF804" s="67"/>
      <c r="BG804" s="67"/>
      <c r="BH804" s="67"/>
      <c r="BI804" s="67"/>
      <c r="BJ804" s="67"/>
      <c r="BK804" s="67"/>
      <c r="BL804" s="67"/>
      <c r="BM804" s="67"/>
      <c r="BN804" s="67"/>
      <c r="BO804" s="67"/>
      <c r="BP804" s="67"/>
      <c r="BQ804" s="67"/>
      <c r="BR804" s="67"/>
      <c r="BS804" s="67"/>
      <c r="BT804" s="67"/>
      <c r="BU804" s="67"/>
      <c r="BV804" s="67"/>
    </row>
    <row r="805" spans="1:74" s="68" customFormat="1" ht="31.5" x14ac:dyDescent="0.2">
      <c r="A805" s="81" t="s">
        <v>462</v>
      </c>
      <c r="B805" s="79" t="s">
        <v>987</v>
      </c>
      <c r="C805" s="130">
        <f t="shared" ref="C805:N805" si="360">+C806</f>
        <v>0</v>
      </c>
      <c r="D805" s="130">
        <f t="shared" si="360"/>
        <v>0</v>
      </c>
      <c r="E805" s="130">
        <f t="shared" si="360"/>
        <v>0</v>
      </c>
      <c r="F805" s="130">
        <f t="shared" si="360"/>
        <v>0</v>
      </c>
      <c r="G805" s="130">
        <f t="shared" si="360"/>
        <v>0</v>
      </c>
      <c r="H805" s="130">
        <f t="shared" si="360"/>
        <v>0</v>
      </c>
      <c r="I805" s="130">
        <f t="shared" si="360"/>
        <v>0</v>
      </c>
      <c r="J805" s="130">
        <f t="shared" si="360"/>
        <v>0</v>
      </c>
      <c r="K805" s="130">
        <f t="shared" si="360"/>
        <v>0</v>
      </c>
      <c r="L805" s="130">
        <f t="shared" si="360"/>
        <v>0</v>
      </c>
      <c r="M805" s="130">
        <f t="shared" si="360"/>
        <v>0</v>
      </c>
      <c r="N805" s="130">
        <f t="shared" si="360"/>
        <v>0</v>
      </c>
      <c r="O805" s="93">
        <f t="shared" si="342"/>
        <v>0</v>
      </c>
      <c r="P805" s="67"/>
      <c r="Q805" s="108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  <c r="AK805" s="67"/>
      <c r="AL805" s="67"/>
      <c r="AM805" s="67"/>
      <c r="AN805" s="67"/>
      <c r="AO805" s="67"/>
      <c r="AP805" s="67"/>
      <c r="AQ805" s="67"/>
      <c r="AR805" s="67"/>
      <c r="AS805" s="67"/>
      <c r="AT805" s="67"/>
      <c r="AU805" s="67"/>
      <c r="AV805" s="67"/>
      <c r="AW805" s="67"/>
      <c r="AX805" s="67"/>
      <c r="AY805" s="67"/>
      <c r="AZ805" s="67"/>
      <c r="BA805" s="67"/>
      <c r="BB805" s="67"/>
      <c r="BC805" s="67"/>
      <c r="BD805" s="67"/>
      <c r="BE805" s="67"/>
      <c r="BF805" s="67"/>
      <c r="BG805" s="67"/>
      <c r="BH805" s="67"/>
      <c r="BI805" s="67"/>
      <c r="BJ805" s="67"/>
      <c r="BK805" s="67"/>
      <c r="BL805" s="67"/>
      <c r="BM805" s="67"/>
      <c r="BN805" s="67"/>
      <c r="BO805" s="67"/>
      <c r="BP805" s="67"/>
      <c r="BQ805" s="67"/>
      <c r="BR805" s="67"/>
      <c r="BS805" s="67"/>
      <c r="BT805" s="67"/>
      <c r="BU805" s="67"/>
      <c r="BV805" s="67"/>
    </row>
    <row r="806" spans="1:74" s="68" customFormat="1" ht="28.5" x14ac:dyDescent="0.2">
      <c r="A806" s="76" t="s">
        <v>997</v>
      </c>
      <c r="B806" s="77" t="s">
        <v>378</v>
      </c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93">
        <f t="shared" si="342"/>
        <v>0</v>
      </c>
      <c r="P806" s="67"/>
      <c r="Q806" s="108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  <c r="AK806" s="67"/>
      <c r="AL806" s="67"/>
      <c r="AM806" s="67"/>
      <c r="AN806" s="67"/>
      <c r="AO806" s="67"/>
      <c r="AP806" s="67"/>
      <c r="AQ806" s="67"/>
      <c r="AR806" s="67"/>
      <c r="AS806" s="67"/>
      <c r="AT806" s="67"/>
      <c r="AU806" s="67"/>
      <c r="AV806" s="67"/>
      <c r="AW806" s="67"/>
      <c r="AX806" s="67"/>
      <c r="AY806" s="67"/>
      <c r="AZ806" s="67"/>
      <c r="BA806" s="67"/>
      <c r="BB806" s="67"/>
      <c r="BC806" s="67"/>
      <c r="BD806" s="67"/>
      <c r="BE806" s="67"/>
      <c r="BF806" s="67"/>
      <c r="BG806" s="67"/>
      <c r="BH806" s="67"/>
      <c r="BI806" s="67"/>
      <c r="BJ806" s="67"/>
      <c r="BK806" s="67"/>
      <c r="BL806" s="67"/>
      <c r="BM806" s="67"/>
      <c r="BN806" s="67"/>
      <c r="BO806" s="67"/>
      <c r="BP806" s="67"/>
      <c r="BQ806" s="67"/>
      <c r="BR806" s="67"/>
      <c r="BS806" s="67"/>
      <c r="BT806" s="67"/>
      <c r="BU806" s="67"/>
      <c r="BV806" s="67"/>
    </row>
    <row r="807" spans="1:74" s="68" customFormat="1" ht="47.25" x14ac:dyDescent="0.2">
      <c r="A807" s="81" t="s">
        <v>465</v>
      </c>
      <c r="B807" s="79" t="s">
        <v>998</v>
      </c>
      <c r="C807" s="130">
        <f t="shared" ref="C807:N807" si="361">+C808+C813</f>
        <v>0</v>
      </c>
      <c r="D807" s="130">
        <f t="shared" si="361"/>
        <v>0</v>
      </c>
      <c r="E807" s="130">
        <f t="shared" si="361"/>
        <v>0</v>
      </c>
      <c r="F807" s="130">
        <f t="shared" si="361"/>
        <v>0</v>
      </c>
      <c r="G807" s="130">
        <f t="shared" si="361"/>
        <v>0</v>
      </c>
      <c r="H807" s="130">
        <f t="shared" si="361"/>
        <v>0</v>
      </c>
      <c r="I807" s="130">
        <f t="shared" si="361"/>
        <v>0</v>
      </c>
      <c r="J807" s="130">
        <f t="shared" si="361"/>
        <v>0</v>
      </c>
      <c r="K807" s="130">
        <f t="shared" si="361"/>
        <v>0</v>
      </c>
      <c r="L807" s="130">
        <f t="shared" si="361"/>
        <v>0</v>
      </c>
      <c r="M807" s="130">
        <f t="shared" si="361"/>
        <v>0</v>
      </c>
      <c r="N807" s="130">
        <f t="shared" si="361"/>
        <v>0</v>
      </c>
      <c r="O807" s="93">
        <f t="shared" si="342"/>
        <v>0</v>
      </c>
      <c r="P807" s="67"/>
      <c r="Q807" s="108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  <c r="AK807" s="67"/>
      <c r="AL807" s="67"/>
      <c r="AM807" s="67"/>
      <c r="AN807" s="67"/>
      <c r="AO807" s="67"/>
      <c r="AP807" s="67"/>
      <c r="AQ807" s="67"/>
      <c r="AR807" s="67"/>
      <c r="AS807" s="67"/>
      <c r="AT807" s="67"/>
      <c r="AU807" s="67"/>
      <c r="AV807" s="67"/>
      <c r="AW807" s="67"/>
      <c r="AX807" s="67"/>
      <c r="AY807" s="67"/>
      <c r="AZ807" s="67"/>
      <c r="BA807" s="67"/>
      <c r="BB807" s="67"/>
      <c r="BC807" s="67"/>
      <c r="BD807" s="67"/>
      <c r="BE807" s="67"/>
      <c r="BF807" s="67"/>
      <c r="BG807" s="67"/>
      <c r="BH807" s="67"/>
      <c r="BI807" s="67"/>
      <c r="BJ807" s="67"/>
      <c r="BK807" s="67"/>
      <c r="BL807" s="67"/>
      <c r="BM807" s="67"/>
      <c r="BN807" s="67"/>
      <c r="BO807" s="67"/>
      <c r="BP807" s="67"/>
      <c r="BQ807" s="67"/>
      <c r="BR807" s="67"/>
      <c r="BS807" s="67"/>
      <c r="BT807" s="67"/>
      <c r="BU807" s="67"/>
      <c r="BV807" s="67"/>
    </row>
    <row r="808" spans="1:74" s="68" customFormat="1" ht="47.25" x14ac:dyDescent="0.2">
      <c r="A808" s="81" t="s">
        <v>999</v>
      </c>
      <c r="B808" s="79" t="s">
        <v>1000</v>
      </c>
      <c r="C808" s="130">
        <f t="shared" ref="C808:N808" si="362">SUM(C809:C811)</f>
        <v>0</v>
      </c>
      <c r="D808" s="130">
        <f t="shared" si="362"/>
        <v>0</v>
      </c>
      <c r="E808" s="130">
        <f t="shared" si="362"/>
        <v>0</v>
      </c>
      <c r="F808" s="130">
        <f t="shared" si="362"/>
        <v>0</v>
      </c>
      <c r="G808" s="130">
        <f t="shared" si="362"/>
        <v>0</v>
      </c>
      <c r="H808" s="130">
        <f t="shared" si="362"/>
        <v>0</v>
      </c>
      <c r="I808" s="130">
        <f t="shared" si="362"/>
        <v>0</v>
      </c>
      <c r="J808" s="130">
        <f t="shared" si="362"/>
        <v>0</v>
      </c>
      <c r="K808" s="130">
        <f t="shared" si="362"/>
        <v>0</v>
      </c>
      <c r="L808" s="130">
        <f t="shared" si="362"/>
        <v>0</v>
      </c>
      <c r="M808" s="130">
        <f t="shared" si="362"/>
        <v>0</v>
      </c>
      <c r="N808" s="130">
        <f t="shared" si="362"/>
        <v>0</v>
      </c>
      <c r="O808" s="93">
        <f t="shared" si="342"/>
        <v>0</v>
      </c>
      <c r="P808" s="67"/>
      <c r="Q808" s="108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  <c r="AK808" s="67"/>
      <c r="AL808" s="67"/>
      <c r="AM808" s="67"/>
      <c r="AN808" s="67"/>
      <c r="AO808" s="67"/>
      <c r="AP808" s="67"/>
      <c r="AQ808" s="67"/>
      <c r="AR808" s="67"/>
      <c r="AS808" s="67"/>
      <c r="AT808" s="67"/>
      <c r="AU808" s="67"/>
      <c r="AV808" s="67"/>
      <c r="AW808" s="67"/>
      <c r="AX808" s="67"/>
      <c r="AY808" s="67"/>
      <c r="AZ808" s="67"/>
      <c r="BA808" s="67"/>
      <c r="BB808" s="67"/>
      <c r="BC808" s="67"/>
      <c r="BD808" s="67"/>
      <c r="BE808" s="67"/>
      <c r="BF808" s="67"/>
      <c r="BG808" s="67"/>
      <c r="BH808" s="67"/>
      <c r="BI808" s="67"/>
      <c r="BJ808" s="67"/>
      <c r="BK808" s="67"/>
      <c r="BL808" s="67"/>
      <c r="BM808" s="67"/>
      <c r="BN808" s="67"/>
      <c r="BO808" s="67"/>
      <c r="BP808" s="67"/>
      <c r="BQ808" s="67"/>
      <c r="BR808" s="67"/>
      <c r="BS808" s="67"/>
      <c r="BT808" s="67"/>
      <c r="BU808" s="67"/>
      <c r="BV808" s="67"/>
    </row>
    <row r="809" spans="1:74" s="68" customFormat="1" ht="28.5" x14ac:dyDescent="0.2">
      <c r="A809" s="76" t="s">
        <v>1001</v>
      </c>
      <c r="B809" s="77" t="s">
        <v>375</v>
      </c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93">
        <f t="shared" si="342"/>
        <v>0</v>
      </c>
      <c r="P809" s="67"/>
      <c r="Q809" s="108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7"/>
      <c r="AL809" s="67"/>
      <c r="AM809" s="67"/>
      <c r="AN809" s="67"/>
      <c r="AO809" s="67"/>
      <c r="AP809" s="67"/>
      <c r="AQ809" s="67"/>
      <c r="AR809" s="67"/>
      <c r="AS809" s="67"/>
      <c r="AT809" s="67"/>
      <c r="AU809" s="67"/>
      <c r="AV809" s="67"/>
      <c r="AW809" s="67"/>
      <c r="AX809" s="67"/>
      <c r="AY809" s="67"/>
      <c r="AZ809" s="67"/>
      <c r="BA809" s="67"/>
      <c r="BB809" s="67"/>
      <c r="BC809" s="67"/>
      <c r="BD809" s="67"/>
      <c r="BE809" s="67"/>
      <c r="BF809" s="67"/>
      <c r="BG809" s="67"/>
      <c r="BH809" s="67"/>
      <c r="BI809" s="67"/>
      <c r="BJ809" s="67"/>
      <c r="BK809" s="67"/>
      <c r="BL809" s="67"/>
      <c r="BM809" s="67"/>
      <c r="BN809" s="67"/>
      <c r="BO809" s="67"/>
      <c r="BP809" s="67"/>
      <c r="BQ809" s="67"/>
      <c r="BR809" s="67"/>
      <c r="BS809" s="67"/>
      <c r="BT809" s="67"/>
      <c r="BU809" s="67"/>
      <c r="BV809" s="67"/>
    </row>
    <row r="810" spans="1:74" s="68" customFormat="1" ht="42.75" x14ac:dyDescent="0.2">
      <c r="A810" s="76" t="s">
        <v>1002</v>
      </c>
      <c r="B810" s="77" t="s">
        <v>376</v>
      </c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93">
        <f t="shared" si="342"/>
        <v>0</v>
      </c>
      <c r="P810" s="67"/>
      <c r="Q810" s="108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  <c r="AK810" s="67"/>
      <c r="AL810" s="67"/>
      <c r="AM810" s="67"/>
      <c r="AN810" s="67"/>
      <c r="AO810" s="67"/>
      <c r="AP810" s="67"/>
      <c r="AQ810" s="67"/>
      <c r="AR810" s="67"/>
      <c r="AS810" s="67"/>
      <c r="AT810" s="67"/>
      <c r="AU810" s="67"/>
      <c r="AV810" s="67"/>
      <c r="AW810" s="67"/>
      <c r="AX810" s="67"/>
      <c r="AY810" s="67"/>
      <c r="AZ810" s="67"/>
      <c r="BA810" s="67"/>
      <c r="BB810" s="67"/>
      <c r="BC810" s="67"/>
      <c r="BD810" s="67"/>
      <c r="BE810" s="67"/>
      <c r="BF810" s="67"/>
      <c r="BG810" s="67"/>
      <c r="BH810" s="67"/>
      <c r="BI810" s="67"/>
      <c r="BJ810" s="67"/>
      <c r="BK810" s="67"/>
      <c r="BL810" s="67"/>
      <c r="BM810" s="67"/>
      <c r="BN810" s="67"/>
      <c r="BO810" s="67"/>
      <c r="BP810" s="67"/>
      <c r="BQ810" s="67"/>
      <c r="BR810" s="67"/>
      <c r="BS810" s="67"/>
      <c r="BT810" s="67"/>
      <c r="BU810" s="67"/>
      <c r="BV810" s="67"/>
    </row>
    <row r="811" spans="1:74" s="68" customFormat="1" ht="31.5" x14ac:dyDescent="0.2">
      <c r="A811" s="81" t="s">
        <v>1003</v>
      </c>
      <c r="B811" s="79" t="s">
        <v>987</v>
      </c>
      <c r="C811" s="130">
        <f t="shared" ref="C811:N811" si="363">+C812</f>
        <v>0</v>
      </c>
      <c r="D811" s="130">
        <f t="shared" si="363"/>
        <v>0</v>
      </c>
      <c r="E811" s="130">
        <f t="shared" si="363"/>
        <v>0</v>
      </c>
      <c r="F811" s="130">
        <f t="shared" si="363"/>
        <v>0</v>
      </c>
      <c r="G811" s="130">
        <f t="shared" si="363"/>
        <v>0</v>
      </c>
      <c r="H811" s="130">
        <f t="shared" si="363"/>
        <v>0</v>
      </c>
      <c r="I811" s="130">
        <f t="shared" si="363"/>
        <v>0</v>
      </c>
      <c r="J811" s="130">
        <f t="shared" si="363"/>
        <v>0</v>
      </c>
      <c r="K811" s="130">
        <f t="shared" si="363"/>
        <v>0</v>
      </c>
      <c r="L811" s="130">
        <f t="shared" si="363"/>
        <v>0</v>
      </c>
      <c r="M811" s="130">
        <f t="shared" si="363"/>
        <v>0</v>
      </c>
      <c r="N811" s="130">
        <f t="shared" si="363"/>
        <v>0</v>
      </c>
      <c r="O811" s="93">
        <f t="shared" si="342"/>
        <v>0</v>
      </c>
      <c r="P811" s="67"/>
      <c r="Q811" s="108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  <c r="AK811" s="67"/>
      <c r="AL811" s="67"/>
      <c r="AM811" s="67"/>
      <c r="AN811" s="67"/>
      <c r="AO811" s="67"/>
      <c r="AP811" s="67"/>
      <c r="AQ811" s="67"/>
      <c r="AR811" s="67"/>
      <c r="AS811" s="67"/>
      <c r="AT811" s="67"/>
      <c r="AU811" s="67"/>
      <c r="AV811" s="67"/>
      <c r="AW811" s="67"/>
      <c r="AX811" s="67"/>
      <c r="AY811" s="67"/>
      <c r="AZ811" s="67"/>
      <c r="BA811" s="67"/>
      <c r="BB811" s="67"/>
      <c r="BC811" s="67"/>
      <c r="BD811" s="67"/>
      <c r="BE811" s="67"/>
      <c r="BF811" s="67"/>
      <c r="BG811" s="67"/>
      <c r="BH811" s="67"/>
      <c r="BI811" s="67"/>
      <c r="BJ811" s="67"/>
      <c r="BK811" s="67"/>
      <c r="BL811" s="67"/>
      <c r="BM811" s="67"/>
      <c r="BN811" s="67"/>
      <c r="BO811" s="67"/>
      <c r="BP811" s="67"/>
      <c r="BQ811" s="67"/>
      <c r="BR811" s="67"/>
      <c r="BS811" s="67"/>
      <c r="BT811" s="67"/>
      <c r="BU811" s="67"/>
      <c r="BV811" s="67"/>
    </row>
    <row r="812" spans="1:74" s="68" customFormat="1" ht="28.5" x14ac:dyDescent="0.2">
      <c r="A812" s="76" t="s">
        <v>1004</v>
      </c>
      <c r="B812" s="77" t="s">
        <v>378</v>
      </c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93">
        <f t="shared" si="342"/>
        <v>0</v>
      </c>
      <c r="P812" s="67"/>
      <c r="Q812" s="108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  <c r="AK812" s="67"/>
      <c r="AL812" s="67"/>
      <c r="AM812" s="67"/>
      <c r="AN812" s="67"/>
      <c r="AO812" s="67"/>
      <c r="AP812" s="67"/>
      <c r="AQ812" s="67"/>
      <c r="AR812" s="67"/>
      <c r="AS812" s="67"/>
      <c r="AT812" s="67"/>
      <c r="AU812" s="67"/>
      <c r="AV812" s="67"/>
      <c r="AW812" s="67"/>
      <c r="AX812" s="67"/>
      <c r="AY812" s="67"/>
      <c r="AZ812" s="67"/>
      <c r="BA812" s="67"/>
      <c r="BB812" s="67"/>
      <c r="BC812" s="67"/>
      <c r="BD812" s="67"/>
      <c r="BE812" s="67"/>
      <c r="BF812" s="67"/>
      <c r="BG812" s="67"/>
      <c r="BH812" s="67"/>
      <c r="BI812" s="67"/>
      <c r="BJ812" s="67"/>
      <c r="BK812" s="67"/>
      <c r="BL812" s="67"/>
      <c r="BM812" s="67"/>
      <c r="BN812" s="67"/>
      <c r="BO812" s="67"/>
      <c r="BP812" s="67"/>
      <c r="BQ812" s="67"/>
      <c r="BR812" s="67"/>
      <c r="BS812" s="67"/>
      <c r="BT812" s="67"/>
      <c r="BU812" s="67"/>
      <c r="BV812" s="67"/>
    </row>
    <row r="813" spans="1:74" s="68" customFormat="1" ht="47.25" x14ac:dyDescent="0.2">
      <c r="A813" s="81" t="s">
        <v>467</v>
      </c>
      <c r="B813" s="79" t="s">
        <v>1005</v>
      </c>
      <c r="C813" s="130">
        <f t="shared" ref="C813:N813" si="364">SUM(C814:C816)</f>
        <v>0</v>
      </c>
      <c r="D813" s="130">
        <f t="shared" si="364"/>
        <v>0</v>
      </c>
      <c r="E813" s="130">
        <f t="shared" si="364"/>
        <v>0</v>
      </c>
      <c r="F813" s="130">
        <f t="shared" si="364"/>
        <v>0</v>
      </c>
      <c r="G813" s="130">
        <f t="shared" si="364"/>
        <v>0</v>
      </c>
      <c r="H813" s="130">
        <f t="shared" si="364"/>
        <v>0</v>
      </c>
      <c r="I813" s="130">
        <f t="shared" si="364"/>
        <v>0</v>
      </c>
      <c r="J813" s="130">
        <f t="shared" si="364"/>
        <v>0</v>
      </c>
      <c r="K813" s="130">
        <f t="shared" si="364"/>
        <v>0</v>
      </c>
      <c r="L813" s="130">
        <f t="shared" si="364"/>
        <v>0</v>
      </c>
      <c r="M813" s="130">
        <f t="shared" si="364"/>
        <v>0</v>
      </c>
      <c r="N813" s="130">
        <f t="shared" si="364"/>
        <v>0</v>
      </c>
      <c r="O813" s="93">
        <f t="shared" si="342"/>
        <v>0</v>
      </c>
      <c r="P813" s="67"/>
      <c r="Q813" s="108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7"/>
      <c r="AL813" s="67"/>
      <c r="AM813" s="67"/>
      <c r="AN813" s="67"/>
      <c r="AO813" s="67"/>
      <c r="AP813" s="67"/>
      <c r="AQ813" s="67"/>
      <c r="AR813" s="67"/>
      <c r="AS813" s="67"/>
      <c r="AT813" s="67"/>
      <c r="AU813" s="67"/>
      <c r="AV813" s="67"/>
      <c r="AW813" s="67"/>
      <c r="AX813" s="67"/>
      <c r="AY813" s="67"/>
      <c r="AZ813" s="67"/>
      <c r="BA813" s="67"/>
      <c r="BB813" s="67"/>
      <c r="BC813" s="67"/>
      <c r="BD813" s="67"/>
      <c r="BE813" s="67"/>
      <c r="BF813" s="67"/>
      <c r="BG813" s="67"/>
      <c r="BH813" s="67"/>
      <c r="BI813" s="67"/>
      <c r="BJ813" s="67"/>
      <c r="BK813" s="67"/>
      <c r="BL813" s="67"/>
      <c r="BM813" s="67"/>
      <c r="BN813" s="67"/>
      <c r="BO813" s="67"/>
      <c r="BP813" s="67"/>
      <c r="BQ813" s="67"/>
      <c r="BR813" s="67"/>
      <c r="BS813" s="67"/>
      <c r="BT813" s="67"/>
      <c r="BU813" s="67"/>
      <c r="BV813" s="67"/>
    </row>
    <row r="814" spans="1:74" s="68" customFormat="1" ht="30" x14ac:dyDescent="0.2">
      <c r="A814" s="82" t="s">
        <v>469</v>
      </c>
      <c r="B814" s="83" t="s">
        <v>375</v>
      </c>
      <c r="C814" s="132"/>
      <c r="D814" s="132"/>
      <c r="E814" s="132"/>
      <c r="F814" s="132"/>
      <c r="G814" s="132"/>
      <c r="H814" s="132"/>
      <c r="I814" s="132"/>
      <c r="J814" s="132"/>
      <c r="K814" s="132"/>
      <c r="L814" s="132"/>
      <c r="M814" s="132"/>
      <c r="N814" s="132"/>
      <c r="O814" s="93">
        <f t="shared" si="342"/>
        <v>0</v>
      </c>
      <c r="P814" s="67"/>
      <c r="Q814" s="108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  <c r="AK814" s="67"/>
      <c r="AL814" s="67"/>
      <c r="AM814" s="67"/>
      <c r="AN814" s="67"/>
      <c r="AO814" s="67"/>
      <c r="AP814" s="67"/>
      <c r="AQ814" s="67"/>
      <c r="AR814" s="67"/>
      <c r="AS814" s="67"/>
      <c r="AT814" s="67"/>
      <c r="AU814" s="67"/>
      <c r="AV814" s="67"/>
      <c r="AW814" s="67"/>
      <c r="AX814" s="67"/>
      <c r="AY814" s="67"/>
      <c r="AZ814" s="67"/>
      <c r="BA814" s="67"/>
      <c r="BB814" s="67"/>
      <c r="BC814" s="67"/>
      <c r="BD814" s="67"/>
      <c r="BE814" s="67"/>
      <c r="BF814" s="67"/>
      <c r="BG814" s="67"/>
      <c r="BH814" s="67"/>
      <c r="BI814" s="67"/>
      <c r="BJ814" s="67"/>
      <c r="BK814" s="67"/>
      <c r="BL814" s="67"/>
      <c r="BM814" s="67"/>
      <c r="BN814" s="67"/>
      <c r="BO814" s="67"/>
      <c r="BP814" s="67"/>
      <c r="BQ814" s="67"/>
      <c r="BR814" s="67"/>
      <c r="BS814" s="67"/>
      <c r="BT814" s="67"/>
      <c r="BU814" s="67"/>
      <c r="BV814" s="67"/>
    </row>
    <row r="815" spans="1:74" s="68" customFormat="1" ht="60" x14ac:dyDescent="0.2">
      <c r="A815" s="82" t="s">
        <v>470</v>
      </c>
      <c r="B815" s="83" t="s">
        <v>376</v>
      </c>
      <c r="C815" s="132"/>
      <c r="D815" s="132"/>
      <c r="E815" s="132"/>
      <c r="F815" s="132"/>
      <c r="G815" s="132"/>
      <c r="H815" s="132"/>
      <c r="I815" s="132"/>
      <c r="J815" s="132"/>
      <c r="K815" s="132"/>
      <c r="L815" s="132"/>
      <c r="M815" s="132"/>
      <c r="N815" s="132"/>
      <c r="O815" s="93">
        <f t="shared" si="342"/>
        <v>0</v>
      </c>
      <c r="P815" s="111"/>
      <c r="Q815" s="108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  <c r="AK815" s="67"/>
      <c r="AL815" s="67"/>
      <c r="AM815" s="67"/>
      <c r="AN815" s="67"/>
      <c r="AO815" s="67"/>
      <c r="AP815" s="67"/>
      <c r="AQ815" s="67"/>
      <c r="AR815" s="67"/>
      <c r="AS815" s="67"/>
      <c r="AT815" s="67"/>
      <c r="AU815" s="67"/>
      <c r="AV815" s="67"/>
      <c r="AW815" s="67"/>
      <c r="AX815" s="67"/>
      <c r="AY815" s="67"/>
      <c r="AZ815" s="67"/>
      <c r="BA815" s="67"/>
      <c r="BB815" s="67"/>
      <c r="BC815" s="67"/>
      <c r="BD815" s="67"/>
      <c r="BE815" s="67"/>
      <c r="BF815" s="67"/>
      <c r="BG815" s="67"/>
      <c r="BH815" s="67"/>
      <c r="BI815" s="67"/>
      <c r="BJ815" s="67"/>
      <c r="BK815" s="67"/>
      <c r="BL815" s="67"/>
      <c r="BM815" s="67"/>
      <c r="BN815" s="67"/>
      <c r="BO815" s="67"/>
      <c r="BP815" s="67"/>
      <c r="BQ815" s="67"/>
      <c r="BR815" s="67"/>
      <c r="BS815" s="67"/>
      <c r="BT815" s="67"/>
      <c r="BU815" s="67"/>
      <c r="BV815" s="67"/>
    </row>
    <row r="816" spans="1:74" s="70" customFormat="1" ht="31.5" x14ac:dyDescent="0.2">
      <c r="A816" s="81" t="s">
        <v>471</v>
      </c>
      <c r="B816" s="79" t="s">
        <v>987</v>
      </c>
      <c r="C816" s="130">
        <f t="shared" ref="C816:N816" si="365">+C817</f>
        <v>0</v>
      </c>
      <c r="D816" s="130">
        <f t="shared" si="365"/>
        <v>0</v>
      </c>
      <c r="E816" s="130">
        <f t="shared" si="365"/>
        <v>0</v>
      </c>
      <c r="F816" s="130">
        <f t="shared" si="365"/>
        <v>0</v>
      </c>
      <c r="G816" s="130">
        <f t="shared" si="365"/>
        <v>0</v>
      </c>
      <c r="H816" s="130">
        <f t="shared" si="365"/>
        <v>0</v>
      </c>
      <c r="I816" s="130">
        <f t="shared" si="365"/>
        <v>0</v>
      </c>
      <c r="J816" s="130">
        <f t="shared" si="365"/>
        <v>0</v>
      </c>
      <c r="K816" s="130">
        <f t="shared" si="365"/>
        <v>0</v>
      </c>
      <c r="L816" s="130">
        <f t="shared" si="365"/>
        <v>0</v>
      </c>
      <c r="M816" s="130">
        <f t="shared" si="365"/>
        <v>0</v>
      </c>
      <c r="N816" s="130">
        <f t="shared" si="365"/>
        <v>0</v>
      </c>
      <c r="O816" s="93">
        <f t="shared" si="342"/>
        <v>0</v>
      </c>
      <c r="P816" s="67"/>
      <c r="Q816" s="108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  <c r="AV816" s="69"/>
      <c r="AW816" s="69"/>
      <c r="AX816" s="69"/>
      <c r="AY816" s="69"/>
      <c r="AZ816" s="69"/>
      <c r="BA816" s="69"/>
      <c r="BB816" s="69"/>
      <c r="BC816" s="69"/>
      <c r="BD816" s="69"/>
      <c r="BE816" s="69"/>
      <c r="BF816" s="69"/>
      <c r="BG816" s="69"/>
      <c r="BH816" s="69"/>
      <c r="BI816" s="69"/>
      <c r="BJ816" s="69"/>
      <c r="BK816" s="69"/>
      <c r="BL816" s="69"/>
      <c r="BM816" s="69"/>
      <c r="BN816" s="69"/>
      <c r="BO816" s="69"/>
      <c r="BP816" s="69"/>
      <c r="BQ816" s="69"/>
      <c r="BR816" s="69"/>
      <c r="BS816" s="69"/>
      <c r="BT816" s="69"/>
      <c r="BU816" s="69"/>
      <c r="BV816" s="69"/>
    </row>
    <row r="817" spans="1:74" s="68" customFormat="1" ht="30" x14ac:dyDescent="0.2">
      <c r="A817" s="82" t="s">
        <v>1006</v>
      </c>
      <c r="B817" s="83" t="s">
        <v>378</v>
      </c>
      <c r="C817" s="132"/>
      <c r="D817" s="132"/>
      <c r="E817" s="132"/>
      <c r="F817" s="132"/>
      <c r="G817" s="132"/>
      <c r="H817" s="132"/>
      <c r="I817" s="132"/>
      <c r="J817" s="132"/>
      <c r="K817" s="132"/>
      <c r="L817" s="132"/>
      <c r="M817" s="132"/>
      <c r="N817" s="132"/>
      <c r="O817" s="93">
        <f t="shared" si="342"/>
        <v>0</v>
      </c>
      <c r="P817" s="67"/>
      <c r="Q817" s="108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  <c r="AK817" s="67"/>
      <c r="AL817" s="67"/>
      <c r="AM817" s="67"/>
      <c r="AN817" s="67"/>
      <c r="AO817" s="67"/>
      <c r="AP817" s="67"/>
      <c r="AQ817" s="67"/>
      <c r="AR817" s="67"/>
      <c r="AS817" s="67"/>
      <c r="AT817" s="67"/>
      <c r="AU817" s="67"/>
      <c r="AV817" s="67"/>
      <c r="AW817" s="67"/>
      <c r="AX817" s="67"/>
      <c r="AY817" s="67"/>
      <c r="AZ817" s="67"/>
      <c r="BA817" s="67"/>
      <c r="BB817" s="67"/>
      <c r="BC817" s="67"/>
      <c r="BD817" s="67"/>
      <c r="BE817" s="67"/>
      <c r="BF817" s="67"/>
      <c r="BG817" s="67"/>
      <c r="BH817" s="67"/>
      <c r="BI817" s="67"/>
      <c r="BJ817" s="67"/>
      <c r="BK817" s="67"/>
      <c r="BL817" s="67"/>
      <c r="BM817" s="67"/>
      <c r="BN817" s="67"/>
      <c r="BO817" s="67"/>
      <c r="BP817" s="67"/>
      <c r="BQ817" s="67"/>
      <c r="BR817" s="67"/>
      <c r="BS817" s="67"/>
      <c r="BT817" s="67"/>
      <c r="BU817" s="67"/>
      <c r="BV817" s="67"/>
    </row>
    <row r="818" spans="1:74" s="70" customFormat="1" ht="31.5" x14ac:dyDescent="0.2">
      <c r="A818" s="81" t="s">
        <v>474</v>
      </c>
      <c r="B818" s="79" t="s">
        <v>1007</v>
      </c>
      <c r="C818" s="130">
        <f t="shared" ref="C818:N818" si="366">+C819</f>
        <v>0</v>
      </c>
      <c r="D818" s="130">
        <f t="shared" si="366"/>
        <v>0</v>
      </c>
      <c r="E818" s="130">
        <f t="shared" si="366"/>
        <v>0</v>
      </c>
      <c r="F818" s="130">
        <f t="shared" si="366"/>
        <v>0</v>
      </c>
      <c r="G818" s="130">
        <f t="shared" si="366"/>
        <v>0</v>
      </c>
      <c r="H818" s="130">
        <f t="shared" si="366"/>
        <v>0</v>
      </c>
      <c r="I818" s="130">
        <f t="shared" si="366"/>
        <v>0</v>
      </c>
      <c r="J818" s="130">
        <f t="shared" si="366"/>
        <v>0</v>
      </c>
      <c r="K818" s="130">
        <f t="shared" si="366"/>
        <v>0</v>
      </c>
      <c r="L818" s="130">
        <f t="shared" si="366"/>
        <v>0</v>
      </c>
      <c r="M818" s="130">
        <f t="shared" si="366"/>
        <v>0</v>
      </c>
      <c r="N818" s="130">
        <f t="shared" si="366"/>
        <v>0</v>
      </c>
      <c r="O818" s="93">
        <f t="shared" si="342"/>
        <v>0</v>
      </c>
      <c r="P818" s="111"/>
      <c r="Q818" s="108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  <c r="AV818" s="69"/>
      <c r="AW818" s="69"/>
      <c r="AX818" s="69"/>
      <c r="AY818" s="69"/>
      <c r="AZ818" s="69"/>
      <c r="BA818" s="69"/>
      <c r="BB818" s="69"/>
      <c r="BC818" s="69"/>
      <c r="BD818" s="69"/>
      <c r="BE818" s="69"/>
      <c r="BF818" s="69"/>
      <c r="BG818" s="69"/>
      <c r="BH818" s="69"/>
      <c r="BI818" s="69"/>
      <c r="BJ818" s="69"/>
      <c r="BK818" s="69"/>
      <c r="BL818" s="69"/>
      <c r="BM818" s="69"/>
      <c r="BN818" s="69"/>
      <c r="BO818" s="69"/>
      <c r="BP818" s="69"/>
      <c r="BQ818" s="69"/>
      <c r="BR818" s="69"/>
      <c r="BS818" s="69"/>
      <c r="BT818" s="69"/>
      <c r="BU818" s="69"/>
      <c r="BV818" s="69"/>
    </row>
    <row r="819" spans="1:74" s="68" customFormat="1" ht="63" x14ac:dyDescent="0.2">
      <c r="A819" s="81" t="s">
        <v>1008</v>
      </c>
      <c r="B819" s="79" t="s">
        <v>1009</v>
      </c>
      <c r="C819" s="130">
        <f t="shared" ref="C819:N819" si="367">+C820+C822</f>
        <v>0</v>
      </c>
      <c r="D819" s="130">
        <f t="shared" si="367"/>
        <v>0</v>
      </c>
      <c r="E819" s="130">
        <f t="shared" si="367"/>
        <v>0</v>
      </c>
      <c r="F819" s="130">
        <f t="shared" si="367"/>
        <v>0</v>
      </c>
      <c r="G819" s="130">
        <f t="shared" si="367"/>
        <v>0</v>
      </c>
      <c r="H819" s="130">
        <f t="shared" si="367"/>
        <v>0</v>
      </c>
      <c r="I819" s="130">
        <f t="shared" si="367"/>
        <v>0</v>
      </c>
      <c r="J819" s="130">
        <f t="shared" si="367"/>
        <v>0</v>
      </c>
      <c r="K819" s="130">
        <f t="shared" si="367"/>
        <v>0</v>
      </c>
      <c r="L819" s="130">
        <f t="shared" si="367"/>
        <v>0</v>
      </c>
      <c r="M819" s="130">
        <f t="shared" si="367"/>
        <v>0</v>
      </c>
      <c r="N819" s="130">
        <f t="shared" si="367"/>
        <v>0</v>
      </c>
      <c r="O819" s="93">
        <f t="shared" si="342"/>
        <v>0</v>
      </c>
      <c r="P819" s="111"/>
      <c r="Q819" s="108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  <c r="AK819" s="67"/>
      <c r="AL819" s="67"/>
      <c r="AM819" s="67"/>
      <c r="AN819" s="67"/>
      <c r="AO819" s="67"/>
      <c r="AP819" s="67"/>
      <c r="AQ819" s="67"/>
      <c r="AR819" s="67"/>
      <c r="AS819" s="67"/>
      <c r="AT819" s="67"/>
      <c r="AU819" s="67"/>
      <c r="AV819" s="67"/>
      <c r="AW819" s="67"/>
      <c r="AX819" s="67"/>
      <c r="AY819" s="67"/>
      <c r="AZ819" s="67"/>
      <c r="BA819" s="67"/>
      <c r="BB819" s="67"/>
      <c r="BC819" s="67"/>
      <c r="BD819" s="67"/>
      <c r="BE819" s="67"/>
      <c r="BF819" s="67"/>
      <c r="BG819" s="67"/>
      <c r="BH819" s="67"/>
      <c r="BI819" s="67"/>
      <c r="BJ819" s="67"/>
      <c r="BK819" s="67"/>
      <c r="BL819" s="67"/>
      <c r="BM819" s="67"/>
      <c r="BN819" s="67"/>
      <c r="BO819" s="67"/>
      <c r="BP819" s="67"/>
      <c r="BQ819" s="67"/>
      <c r="BR819" s="67"/>
      <c r="BS819" s="67"/>
      <c r="BT819" s="67"/>
      <c r="BU819" s="67"/>
      <c r="BV819" s="67"/>
    </row>
    <row r="820" spans="1:74" s="68" customFormat="1" ht="63" x14ac:dyDescent="0.2">
      <c r="A820" s="81" t="s">
        <v>1010</v>
      </c>
      <c r="B820" s="79" t="s">
        <v>1011</v>
      </c>
      <c r="C820" s="130">
        <f t="shared" ref="C820:N820" si="368">+C821</f>
        <v>0</v>
      </c>
      <c r="D820" s="130">
        <f t="shared" si="368"/>
        <v>0</v>
      </c>
      <c r="E820" s="130">
        <f t="shared" si="368"/>
        <v>0</v>
      </c>
      <c r="F820" s="130">
        <f t="shared" si="368"/>
        <v>0</v>
      </c>
      <c r="G820" s="130">
        <f t="shared" si="368"/>
        <v>0</v>
      </c>
      <c r="H820" s="130">
        <f t="shared" si="368"/>
        <v>0</v>
      </c>
      <c r="I820" s="130">
        <f t="shared" si="368"/>
        <v>0</v>
      </c>
      <c r="J820" s="130">
        <f t="shared" si="368"/>
        <v>0</v>
      </c>
      <c r="K820" s="130">
        <f t="shared" si="368"/>
        <v>0</v>
      </c>
      <c r="L820" s="130">
        <f t="shared" si="368"/>
        <v>0</v>
      </c>
      <c r="M820" s="130">
        <f t="shared" si="368"/>
        <v>0</v>
      </c>
      <c r="N820" s="130">
        <f t="shared" si="368"/>
        <v>0</v>
      </c>
      <c r="O820" s="93">
        <f t="shared" si="342"/>
        <v>0</v>
      </c>
      <c r="P820" s="67"/>
      <c r="Q820" s="108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  <c r="AK820" s="67"/>
      <c r="AL820" s="67"/>
      <c r="AM820" s="67"/>
      <c r="AN820" s="67"/>
      <c r="AO820" s="67"/>
      <c r="AP820" s="67"/>
      <c r="AQ820" s="67"/>
      <c r="AR820" s="67"/>
      <c r="AS820" s="67"/>
      <c r="AT820" s="67"/>
      <c r="AU820" s="67"/>
      <c r="AV820" s="67"/>
      <c r="AW820" s="67"/>
      <c r="AX820" s="67"/>
      <c r="AY820" s="67"/>
      <c r="AZ820" s="67"/>
      <c r="BA820" s="67"/>
      <c r="BB820" s="67"/>
      <c r="BC820" s="67"/>
      <c r="BD820" s="67"/>
      <c r="BE820" s="67"/>
      <c r="BF820" s="67"/>
      <c r="BG820" s="67"/>
      <c r="BH820" s="67"/>
      <c r="BI820" s="67"/>
      <c r="BJ820" s="67"/>
      <c r="BK820" s="67"/>
      <c r="BL820" s="67"/>
      <c r="BM820" s="67"/>
      <c r="BN820" s="67"/>
      <c r="BO820" s="67"/>
      <c r="BP820" s="67"/>
      <c r="BQ820" s="67"/>
      <c r="BR820" s="67"/>
      <c r="BS820" s="67"/>
      <c r="BT820" s="67"/>
      <c r="BU820" s="67"/>
      <c r="BV820" s="67"/>
    </row>
    <row r="821" spans="1:74" s="68" customFormat="1" ht="28.5" x14ac:dyDescent="0.2">
      <c r="A821" s="76" t="s">
        <v>1012</v>
      </c>
      <c r="B821" s="77" t="s">
        <v>378</v>
      </c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93">
        <f t="shared" si="342"/>
        <v>0</v>
      </c>
      <c r="P821" s="67"/>
      <c r="Q821" s="108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7"/>
      <c r="AL821" s="67"/>
      <c r="AM821" s="67"/>
      <c r="AN821" s="67"/>
      <c r="AO821" s="67"/>
      <c r="AP821" s="67"/>
      <c r="AQ821" s="67"/>
      <c r="AR821" s="67"/>
      <c r="AS821" s="67"/>
      <c r="AT821" s="67"/>
      <c r="AU821" s="67"/>
      <c r="AV821" s="67"/>
      <c r="AW821" s="67"/>
      <c r="AX821" s="67"/>
      <c r="AY821" s="67"/>
      <c r="AZ821" s="67"/>
      <c r="BA821" s="67"/>
      <c r="BB821" s="67"/>
      <c r="BC821" s="67"/>
      <c r="BD821" s="67"/>
      <c r="BE821" s="67"/>
      <c r="BF821" s="67"/>
      <c r="BG821" s="67"/>
      <c r="BH821" s="67"/>
      <c r="BI821" s="67"/>
      <c r="BJ821" s="67"/>
      <c r="BK821" s="67"/>
      <c r="BL821" s="67"/>
      <c r="BM821" s="67"/>
      <c r="BN821" s="67"/>
      <c r="BO821" s="67"/>
      <c r="BP821" s="67"/>
      <c r="BQ821" s="67"/>
      <c r="BR821" s="67"/>
      <c r="BS821" s="67"/>
      <c r="BT821" s="67"/>
      <c r="BU821" s="67"/>
      <c r="BV821" s="67"/>
    </row>
    <row r="822" spans="1:74" s="68" customFormat="1" ht="63" x14ac:dyDescent="0.2">
      <c r="A822" s="81" t="s">
        <v>1013</v>
      </c>
      <c r="B822" s="79" t="s">
        <v>1014</v>
      </c>
      <c r="C822" s="130">
        <f t="shared" ref="C822:N822" si="369">+C823</f>
        <v>0</v>
      </c>
      <c r="D822" s="130">
        <f t="shared" si="369"/>
        <v>0</v>
      </c>
      <c r="E822" s="130">
        <f t="shared" si="369"/>
        <v>0</v>
      </c>
      <c r="F822" s="130">
        <f t="shared" si="369"/>
        <v>0</v>
      </c>
      <c r="G822" s="130">
        <f t="shared" si="369"/>
        <v>0</v>
      </c>
      <c r="H822" s="130">
        <f t="shared" si="369"/>
        <v>0</v>
      </c>
      <c r="I822" s="130">
        <f t="shared" si="369"/>
        <v>0</v>
      </c>
      <c r="J822" s="130">
        <f t="shared" si="369"/>
        <v>0</v>
      </c>
      <c r="K822" s="130">
        <f t="shared" si="369"/>
        <v>0</v>
      </c>
      <c r="L822" s="130">
        <f t="shared" si="369"/>
        <v>0</v>
      </c>
      <c r="M822" s="130">
        <f t="shared" si="369"/>
        <v>0</v>
      </c>
      <c r="N822" s="130">
        <f t="shared" si="369"/>
        <v>0</v>
      </c>
      <c r="O822" s="93">
        <f t="shared" si="342"/>
        <v>0</v>
      </c>
      <c r="P822" s="67"/>
      <c r="Q822" s="108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  <c r="AK822" s="67"/>
      <c r="AL822" s="67"/>
      <c r="AM822" s="67"/>
      <c r="AN822" s="67"/>
      <c r="AO822" s="67"/>
      <c r="AP822" s="67"/>
      <c r="AQ822" s="67"/>
      <c r="AR822" s="67"/>
      <c r="AS822" s="67"/>
      <c r="AT822" s="67"/>
      <c r="AU822" s="67"/>
      <c r="AV822" s="67"/>
      <c r="AW822" s="67"/>
      <c r="AX822" s="67"/>
      <c r="AY822" s="67"/>
      <c r="AZ822" s="67"/>
      <c r="BA822" s="67"/>
      <c r="BB822" s="67"/>
      <c r="BC822" s="67"/>
      <c r="BD822" s="67"/>
      <c r="BE822" s="67"/>
      <c r="BF822" s="67"/>
      <c r="BG822" s="67"/>
      <c r="BH822" s="67"/>
      <c r="BI822" s="67"/>
      <c r="BJ822" s="67"/>
      <c r="BK822" s="67"/>
      <c r="BL822" s="67"/>
      <c r="BM822" s="67"/>
      <c r="BN822" s="67"/>
      <c r="BO822" s="67"/>
      <c r="BP822" s="67"/>
      <c r="BQ822" s="67"/>
      <c r="BR822" s="67"/>
      <c r="BS822" s="67"/>
      <c r="BT822" s="67"/>
      <c r="BU822" s="67"/>
      <c r="BV822" s="67"/>
    </row>
    <row r="823" spans="1:74" s="68" customFormat="1" ht="28.5" x14ac:dyDescent="0.2">
      <c r="A823" s="76" t="s">
        <v>1015</v>
      </c>
      <c r="B823" s="77" t="s">
        <v>378</v>
      </c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93">
        <f t="shared" si="342"/>
        <v>0</v>
      </c>
      <c r="Q823" s="108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  <c r="AK823" s="67"/>
      <c r="AL823" s="67"/>
      <c r="AM823" s="67"/>
      <c r="AN823" s="67"/>
      <c r="AO823" s="67"/>
      <c r="AP823" s="67"/>
      <c r="AQ823" s="67"/>
      <c r="AR823" s="67"/>
      <c r="AS823" s="67"/>
      <c r="AT823" s="67"/>
      <c r="AU823" s="67"/>
      <c r="AV823" s="67"/>
      <c r="AW823" s="67"/>
      <c r="AX823" s="67"/>
      <c r="AY823" s="67"/>
      <c r="AZ823" s="67"/>
      <c r="BA823" s="67"/>
      <c r="BB823" s="67"/>
      <c r="BC823" s="67"/>
      <c r="BD823" s="67"/>
      <c r="BE823" s="67"/>
      <c r="BF823" s="67"/>
      <c r="BG823" s="67"/>
      <c r="BH823" s="67"/>
      <c r="BI823" s="67"/>
      <c r="BJ823" s="67"/>
      <c r="BK823" s="67"/>
      <c r="BL823" s="67"/>
      <c r="BM823" s="67"/>
      <c r="BN823" s="67"/>
      <c r="BO823" s="67"/>
      <c r="BP823" s="67"/>
      <c r="BQ823" s="67"/>
      <c r="BR823" s="67"/>
      <c r="BS823" s="67"/>
      <c r="BT823" s="67"/>
      <c r="BU823" s="67"/>
      <c r="BV823" s="67"/>
    </row>
    <row r="824" spans="1:74" s="70" customFormat="1" ht="39" x14ac:dyDescent="0.2">
      <c r="A824" s="212" t="s">
        <v>535</v>
      </c>
      <c r="B824" s="213" t="s">
        <v>211</v>
      </c>
      <c r="C824" s="236">
        <f t="shared" ref="C824:N824" si="370">+C825+C831+C835+C872</f>
        <v>0</v>
      </c>
      <c r="D824" s="236">
        <f t="shared" si="370"/>
        <v>0</v>
      </c>
      <c r="E824" s="236">
        <f t="shared" si="370"/>
        <v>0</v>
      </c>
      <c r="F824" s="236">
        <f t="shared" si="370"/>
        <v>5301571824</v>
      </c>
      <c r="G824" s="236">
        <f t="shared" si="370"/>
        <v>0</v>
      </c>
      <c r="H824" s="236">
        <f t="shared" si="370"/>
        <v>11584539610.870001</v>
      </c>
      <c r="I824" s="236">
        <f t="shared" si="370"/>
        <v>0</v>
      </c>
      <c r="J824" s="236">
        <f t="shared" si="370"/>
        <v>0</v>
      </c>
      <c r="K824" s="236">
        <f t="shared" si="370"/>
        <v>0</v>
      </c>
      <c r="L824" s="236">
        <f t="shared" si="370"/>
        <v>0</v>
      </c>
      <c r="M824" s="236">
        <f t="shared" si="370"/>
        <v>0</v>
      </c>
      <c r="N824" s="236">
        <f t="shared" si="370"/>
        <v>0</v>
      </c>
      <c r="O824" s="93">
        <f t="shared" si="342"/>
        <v>16886111434.870001</v>
      </c>
      <c r="Q824" s="108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  <c r="AV824" s="69"/>
      <c r="AW824" s="69"/>
      <c r="AX824" s="69"/>
      <c r="AY824" s="69"/>
      <c r="AZ824" s="69"/>
      <c r="BA824" s="69"/>
      <c r="BB824" s="69"/>
      <c r="BC824" s="69"/>
      <c r="BD824" s="69"/>
      <c r="BE824" s="69"/>
      <c r="BF824" s="69"/>
      <c r="BG824" s="69"/>
      <c r="BH824" s="69"/>
      <c r="BI824" s="69"/>
      <c r="BJ824" s="69"/>
      <c r="BK824" s="69"/>
      <c r="BL824" s="69"/>
      <c r="BM824" s="69"/>
      <c r="BN824" s="69"/>
      <c r="BO824" s="69"/>
      <c r="BP824" s="69"/>
      <c r="BQ824" s="69"/>
      <c r="BR824" s="69"/>
      <c r="BS824" s="69"/>
      <c r="BT824" s="69"/>
      <c r="BU824" s="69"/>
      <c r="BV824" s="69"/>
    </row>
    <row r="825" spans="1:74" s="68" customFormat="1" ht="31.5" x14ac:dyDescent="0.2">
      <c r="A825" s="81" t="s">
        <v>1016</v>
      </c>
      <c r="B825" s="79" t="s">
        <v>1017</v>
      </c>
      <c r="C825" s="130">
        <f t="shared" ref="C825:N825" si="371">+C826</f>
        <v>0</v>
      </c>
      <c r="D825" s="130">
        <f t="shared" si="371"/>
        <v>0</v>
      </c>
      <c r="E825" s="130">
        <f t="shared" si="371"/>
        <v>0</v>
      </c>
      <c r="F825" s="130">
        <f t="shared" si="371"/>
        <v>0</v>
      </c>
      <c r="G825" s="130">
        <f t="shared" si="371"/>
        <v>0</v>
      </c>
      <c r="H825" s="130">
        <f t="shared" si="371"/>
        <v>0</v>
      </c>
      <c r="I825" s="130">
        <f t="shared" si="371"/>
        <v>0</v>
      </c>
      <c r="J825" s="130">
        <f t="shared" si="371"/>
        <v>0</v>
      </c>
      <c r="K825" s="130">
        <f t="shared" si="371"/>
        <v>0</v>
      </c>
      <c r="L825" s="130">
        <f t="shared" si="371"/>
        <v>0</v>
      </c>
      <c r="M825" s="130">
        <f t="shared" si="371"/>
        <v>0</v>
      </c>
      <c r="N825" s="130">
        <f t="shared" si="371"/>
        <v>0</v>
      </c>
      <c r="O825" s="93">
        <f t="shared" si="342"/>
        <v>0</v>
      </c>
      <c r="Q825" s="108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67"/>
      <c r="AM825" s="67"/>
      <c r="AN825" s="67"/>
      <c r="AO825" s="67"/>
      <c r="AP825" s="67"/>
      <c r="AQ825" s="67"/>
      <c r="AR825" s="67"/>
      <c r="AS825" s="67"/>
      <c r="AT825" s="67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  <c r="BQ825" s="67"/>
      <c r="BR825" s="67"/>
      <c r="BS825" s="67"/>
      <c r="BT825" s="67"/>
      <c r="BU825" s="67"/>
      <c r="BV825" s="67"/>
    </row>
    <row r="826" spans="1:74" s="68" customFormat="1" ht="63" x14ac:dyDescent="0.2">
      <c r="A826" s="81" t="s">
        <v>1018</v>
      </c>
      <c r="B826" s="79" t="s">
        <v>1019</v>
      </c>
      <c r="C826" s="130">
        <f t="shared" ref="C826:N826" si="372">SUM(C827:C830)</f>
        <v>0</v>
      </c>
      <c r="D826" s="130">
        <f t="shared" si="372"/>
        <v>0</v>
      </c>
      <c r="E826" s="130">
        <f t="shared" si="372"/>
        <v>0</v>
      </c>
      <c r="F826" s="130">
        <f t="shared" si="372"/>
        <v>0</v>
      </c>
      <c r="G826" s="130">
        <f t="shared" si="372"/>
        <v>0</v>
      </c>
      <c r="H826" s="130">
        <f t="shared" si="372"/>
        <v>0</v>
      </c>
      <c r="I826" s="130">
        <f t="shared" si="372"/>
        <v>0</v>
      </c>
      <c r="J826" s="130">
        <f t="shared" si="372"/>
        <v>0</v>
      </c>
      <c r="K826" s="130">
        <f t="shared" si="372"/>
        <v>0</v>
      </c>
      <c r="L826" s="130">
        <f t="shared" si="372"/>
        <v>0</v>
      </c>
      <c r="M826" s="130">
        <f t="shared" si="372"/>
        <v>0</v>
      </c>
      <c r="N826" s="130">
        <f t="shared" si="372"/>
        <v>0</v>
      </c>
      <c r="O826" s="93">
        <f t="shared" si="342"/>
        <v>0</v>
      </c>
      <c r="Q826" s="108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7"/>
      <c r="AL826" s="67"/>
      <c r="AM826" s="67"/>
      <c r="AN826" s="67"/>
      <c r="AO826" s="67"/>
      <c r="AP826" s="67"/>
      <c r="AQ826" s="67"/>
      <c r="AR826" s="67"/>
      <c r="AS826" s="67"/>
      <c r="AT826" s="67"/>
      <c r="AU826" s="67"/>
      <c r="AV826" s="67"/>
      <c r="AW826" s="67"/>
      <c r="AX826" s="67"/>
      <c r="AY826" s="67"/>
      <c r="AZ826" s="67"/>
      <c r="BA826" s="67"/>
      <c r="BB826" s="67"/>
      <c r="BC826" s="67"/>
      <c r="BD826" s="67"/>
      <c r="BE826" s="67"/>
      <c r="BF826" s="67"/>
      <c r="BG826" s="67"/>
      <c r="BH826" s="67"/>
      <c r="BI826" s="67"/>
      <c r="BJ826" s="67"/>
      <c r="BK826" s="67"/>
      <c r="BL826" s="67"/>
      <c r="BM826" s="67"/>
      <c r="BN826" s="67"/>
      <c r="BO826" s="67"/>
      <c r="BP826" s="67"/>
      <c r="BQ826" s="67"/>
      <c r="BR826" s="67"/>
      <c r="BS826" s="67"/>
      <c r="BT826" s="67"/>
      <c r="BU826" s="67"/>
      <c r="BV826" s="67"/>
    </row>
    <row r="827" spans="1:74" s="68" customFormat="1" ht="28.5" x14ac:dyDescent="0.2">
      <c r="A827" s="76" t="s">
        <v>1020</v>
      </c>
      <c r="B827" s="77" t="s">
        <v>1021</v>
      </c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93">
        <f t="shared" si="342"/>
        <v>0</v>
      </c>
      <c r="Q827" s="108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  <c r="AK827" s="67"/>
      <c r="AL827" s="67"/>
      <c r="AM827" s="67"/>
      <c r="AN827" s="67"/>
      <c r="AO827" s="67"/>
      <c r="AP827" s="67"/>
      <c r="AQ827" s="67"/>
      <c r="AR827" s="67"/>
      <c r="AS827" s="67"/>
      <c r="AT827" s="67"/>
      <c r="AU827" s="67"/>
      <c r="AV827" s="67"/>
      <c r="AW827" s="67"/>
      <c r="AX827" s="67"/>
      <c r="AY827" s="67"/>
      <c r="AZ827" s="67"/>
      <c r="BA827" s="67"/>
      <c r="BB827" s="67"/>
      <c r="BC827" s="67"/>
      <c r="BD827" s="67"/>
      <c r="BE827" s="67"/>
      <c r="BF827" s="67"/>
      <c r="BG827" s="67"/>
      <c r="BH827" s="67"/>
      <c r="BI827" s="67"/>
      <c r="BJ827" s="67"/>
      <c r="BK827" s="67"/>
      <c r="BL827" s="67"/>
      <c r="BM827" s="67"/>
      <c r="BN827" s="67"/>
      <c r="BO827" s="67"/>
      <c r="BP827" s="67"/>
      <c r="BQ827" s="67"/>
      <c r="BR827" s="67"/>
      <c r="BS827" s="67"/>
      <c r="BT827" s="67"/>
      <c r="BU827" s="67"/>
      <c r="BV827" s="67"/>
    </row>
    <row r="828" spans="1:74" s="68" customFormat="1" ht="28.5" x14ac:dyDescent="0.2">
      <c r="A828" s="76" t="s">
        <v>1022</v>
      </c>
      <c r="B828" s="77" t="s">
        <v>105</v>
      </c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93">
        <f t="shared" si="342"/>
        <v>0</v>
      </c>
      <c r="Q828" s="108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  <c r="AK828" s="67"/>
      <c r="AL828" s="67"/>
      <c r="AM828" s="67"/>
      <c r="AN828" s="67"/>
      <c r="AO828" s="67"/>
      <c r="AP828" s="67"/>
      <c r="AQ828" s="67"/>
      <c r="AR828" s="67"/>
      <c r="AS828" s="67"/>
      <c r="AT828" s="67"/>
      <c r="AU828" s="67"/>
      <c r="AV828" s="67"/>
      <c r="AW828" s="67"/>
      <c r="AX828" s="67"/>
      <c r="AY828" s="67"/>
      <c r="AZ828" s="67"/>
      <c r="BA828" s="67"/>
      <c r="BB828" s="67"/>
      <c r="BC828" s="67"/>
      <c r="BD828" s="67"/>
      <c r="BE828" s="67"/>
      <c r="BF828" s="67"/>
      <c r="BG828" s="67"/>
      <c r="BH828" s="67"/>
      <c r="BI828" s="67"/>
      <c r="BJ828" s="67"/>
      <c r="BK828" s="67"/>
      <c r="BL828" s="67"/>
      <c r="BM828" s="67"/>
      <c r="BN828" s="67"/>
      <c r="BO828" s="67"/>
      <c r="BP828" s="67"/>
      <c r="BQ828" s="67"/>
      <c r="BR828" s="67"/>
      <c r="BS828" s="67"/>
      <c r="BT828" s="67"/>
      <c r="BU828" s="67"/>
      <c r="BV828" s="67"/>
    </row>
    <row r="829" spans="1:74" s="68" customFormat="1" ht="15" x14ac:dyDescent="0.2">
      <c r="A829" s="76" t="s">
        <v>1023</v>
      </c>
      <c r="B829" s="77" t="s">
        <v>106</v>
      </c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93">
        <f t="shared" si="342"/>
        <v>0</v>
      </c>
      <c r="Q829" s="108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  <c r="AK829" s="67"/>
      <c r="AL829" s="67"/>
      <c r="AM829" s="67"/>
      <c r="AN829" s="67"/>
      <c r="AO829" s="67"/>
      <c r="AP829" s="67"/>
      <c r="AQ829" s="67"/>
      <c r="AR829" s="67"/>
      <c r="AS829" s="67"/>
      <c r="AT829" s="67"/>
      <c r="AU829" s="67"/>
      <c r="AV829" s="67"/>
      <c r="AW829" s="67"/>
      <c r="AX829" s="67"/>
      <c r="AY829" s="67"/>
      <c r="AZ829" s="67"/>
      <c r="BA829" s="67"/>
      <c r="BB829" s="67"/>
      <c r="BC829" s="67"/>
      <c r="BD829" s="67"/>
      <c r="BE829" s="67"/>
      <c r="BF829" s="67"/>
      <c r="BG829" s="67"/>
      <c r="BH829" s="67"/>
      <c r="BI829" s="67"/>
      <c r="BJ829" s="67"/>
      <c r="BK829" s="67"/>
      <c r="BL829" s="67"/>
      <c r="BM829" s="67"/>
      <c r="BN829" s="67"/>
      <c r="BO829" s="67"/>
      <c r="BP829" s="67"/>
      <c r="BQ829" s="67"/>
      <c r="BR829" s="67"/>
      <c r="BS829" s="67"/>
      <c r="BT829" s="67"/>
      <c r="BU829" s="67"/>
      <c r="BV829" s="67"/>
    </row>
    <row r="830" spans="1:74" s="68" customFormat="1" ht="28.5" x14ac:dyDescent="0.2">
      <c r="A830" s="76" t="s">
        <v>1024</v>
      </c>
      <c r="B830" s="77" t="s">
        <v>107</v>
      </c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93">
        <f t="shared" si="342"/>
        <v>0</v>
      </c>
      <c r="Q830" s="108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7"/>
      <c r="AL830" s="67"/>
      <c r="AM830" s="67"/>
      <c r="AN830" s="67"/>
      <c r="AO830" s="67"/>
      <c r="AP830" s="67"/>
      <c r="AQ830" s="67"/>
      <c r="AR830" s="67"/>
      <c r="AS830" s="67"/>
      <c r="AT830" s="67"/>
      <c r="AU830" s="67"/>
      <c r="AV830" s="67"/>
      <c r="AW830" s="67"/>
      <c r="AX830" s="67"/>
      <c r="AY830" s="67"/>
      <c r="AZ830" s="67"/>
      <c r="BA830" s="67"/>
      <c r="BB830" s="67"/>
      <c r="BC830" s="67"/>
      <c r="BD830" s="67"/>
      <c r="BE830" s="67"/>
      <c r="BF830" s="67"/>
      <c r="BG830" s="67"/>
      <c r="BH830" s="67"/>
      <c r="BI830" s="67"/>
      <c r="BJ830" s="67"/>
      <c r="BK830" s="67"/>
      <c r="BL830" s="67"/>
      <c r="BM830" s="67"/>
      <c r="BN830" s="67"/>
      <c r="BO830" s="67"/>
      <c r="BP830" s="67"/>
      <c r="BQ830" s="67"/>
      <c r="BR830" s="67"/>
      <c r="BS830" s="67"/>
      <c r="BT830" s="67"/>
      <c r="BU830" s="67"/>
      <c r="BV830" s="67"/>
    </row>
    <row r="831" spans="1:74" s="68" customFormat="1" ht="31.5" x14ac:dyDescent="0.2">
      <c r="A831" s="81" t="s">
        <v>588</v>
      </c>
      <c r="B831" s="79" t="s">
        <v>104</v>
      </c>
      <c r="C831" s="130">
        <f t="shared" ref="C831:N833" si="373">+C832</f>
        <v>0</v>
      </c>
      <c r="D831" s="130">
        <f t="shared" si="373"/>
        <v>0</v>
      </c>
      <c r="E831" s="130">
        <f t="shared" si="373"/>
        <v>0</v>
      </c>
      <c r="F831" s="130">
        <f t="shared" si="373"/>
        <v>0</v>
      </c>
      <c r="G831" s="130">
        <f t="shared" si="373"/>
        <v>0</v>
      </c>
      <c r="H831" s="130">
        <f t="shared" si="373"/>
        <v>0</v>
      </c>
      <c r="I831" s="130">
        <f t="shared" si="373"/>
        <v>0</v>
      </c>
      <c r="J831" s="130">
        <f t="shared" si="373"/>
        <v>0</v>
      </c>
      <c r="K831" s="130">
        <f t="shared" si="373"/>
        <v>0</v>
      </c>
      <c r="L831" s="130">
        <f t="shared" si="373"/>
        <v>0</v>
      </c>
      <c r="M831" s="130">
        <f t="shared" si="373"/>
        <v>0</v>
      </c>
      <c r="N831" s="130">
        <f t="shared" si="373"/>
        <v>0</v>
      </c>
      <c r="O831" s="93">
        <f t="shared" si="342"/>
        <v>0</v>
      </c>
      <c r="Q831" s="108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  <c r="AK831" s="67"/>
      <c r="AL831" s="67"/>
      <c r="AM831" s="67"/>
      <c r="AN831" s="67"/>
      <c r="AO831" s="67"/>
      <c r="AP831" s="67"/>
      <c r="AQ831" s="67"/>
      <c r="AR831" s="67"/>
      <c r="AS831" s="67"/>
      <c r="AT831" s="67"/>
      <c r="AU831" s="67"/>
      <c r="AV831" s="67"/>
      <c r="AW831" s="67"/>
      <c r="AX831" s="67"/>
      <c r="AY831" s="67"/>
      <c r="AZ831" s="67"/>
      <c r="BA831" s="67"/>
      <c r="BB831" s="67"/>
      <c r="BC831" s="67"/>
      <c r="BD831" s="67"/>
      <c r="BE831" s="67"/>
      <c r="BF831" s="67"/>
      <c r="BG831" s="67"/>
      <c r="BH831" s="67"/>
      <c r="BI831" s="67"/>
      <c r="BJ831" s="67"/>
      <c r="BK831" s="67"/>
      <c r="BL831" s="67"/>
      <c r="BM831" s="67"/>
      <c r="BN831" s="67"/>
      <c r="BO831" s="67"/>
      <c r="BP831" s="67"/>
      <c r="BQ831" s="67"/>
      <c r="BR831" s="67"/>
      <c r="BS831" s="67"/>
      <c r="BT831" s="67"/>
      <c r="BU831" s="67"/>
      <c r="BV831" s="67"/>
    </row>
    <row r="832" spans="1:74" s="68" customFormat="1" ht="47.25" x14ac:dyDescent="0.2">
      <c r="A832" s="81" t="s">
        <v>1025</v>
      </c>
      <c r="B832" s="79" t="s">
        <v>1026</v>
      </c>
      <c r="C832" s="130">
        <f t="shared" si="373"/>
        <v>0</v>
      </c>
      <c r="D832" s="130">
        <f t="shared" si="373"/>
        <v>0</v>
      </c>
      <c r="E832" s="130">
        <f t="shared" si="373"/>
        <v>0</v>
      </c>
      <c r="F832" s="130">
        <f t="shared" si="373"/>
        <v>0</v>
      </c>
      <c r="G832" s="130">
        <f t="shared" si="373"/>
        <v>0</v>
      </c>
      <c r="H832" s="130">
        <f t="shared" si="373"/>
        <v>0</v>
      </c>
      <c r="I832" s="130">
        <f t="shared" si="373"/>
        <v>0</v>
      </c>
      <c r="J832" s="130">
        <f t="shared" si="373"/>
        <v>0</v>
      </c>
      <c r="K832" s="130">
        <f t="shared" si="373"/>
        <v>0</v>
      </c>
      <c r="L832" s="130">
        <f t="shared" si="373"/>
        <v>0</v>
      </c>
      <c r="M832" s="130">
        <f t="shared" si="373"/>
        <v>0</v>
      </c>
      <c r="N832" s="130">
        <f t="shared" si="373"/>
        <v>0</v>
      </c>
      <c r="O832" s="93">
        <f t="shared" si="342"/>
        <v>0</v>
      </c>
      <c r="Q832" s="108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  <c r="AK832" s="67"/>
      <c r="AL832" s="67"/>
      <c r="AM832" s="67"/>
      <c r="AN832" s="67"/>
      <c r="AO832" s="67"/>
      <c r="AP832" s="67"/>
      <c r="AQ832" s="67"/>
      <c r="AR832" s="67"/>
      <c r="AS832" s="67"/>
      <c r="AT832" s="67"/>
      <c r="AU832" s="67"/>
      <c r="AV832" s="67"/>
      <c r="AW832" s="67"/>
      <c r="AX832" s="67"/>
      <c r="AY832" s="67"/>
      <c r="AZ832" s="67"/>
      <c r="BA832" s="67"/>
      <c r="BB832" s="67"/>
      <c r="BC832" s="67"/>
      <c r="BD832" s="67"/>
      <c r="BE832" s="67"/>
      <c r="BF832" s="67"/>
      <c r="BG832" s="67"/>
      <c r="BH832" s="67"/>
      <c r="BI832" s="67"/>
      <c r="BJ832" s="67"/>
      <c r="BK832" s="67"/>
      <c r="BL832" s="67"/>
      <c r="BM832" s="67"/>
      <c r="BN832" s="67"/>
      <c r="BO832" s="67"/>
      <c r="BP832" s="67"/>
      <c r="BQ832" s="67"/>
      <c r="BR832" s="67"/>
      <c r="BS832" s="67"/>
      <c r="BT832" s="67"/>
      <c r="BU832" s="67"/>
      <c r="BV832" s="67"/>
    </row>
    <row r="833" spans="1:74" s="68" customFormat="1" ht="15.75" x14ac:dyDescent="0.2">
      <c r="A833" s="81" t="s">
        <v>1027</v>
      </c>
      <c r="B833" s="79" t="s">
        <v>1028</v>
      </c>
      <c r="C833" s="130">
        <f t="shared" si="373"/>
        <v>0</v>
      </c>
      <c r="D833" s="130">
        <f t="shared" si="373"/>
        <v>0</v>
      </c>
      <c r="E833" s="130">
        <f t="shared" si="373"/>
        <v>0</v>
      </c>
      <c r="F833" s="130">
        <f t="shared" si="373"/>
        <v>0</v>
      </c>
      <c r="G833" s="130">
        <f t="shared" si="373"/>
        <v>0</v>
      </c>
      <c r="H833" s="130">
        <f t="shared" si="373"/>
        <v>0</v>
      </c>
      <c r="I833" s="130">
        <f t="shared" si="373"/>
        <v>0</v>
      </c>
      <c r="J833" s="130">
        <f t="shared" si="373"/>
        <v>0</v>
      </c>
      <c r="K833" s="130">
        <f t="shared" si="373"/>
        <v>0</v>
      </c>
      <c r="L833" s="130">
        <f t="shared" si="373"/>
        <v>0</v>
      </c>
      <c r="M833" s="130">
        <f t="shared" si="373"/>
        <v>0</v>
      </c>
      <c r="N833" s="130">
        <f t="shared" si="373"/>
        <v>0</v>
      </c>
      <c r="O833" s="93">
        <f t="shared" si="342"/>
        <v>0</v>
      </c>
      <c r="Q833" s="108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  <c r="AK833" s="67"/>
      <c r="AL833" s="67"/>
      <c r="AM833" s="67"/>
      <c r="AN833" s="67"/>
      <c r="AO833" s="67"/>
      <c r="AP833" s="67"/>
      <c r="AQ833" s="67"/>
      <c r="AR833" s="67"/>
      <c r="AS833" s="67"/>
      <c r="AT833" s="67"/>
      <c r="AU833" s="67"/>
      <c r="AV833" s="67"/>
      <c r="AW833" s="67"/>
      <c r="AX833" s="67"/>
      <c r="AY833" s="67"/>
      <c r="AZ833" s="67"/>
      <c r="BA833" s="67"/>
      <c r="BB833" s="67"/>
      <c r="BC833" s="67"/>
      <c r="BD833" s="67"/>
      <c r="BE833" s="67"/>
      <c r="BF833" s="67"/>
      <c r="BG833" s="67"/>
      <c r="BH833" s="67"/>
      <c r="BI833" s="67"/>
      <c r="BJ833" s="67"/>
      <c r="BK833" s="67"/>
      <c r="BL833" s="67"/>
      <c r="BM833" s="67"/>
      <c r="BN833" s="67"/>
      <c r="BO833" s="67"/>
      <c r="BP833" s="67"/>
      <c r="BQ833" s="67"/>
      <c r="BR833" s="67"/>
      <c r="BS833" s="67"/>
      <c r="BT833" s="67"/>
      <c r="BU833" s="67"/>
      <c r="BV833" s="67"/>
    </row>
    <row r="834" spans="1:74" s="68" customFormat="1" ht="30" x14ac:dyDescent="0.2">
      <c r="A834" s="82" t="s">
        <v>1029</v>
      </c>
      <c r="B834" s="83" t="s">
        <v>1030</v>
      </c>
      <c r="C834" s="132"/>
      <c r="D834" s="132"/>
      <c r="E834" s="132"/>
      <c r="F834" s="132"/>
      <c r="G834" s="132"/>
      <c r="H834" s="132"/>
      <c r="I834" s="132"/>
      <c r="J834" s="132"/>
      <c r="K834" s="132"/>
      <c r="L834" s="132"/>
      <c r="M834" s="132"/>
      <c r="N834" s="132"/>
      <c r="O834" s="93">
        <f t="shared" si="342"/>
        <v>0</v>
      </c>
      <c r="Q834" s="108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  <c r="AK834" s="67"/>
      <c r="AL834" s="67"/>
      <c r="AM834" s="67"/>
      <c r="AN834" s="67"/>
      <c r="AO834" s="67"/>
      <c r="AP834" s="67"/>
      <c r="AQ834" s="67"/>
      <c r="AR834" s="67"/>
      <c r="AS834" s="67"/>
      <c r="AT834" s="67"/>
      <c r="AU834" s="67"/>
      <c r="AV834" s="67"/>
      <c r="AW834" s="67"/>
      <c r="AX834" s="67"/>
      <c r="AY834" s="67"/>
      <c r="AZ834" s="67"/>
      <c r="BA834" s="67"/>
      <c r="BB834" s="67"/>
      <c r="BC834" s="67"/>
      <c r="BD834" s="67"/>
      <c r="BE834" s="67"/>
      <c r="BF834" s="67"/>
      <c r="BG834" s="67"/>
      <c r="BH834" s="67"/>
      <c r="BI834" s="67"/>
      <c r="BJ834" s="67"/>
      <c r="BK834" s="67"/>
      <c r="BL834" s="67"/>
      <c r="BM834" s="67"/>
      <c r="BN834" s="67"/>
      <c r="BO834" s="67"/>
      <c r="BP834" s="67"/>
      <c r="BQ834" s="67"/>
      <c r="BR834" s="67"/>
      <c r="BS834" s="67"/>
      <c r="BT834" s="67"/>
      <c r="BU834" s="67"/>
      <c r="BV834" s="67"/>
    </row>
    <row r="835" spans="1:74" s="68" customFormat="1" ht="31.5" x14ac:dyDescent="0.2">
      <c r="A835" s="81" t="s">
        <v>608</v>
      </c>
      <c r="B835" s="79" t="s">
        <v>1031</v>
      </c>
      <c r="C835" s="130">
        <f>+C836+C842+C868</f>
        <v>0</v>
      </c>
      <c r="D835" s="130">
        <f t="shared" ref="D835:N835" si="374">+D836+D842+D868</f>
        <v>0</v>
      </c>
      <c r="E835" s="130">
        <f t="shared" si="374"/>
        <v>0</v>
      </c>
      <c r="F835" s="130">
        <f t="shared" si="374"/>
        <v>5301571824</v>
      </c>
      <c r="G835" s="130">
        <f t="shared" si="374"/>
        <v>0</v>
      </c>
      <c r="H835" s="130">
        <f t="shared" si="374"/>
        <v>11584539610.870001</v>
      </c>
      <c r="I835" s="130">
        <f t="shared" si="374"/>
        <v>0</v>
      </c>
      <c r="J835" s="130">
        <f t="shared" si="374"/>
        <v>0</v>
      </c>
      <c r="K835" s="130">
        <f t="shared" si="374"/>
        <v>0</v>
      </c>
      <c r="L835" s="130">
        <f t="shared" si="374"/>
        <v>0</v>
      </c>
      <c r="M835" s="130">
        <f t="shared" si="374"/>
        <v>0</v>
      </c>
      <c r="N835" s="130">
        <f t="shared" si="374"/>
        <v>0</v>
      </c>
      <c r="O835" s="93">
        <f t="shared" ref="O835:O915" si="375">SUM(C835:N835)</f>
        <v>16886111434.870001</v>
      </c>
      <c r="Q835" s="108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  <c r="AK835" s="67"/>
      <c r="AL835" s="67"/>
      <c r="AM835" s="67"/>
      <c r="AN835" s="67"/>
      <c r="AO835" s="67"/>
      <c r="AP835" s="67"/>
      <c r="AQ835" s="67"/>
      <c r="AR835" s="67"/>
      <c r="AS835" s="67"/>
      <c r="AT835" s="67"/>
      <c r="AU835" s="67"/>
      <c r="AV835" s="67"/>
      <c r="AW835" s="67"/>
      <c r="AX835" s="67"/>
      <c r="AY835" s="67"/>
      <c r="AZ835" s="67"/>
      <c r="BA835" s="67"/>
      <c r="BB835" s="67"/>
      <c r="BC835" s="67"/>
      <c r="BD835" s="67"/>
      <c r="BE835" s="67"/>
      <c r="BF835" s="67"/>
      <c r="BG835" s="67"/>
      <c r="BH835" s="67"/>
      <c r="BI835" s="67"/>
      <c r="BJ835" s="67"/>
      <c r="BK835" s="67"/>
      <c r="BL835" s="67"/>
      <c r="BM835" s="67"/>
      <c r="BN835" s="67"/>
      <c r="BO835" s="67"/>
      <c r="BP835" s="67"/>
      <c r="BQ835" s="67"/>
      <c r="BR835" s="67"/>
      <c r="BS835" s="67"/>
      <c r="BT835" s="67"/>
      <c r="BU835" s="67"/>
      <c r="BV835" s="67"/>
    </row>
    <row r="836" spans="1:74" s="68" customFormat="1" ht="31.5" x14ac:dyDescent="0.2">
      <c r="A836" s="81" t="s">
        <v>610</v>
      </c>
      <c r="B836" s="79" t="s">
        <v>1032</v>
      </c>
      <c r="C836" s="130">
        <f t="shared" ref="C836:N836" si="376">+C837</f>
        <v>0</v>
      </c>
      <c r="D836" s="130">
        <f t="shared" si="376"/>
        <v>0</v>
      </c>
      <c r="E836" s="130">
        <f t="shared" si="376"/>
        <v>0</v>
      </c>
      <c r="F836" s="130">
        <f t="shared" si="376"/>
        <v>4981448737</v>
      </c>
      <c r="G836" s="130">
        <f t="shared" si="376"/>
        <v>0</v>
      </c>
      <c r="H836" s="130">
        <f t="shared" si="376"/>
        <v>0</v>
      </c>
      <c r="I836" s="130">
        <f t="shared" si="376"/>
        <v>0</v>
      </c>
      <c r="J836" s="130">
        <f t="shared" si="376"/>
        <v>0</v>
      </c>
      <c r="K836" s="130">
        <f t="shared" si="376"/>
        <v>0</v>
      </c>
      <c r="L836" s="130">
        <f t="shared" si="376"/>
        <v>0</v>
      </c>
      <c r="M836" s="130">
        <f t="shared" si="376"/>
        <v>0</v>
      </c>
      <c r="N836" s="130">
        <f t="shared" si="376"/>
        <v>0</v>
      </c>
      <c r="O836" s="93">
        <f t="shared" si="375"/>
        <v>4981448737</v>
      </c>
      <c r="Q836" s="108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7"/>
      <c r="AL836" s="67"/>
      <c r="AM836" s="67"/>
      <c r="AN836" s="67"/>
      <c r="AO836" s="67"/>
      <c r="AP836" s="67"/>
      <c r="AQ836" s="67"/>
      <c r="AR836" s="67"/>
      <c r="AS836" s="67"/>
      <c r="AT836" s="67"/>
      <c r="AU836" s="67"/>
      <c r="AV836" s="67"/>
      <c r="AW836" s="67"/>
      <c r="AX836" s="67"/>
      <c r="AY836" s="67"/>
      <c r="AZ836" s="67"/>
      <c r="BA836" s="67"/>
      <c r="BB836" s="67"/>
      <c r="BC836" s="67"/>
      <c r="BD836" s="67"/>
      <c r="BE836" s="67"/>
      <c r="BF836" s="67"/>
      <c r="BG836" s="67"/>
      <c r="BH836" s="67"/>
      <c r="BI836" s="67"/>
      <c r="BJ836" s="67"/>
      <c r="BK836" s="67"/>
      <c r="BL836" s="67"/>
      <c r="BM836" s="67"/>
      <c r="BN836" s="67"/>
      <c r="BO836" s="67"/>
      <c r="BP836" s="67"/>
      <c r="BQ836" s="67"/>
      <c r="BR836" s="67"/>
      <c r="BS836" s="67"/>
      <c r="BT836" s="67"/>
      <c r="BU836" s="67"/>
      <c r="BV836" s="67"/>
    </row>
    <row r="837" spans="1:74" s="68" customFormat="1" ht="15.75" x14ac:dyDescent="0.2">
      <c r="A837" s="81" t="s">
        <v>1033</v>
      </c>
      <c r="B837" s="79" t="s">
        <v>1034</v>
      </c>
      <c r="C837" s="130">
        <f>SUM(C838:C841)</f>
        <v>0</v>
      </c>
      <c r="D837" s="130">
        <f t="shared" ref="D837:N837" si="377">SUM(D838:D841)</f>
        <v>0</v>
      </c>
      <c r="E837" s="130">
        <f t="shared" si="377"/>
        <v>0</v>
      </c>
      <c r="F837" s="130">
        <f t="shared" si="377"/>
        <v>4981448737</v>
      </c>
      <c r="G837" s="130">
        <f t="shared" si="377"/>
        <v>0</v>
      </c>
      <c r="H837" s="130">
        <f t="shared" si="377"/>
        <v>0</v>
      </c>
      <c r="I837" s="130">
        <f t="shared" si="377"/>
        <v>0</v>
      </c>
      <c r="J837" s="130">
        <f t="shared" si="377"/>
        <v>0</v>
      </c>
      <c r="K837" s="130">
        <f t="shared" si="377"/>
        <v>0</v>
      </c>
      <c r="L837" s="130">
        <f t="shared" si="377"/>
        <v>0</v>
      </c>
      <c r="M837" s="130">
        <f t="shared" si="377"/>
        <v>0</v>
      </c>
      <c r="N837" s="130">
        <f t="shared" si="377"/>
        <v>0</v>
      </c>
      <c r="O837" s="93">
        <f t="shared" si="375"/>
        <v>4981448737</v>
      </c>
      <c r="Q837" s="108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7"/>
      <c r="AL837" s="67"/>
      <c r="AM837" s="67"/>
      <c r="AN837" s="67"/>
      <c r="AO837" s="67"/>
      <c r="AP837" s="67"/>
      <c r="AQ837" s="67"/>
      <c r="AR837" s="67"/>
      <c r="AS837" s="67"/>
      <c r="AT837" s="67"/>
      <c r="AU837" s="67"/>
      <c r="AV837" s="67"/>
      <c r="AW837" s="67"/>
      <c r="AX837" s="67"/>
      <c r="AY837" s="67"/>
      <c r="AZ837" s="67"/>
      <c r="BA837" s="67"/>
      <c r="BB837" s="67"/>
      <c r="BC837" s="67"/>
      <c r="BD837" s="67"/>
      <c r="BE837" s="67"/>
      <c r="BF837" s="67"/>
      <c r="BG837" s="67"/>
      <c r="BH837" s="67"/>
      <c r="BI837" s="67"/>
      <c r="BJ837" s="67"/>
      <c r="BK837" s="67"/>
      <c r="BL837" s="67"/>
      <c r="BM837" s="67"/>
      <c r="BN837" s="67"/>
      <c r="BO837" s="67"/>
      <c r="BP837" s="67"/>
      <c r="BQ837" s="67"/>
      <c r="BR837" s="67"/>
      <c r="BS837" s="67"/>
      <c r="BT837" s="67"/>
      <c r="BU837" s="67"/>
      <c r="BV837" s="67"/>
    </row>
    <row r="838" spans="1:74" s="68" customFormat="1" ht="15" x14ac:dyDescent="0.2">
      <c r="A838" s="82" t="s">
        <v>1035</v>
      </c>
      <c r="B838" s="77" t="s">
        <v>1036</v>
      </c>
      <c r="C838" s="132"/>
      <c r="D838" s="132"/>
      <c r="E838" s="132"/>
      <c r="F838" s="132"/>
      <c r="G838" s="132"/>
      <c r="H838" s="132"/>
      <c r="I838" s="132"/>
      <c r="J838" s="132"/>
      <c r="K838" s="132"/>
      <c r="L838" s="132"/>
      <c r="M838" s="132"/>
      <c r="N838" s="132"/>
      <c r="O838" s="93">
        <f t="shared" si="375"/>
        <v>0</v>
      </c>
      <c r="Q838" s="108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  <c r="AK838" s="67"/>
      <c r="AL838" s="67"/>
      <c r="AM838" s="67"/>
      <c r="AN838" s="67"/>
      <c r="AO838" s="67"/>
      <c r="AP838" s="67"/>
      <c r="AQ838" s="67"/>
      <c r="AR838" s="67"/>
      <c r="AS838" s="67"/>
      <c r="AT838" s="67"/>
      <c r="AU838" s="67"/>
      <c r="AV838" s="67"/>
      <c r="AW838" s="67"/>
      <c r="AX838" s="67"/>
      <c r="AY838" s="67"/>
      <c r="AZ838" s="67"/>
      <c r="BA838" s="67"/>
      <c r="BB838" s="67"/>
      <c r="BC838" s="67"/>
      <c r="BD838" s="67"/>
      <c r="BE838" s="67"/>
      <c r="BF838" s="67"/>
      <c r="BG838" s="67"/>
      <c r="BH838" s="67"/>
      <c r="BI838" s="67"/>
      <c r="BJ838" s="67"/>
      <c r="BK838" s="67"/>
      <c r="BL838" s="67"/>
      <c r="BM838" s="67"/>
      <c r="BN838" s="67"/>
      <c r="BO838" s="67"/>
      <c r="BP838" s="67"/>
      <c r="BQ838" s="67"/>
      <c r="BR838" s="67"/>
      <c r="BS838" s="67"/>
      <c r="BT838" s="67"/>
      <c r="BU838" s="67"/>
      <c r="BV838" s="67"/>
    </row>
    <row r="839" spans="1:74" s="68" customFormat="1" ht="15" x14ac:dyDescent="0.2">
      <c r="A839" s="82" t="s">
        <v>1035</v>
      </c>
      <c r="B839" s="77" t="s">
        <v>1036</v>
      </c>
      <c r="C839" s="132"/>
      <c r="D839" s="132"/>
      <c r="E839" s="132"/>
      <c r="F839" s="132">
        <v>4124553211</v>
      </c>
      <c r="G839" s="132"/>
      <c r="H839" s="132"/>
      <c r="I839" s="132"/>
      <c r="J839" s="132"/>
      <c r="K839" s="132"/>
      <c r="L839" s="132"/>
      <c r="M839" s="132"/>
      <c r="N839" s="132"/>
      <c r="O839" s="93">
        <f t="shared" si="375"/>
        <v>4124553211</v>
      </c>
      <c r="Q839" s="108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  <c r="AK839" s="67"/>
      <c r="AL839" s="67"/>
      <c r="AM839" s="67"/>
      <c r="AN839" s="67"/>
      <c r="AO839" s="67"/>
      <c r="AP839" s="67"/>
      <c r="AQ839" s="67"/>
      <c r="AR839" s="67"/>
      <c r="AS839" s="67"/>
      <c r="AT839" s="67"/>
      <c r="AU839" s="67"/>
      <c r="AV839" s="67"/>
      <c r="AW839" s="67"/>
      <c r="AX839" s="67"/>
      <c r="AY839" s="67"/>
      <c r="AZ839" s="67"/>
      <c r="BA839" s="67"/>
      <c r="BB839" s="67"/>
      <c r="BC839" s="67"/>
      <c r="BD839" s="67"/>
      <c r="BE839" s="67"/>
      <c r="BF839" s="67"/>
      <c r="BG839" s="67"/>
      <c r="BH839" s="67"/>
      <c r="BI839" s="67"/>
      <c r="BJ839" s="67"/>
      <c r="BK839" s="67"/>
      <c r="BL839" s="67"/>
      <c r="BM839" s="67"/>
      <c r="BN839" s="67"/>
      <c r="BO839" s="67"/>
      <c r="BP839" s="67"/>
      <c r="BQ839" s="67"/>
      <c r="BR839" s="67"/>
      <c r="BS839" s="67"/>
      <c r="BT839" s="67"/>
      <c r="BU839" s="67"/>
      <c r="BV839" s="67"/>
    </row>
    <row r="840" spans="1:74" s="68" customFormat="1" ht="73.5" customHeight="1" x14ac:dyDescent="0.2">
      <c r="A840" s="82" t="s">
        <v>1037</v>
      </c>
      <c r="B840" s="83" t="s">
        <v>1038</v>
      </c>
      <c r="C840" s="132"/>
      <c r="D840" s="132"/>
      <c r="E840" s="132"/>
      <c r="F840" s="132"/>
      <c r="G840" s="132"/>
      <c r="H840" s="132"/>
      <c r="I840" s="132"/>
      <c r="J840" s="132"/>
      <c r="K840" s="132"/>
      <c r="L840" s="132"/>
      <c r="M840" s="132"/>
      <c r="N840" s="132"/>
      <c r="O840" s="93">
        <f t="shared" si="375"/>
        <v>0</v>
      </c>
      <c r="Q840" s="108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  <c r="AK840" s="67"/>
      <c r="AL840" s="67"/>
      <c r="AM840" s="67"/>
      <c r="AN840" s="67"/>
      <c r="AO840" s="67"/>
      <c r="AP840" s="67"/>
      <c r="AQ840" s="67"/>
      <c r="AR840" s="67"/>
      <c r="AS840" s="67"/>
      <c r="AT840" s="67"/>
      <c r="AU840" s="67"/>
      <c r="AV840" s="67"/>
      <c r="AW840" s="67"/>
      <c r="AX840" s="67"/>
      <c r="AY840" s="67"/>
      <c r="AZ840" s="67"/>
      <c r="BA840" s="67"/>
      <c r="BB840" s="67"/>
      <c r="BC840" s="67"/>
      <c r="BD840" s="67"/>
      <c r="BE840" s="67"/>
      <c r="BF840" s="67"/>
      <c r="BG840" s="67"/>
      <c r="BH840" s="67"/>
      <c r="BI840" s="67"/>
      <c r="BJ840" s="67"/>
      <c r="BK840" s="67"/>
      <c r="BL840" s="67"/>
      <c r="BM840" s="67"/>
      <c r="BN840" s="67"/>
      <c r="BO840" s="67"/>
      <c r="BP840" s="67"/>
      <c r="BQ840" s="67"/>
      <c r="BR840" s="67"/>
      <c r="BS840" s="67"/>
      <c r="BT840" s="67"/>
      <c r="BU840" s="67"/>
      <c r="BV840" s="67"/>
    </row>
    <row r="841" spans="1:74" s="68" customFormat="1" ht="75.75" customHeight="1" x14ac:dyDescent="0.2">
      <c r="A841" s="82" t="s">
        <v>1037</v>
      </c>
      <c r="B841" s="83" t="s">
        <v>1038</v>
      </c>
      <c r="C841" s="132"/>
      <c r="D841" s="132"/>
      <c r="E841" s="132"/>
      <c r="F841" s="132">
        <v>856895526</v>
      </c>
      <c r="G841" s="132"/>
      <c r="H841" s="132"/>
      <c r="I841" s="132"/>
      <c r="J841" s="132"/>
      <c r="K841" s="132"/>
      <c r="L841" s="132"/>
      <c r="M841" s="132"/>
      <c r="N841" s="132"/>
      <c r="O841" s="93">
        <f t="shared" si="375"/>
        <v>856895526</v>
      </c>
      <c r="Q841" s="108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7"/>
      <c r="AL841" s="67"/>
      <c r="AM841" s="67"/>
      <c r="AN841" s="67"/>
      <c r="AO841" s="67"/>
      <c r="AP841" s="67"/>
      <c r="AQ841" s="67"/>
      <c r="AR841" s="67"/>
      <c r="AS841" s="67"/>
      <c r="AT841" s="67"/>
      <c r="AU841" s="67"/>
      <c r="AV841" s="67"/>
      <c r="AW841" s="67"/>
      <c r="AX841" s="67"/>
      <c r="AY841" s="67"/>
      <c r="AZ841" s="67"/>
      <c r="BA841" s="67"/>
      <c r="BB841" s="67"/>
      <c r="BC841" s="67"/>
      <c r="BD841" s="67"/>
      <c r="BE841" s="67"/>
      <c r="BF841" s="67"/>
      <c r="BG841" s="67"/>
      <c r="BH841" s="67"/>
      <c r="BI841" s="67"/>
      <c r="BJ841" s="67"/>
      <c r="BK841" s="67"/>
      <c r="BL841" s="67"/>
      <c r="BM841" s="67"/>
      <c r="BN841" s="67"/>
      <c r="BO841" s="67"/>
      <c r="BP841" s="67"/>
      <c r="BQ841" s="67"/>
      <c r="BR841" s="67"/>
      <c r="BS841" s="67"/>
      <c r="BT841" s="67"/>
      <c r="BU841" s="67"/>
      <c r="BV841" s="67"/>
    </row>
    <row r="842" spans="1:74" s="68" customFormat="1" ht="47.25" x14ac:dyDescent="0.2">
      <c r="A842" s="81" t="s">
        <v>634</v>
      </c>
      <c r="B842" s="79" t="s">
        <v>1039</v>
      </c>
      <c r="C842" s="130">
        <f t="shared" ref="C842:N842" si="378">+C843+C859</f>
        <v>0</v>
      </c>
      <c r="D842" s="130">
        <f t="shared" si="378"/>
        <v>0</v>
      </c>
      <c r="E842" s="130">
        <f t="shared" si="378"/>
        <v>0</v>
      </c>
      <c r="F842" s="130">
        <f t="shared" si="378"/>
        <v>320123087</v>
      </c>
      <c r="G842" s="130">
        <f t="shared" si="378"/>
        <v>0</v>
      </c>
      <c r="H842" s="130">
        <f t="shared" si="378"/>
        <v>8132449327.4300003</v>
      </c>
      <c r="I842" s="130">
        <f t="shared" si="378"/>
        <v>0</v>
      </c>
      <c r="J842" s="130">
        <f t="shared" si="378"/>
        <v>0</v>
      </c>
      <c r="K842" s="130">
        <f t="shared" si="378"/>
        <v>0</v>
      </c>
      <c r="L842" s="130">
        <f t="shared" si="378"/>
        <v>0</v>
      </c>
      <c r="M842" s="130">
        <f t="shared" si="378"/>
        <v>0</v>
      </c>
      <c r="N842" s="130">
        <f t="shared" si="378"/>
        <v>0</v>
      </c>
      <c r="O842" s="93">
        <f t="shared" si="375"/>
        <v>8452572414.4300003</v>
      </c>
      <c r="Q842" s="108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  <c r="AK842" s="67"/>
      <c r="AL842" s="67"/>
      <c r="AM842" s="67"/>
      <c r="AN842" s="67"/>
      <c r="AO842" s="67"/>
      <c r="AP842" s="67"/>
      <c r="AQ842" s="67"/>
      <c r="AR842" s="67"/>
      <c r="AS842" s="67"/>
      <c r="AT842" s="67"/>
      <c r="AU842" s="67"/>
      <c r="AV842" s="67"/>
      <c r="AW842" s="67"/>
      <c r="AX842" s="67"/>
      <c r="AY842" s="67"/>
      <c r="AZ842" s="67"/>
      <c r="BA842" s="67"/>
      <c r="BB842" s="67"/>
      <c r="BC842" s="67"/>
      <c r="BD842" s="67"/>
      <c r="BE842" s="67"/>
      <c r="BF842" s="67"/>
      <c r="BG842" s="67"/>
      <c r="BH842" s="67"/>
      <c r="BI842" s="67"/>
      <c r="BJ842" s="67"/>
      <c r="BK842" s="67"/>
      <c r="BL842" s="67"/>
      <c r="BM842" s="67"/>
      <c r="BN842" s="67"/>
      <c r="BO842" s="67"/>
      <c r="BP842" s="67"/>
      <c r="BQ842" s="67"/>
      <c r="BR842" s="67"/>
      <c r="BS842" s="67"/>
      <c r="BT842" s="67"/>
      <c r="BU842" s="67"/>
      <c r="BV842" s="67"/>
    </row>
    <row r="843" spans="1:74" s="68" customFormat="1" ht="15.75" x14ac:dyDescent="0.2">
      <c r="A843" s="81" t="s">
        <v>1040</v>
      </c>
      <c r="B843" s="79" t="s">
        <v>1041</v>
      </c>
      <c r="C843" s="130">
        <f>+C844+C848+C852+C857</f>
        <v>0</v>
      </c>
      <c r="D843" s="130">
        <f t="shared" ref="D843:N843" si="379">+D844+D848+D852+D857</f>
        <v>0</v>
      </c>
      <c r="E843" s="130">
        <f t="shared" si="379"/>
        <v>0</v>
      </c>
      <c r="F843" s="130">
        <f t="shared" si="379"/>
        <v>320123087</v>
      </c>
      <c r="G843" s="130">
        <f t="shared" si="379"/>
        <v>0</v>
      </c>
      <c r="H843" s="130">
        <f t="shared" si="379"/>
        <v>8132449327.4300003</v>
      </c>
      <c r="I843" s="130">
        <f t="shared" si="379"/>
        <v>0</v>
      </c>
      <c r="J843" s="130">
        <f t="shared" si="379"/>
        <v>0</v>
      </c>
      <c r="K843" s="130">
        <f t="shared" si="379"/>
        <v>0</v>
      </c>
      <c r="L843" s="130">
        <f t="shared" si="379"/>
        <v>0</v>
      </c>
      <c r="M843" s="130">
        <f t="shared" si="379"/>
        <v>0</v>
      </c>
      <c r="N843" s="130">
        <f t="shared" si="379"/>
        <v>0</v>
      </c>
      <c r="O843" s="93">
        <f t="shared" si="375"/>
        <v>8452572414.4300003</v>
      </c>
      <c r="Q843" s="108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  <c r="AK843" s="67"/>
      <c r="AL843" s="67"/>
      <c r="AM843" s="67"/>
      <c r="AN843" s="67"/>
      <c r="AO843" s="67"/>
      <c r="AP843" s="67"/>
      <c r="AQ843" s="67"/>
      <c r="AR843" s="67"/>
      <c r="AS843" s="67"/>
      <c r="AT843" s="67"/>
      <c r="AU843" s="67"/>
      <c r="AV843" s="67"/>
      <c r="AW843" s="67"/>
      <c r="AX843" s="67"/>
      <c r="AY843" s="67"/>
      <c r="AZ843" s="67"/>
      <c r="BA843" s="67"/>
      <c r="BB843" s="67"/>
      <c r="BC843" s="67"/>
      <c r="BD843" s="67"/>
      <c r="BE843" s="67"/>
      <c r="BF843" s="67"/>
      <c r="BG843" s="67"/>
      <c r="BH843" s="67"/>
      <c r="BI843" s="67"/>
      <c r="BJ843" s="67"/>
      <c r="BK843" s="67"/>
      <c r="BL843" s="67"/>
      <c r="BM843" s="67"/>
      <c r="BN843" s="67"/>
      <c r="BO843" s="67"/>
      <c r="BP843" s="67"/>
      <c r="BQ843" s="67"/>
      <c r="BR843" s="67"/>
      <c r="BS843" s="67"/>
      <c r="BT843" s="67"/>
      <c r="BU843" s="67"/>
      <c r="BV843" s="67"/>
    </row>
    <row r="844" spans="1:74" s="68" customFormat="1" ht="63" x14ac:dyDescent="0.2">
      <c r="A844" s="81" t="s">
        <v>1042</v>
      </c>
      <c r="B844" s="79" t="s">
        <v>1043</v>
      </c>
      <c r="C844" s="130">
        <f t="shared" ref="C844:N844" si="380">SUM(C845:C847)</f>
        <v>0</v>
      </c>
      <c r="D844" s="130">
        <f t="shared" si="380"/>
        <v>0</v>
      </c>
      <c r="E844" s="130">
        <f t="shared" si="380"/>
        <v>0</v>
      </c>
      <c r="F844" s="130">
        <f t="shared" si="380"/>
        <v>0</v>
      </c>
      <c r="G844" s="130">
        <f t="shared" si="380"/>
        <v>0</v>
      </c>
      <c r="H844" s="130">
        <f t="shared" si="380"/>
        <v>0</v>
      </c>
      <c r="I844" s="130">
        <f t="shared" si="380"/>
        <v>0</v>
      </c>
      <c r="J844" s="130">
        <f t="shared" si="380"/>
        <v>0</v>
      </c>
      <c r="K844" s="130">
        <f t="shared" si="380"/>
        <v>0</v>
      </c>
      <c r="L844" s="130">
        <f t="shared" si="380"/>
        <v>0</v>
      </c>
      <c r="M844" s="130">
        <f t="shared" si="380"/>
        <v>0</v>
      </c>
      <c r="N844" s="130">
        <f t="shared" si="380"/>
        <v>0</v>
      </c>
      <c r="O844" s="93">
        <f t="shared" si="375"/>
        <v>0</v>
      </c>
      <c r="Q844" s="108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  <c r="AK844" s="67"/>
      <c r="AL844" s="67"/>
      <c r="AM844" s="67"/>
      <c r="AN844" s="67"/>
      <c r="AO844" s="67"/>
      <c r="AP844" s="67"/>
      <c r="AQ844" s="67"/>
      <c r="AR844" s="67"/>
      <c r="AS844" s="67"/>
      <c r="AT844" s="67"/>
      <c r="AU844" s="67"/>
      <c r="AV844" s="67"/>
      <c r="AW844" s="67"/>
      <c r="AX844" s="67"/>
      <c r="AY844" s="67"/>
      <c r="AZ844" s="67"/>
      <c r="BA844" s="67"/>
      <c r="BB844" s="67"/>
      <c r="BC844" s="67"/>
      <c r="BD844" s="67"/>
      <c r="BE844" s="67"/>
      <c r="BF844" s="67"/>
      <c r="BG844" s="67"/>
      <c r="BH844" s="67"/>
      <c r="BI844" s="67"/>
      <c r="BJ844" s="67"/>
      <c r="BK844" s="67"/>
      <c r="BL844" s="67"/>
      <c r="BM844" s="67"/>
      <c r="BN844" s="67"/>
      <c r="BO844" s="67"/>
      <c r="BP844" s="67"/>
      <c r="BQ844" s="67"/>
      <c r="BR844" s="67"/>
      <c r="BS844" s="67"/>
      <c r="BT844" s="67"/>
      <c r="BU844" s="67"/>
      <c r="BV844" s="67"/>
    </row>
    <row r="845" spans="1:74" s="68" customFormat="1" ht="15" x14ac:dyDescent="0.2">
      <c r="A845" s="76" t="s">
        <v>1044</v>
      </c>
      <c r="B845" s="77" t="s">
        <v>1045</v>
      </c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93">
        <f t="shared" si="375"/>
        <v>0</v>
      </c>
      <c r="Q845" s="108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7"/>
      <c r="AL845" s="67"/>
      <c r="AM845" s="67"/>
      <c r="AN845" s="67"/>
      <c r="AO845" s="67"/>
      <c r="AP845" s="67"/>
      <c r="AQ845" s="67"/>
      <c r="AR845" s="67"/>
      <c r="AS845" s="67"/>
      <c r="AT845" s="67"/>
      <c r="AU845" s="67"/>
      <c r="AV845" s="67"/>
      <c r="AW845" s="67"/>
      <c r="AX845" s="67"/>
      <c r="AY845" s="67"/>
      <c r="AZ845" s="67"/>
      <c r="BA845" s="67"/>
      <c r="BB845" s="67"/>
      <c r="BC845" s="67"/>
      <c r="BD845" s="67"/>
      <c r="BE845" s="67"/>
      <c r="BF845" s="67"/>
      <c r="BG845" s="67"/>
      <c r="BH845" s="67"/>
      <c r="BI845" s="67"/>
      <c r="BJ845" s="67"/>
      <c r="BK845" s="67"/>
      <c r="BL845" s="67"/>
      <c r="BM845" s="67"/>
      <c r="BN845" s="67"/>
      <c r="BO845" s="67"/>
      <c r="BP845" s="67"/>
      <c r="BQ845" s="67"/>
      <c r="BR845" s="67"/>
      <c r="BS845" s="67"/>
      <c r="BT845" s="67"/>
      <c r="BU845" s="67"/>
      <c r="BV845" s="67"/>
    </row>
    <row r="846" spans="1:74" s="68" customFormat="1" ht="15" x14ac:dyDescent="0.2">
      <c r="A846" s="76" t="s">
        <v>1046</v>
      </c>
      <c r="B846" s="77" t="s">
        <v>1047</v>
      </c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93">
        <f t="shared" si="375"/>
        <v>0</v>
      </c>
      <c r="Q846" s="108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7"/>
      <c r="AL846" s="67"/>
      <c r="AM846" s="67"/>
      <c r="AN846" s="67"/>
      <c r="AO846" s="67"/>
      <c r="AP846" s="67"/>
      <c r="AQ846" s="67"/>
      <c r="AR846" s="67"/>
      <c r="AS846" s="67"/>
      <c r="AT846" s="67"/>
      <c r="AU846" s="67"/>
      <c r="AV846" s="67"/>
      <c r="AW846" s="67"/>
      <c r="AX846" s="67"/>
      <c r="AY846" s="67"/>
      <c r="AZ846" s="67"/>
      <c r="BA846" s="67"/>
      <c r="BB846" s="67"/>
      <c r="BC846" s="67"/>
      <c r="BD846" s="67"/>
      <c r="BE846" s="67"/>
      <c r="BF846" s="67"/>
      <c r="BG846" s="67"/>
      <c r="BH846" s="67"/>
      <c r="BI846" s="67"/>
      <c r="BJ846" s="67"/>
      <c r="BK846" s="67"/>
      <c r="BL846" s="67"/>
      <c r="BM846" s="67"/>
      <c r="BN846" s="67"/>
      <c r="BO846" s="67"/>
      <c r="BP846" s="67"/>
      <c r="BQ846" s="67"/>
      <c r="BR846" s="67"/>
      <c r="BS846" s="67"/>
      <c r="BT846" s="67"/>
      <c r="BU846" s="67"/>
      <c r="BV846" s="67"/>
    </row>
    <row r="847" spans="1:74" s="68" customFormat="1" ht="15" x14ac:dyDescent="0.2">
      <c r="A847" s="76" t="s">
        <v>1048</v>
      </c>
      <c r="B847" s="77" t="s">
        <v>1049</v>
      </c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93">
        <f t="shared" si="375"/>
        <v>0</v>
      </c>
      <c r="Q847" s="108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  <c r="AK847" s="67"/>
      <c r="AL847" s="67"/>
      <c r="AM847" s="67"/>
      <c r="AN847" s="67"/>
      <c r="AO847" s="67"/>
      <c r="AP847" s="67"/>
      <c r="AQ847" s="67"/>
      <c r="AR847" s="67"/>
      <c r="AS847" s="67"/>
      <c r="AT847" s="67"/>
      <c r="AU847" s="67"/>
      <c r="AV847" s="67"/>
      <c r="AW847" s="67"/>
      <c r="AX847" s="67"/>
      <c r="AY847" s="67"/>
      <c r="AZ847" s="67"/>
      <c r="BA847" s="67"/>
      <c r="BB847" s="67"/>
      <c r="BC847" s="67"/>
      <c r="BD847" s="67"/>
      <c r="BE847" s="67"/>
      <c r="BF847" s="67"/>
      <c r="BG847" s="67"/>
      <c r="BH847" s="67"/>
      <c r="BI847" s="67"/>
      <c r="BJ847" s="67"/>
      <c r="BK847" s="67"/>
      <c r="BL847" s="67"/>
      <c r="BM847" s="67"/>
      <c r="BN847" s="67"/>
      <c r="BO847" s="67"/>
      <c r="BP847" s="67"/>
      <c r="BQ847" s="67"/>
      <c r="BR847" s="67"/>
      <c r="BS847" s="67"/>
      <c r="BT847" s="67"/>
      <c r="BU847" s="67"/>
      <c r="BV847" s="67"/>
    </row>
    <row r="848" spans="1:74" s="112" customFormat="1" ht="78.75" x14ac:dyDescent="0.2">
      <c r="A848" s="81" t="s">
        <v>1248</v>
      </c>
      <c r="B848" s="79" t="s">
        <v>1057</v>
      </c>
      <c r="C848" s="130">
        <f>+C849+C850+C851</f>
        <v>0</v>
      </c>
      <c r="D848" s="130">
        <f t="shared" ref="D848:N848" si="381">+D849+D850+D851</f>
        <v>0</v>
      </c>
      <c r="E848" s="130">
        <f t="shared" si="381"/>
        <v>0</v>
      </c>
      <c r="F848" s="130">
        <f t="shared" si="381"/>
        <v>45210500</v>
      </c>
      <c r="G848" s="130">
        <f t="shared" si="381"/>
        <v>0</v>
      </c>
      <c r="H848" s="130">
        <f t="shared" si="381"/>
        <v>8132449327.4300003</v>
      </c>
      <c r="I848" s="130">
        <f t="shared" si="381"/>
        <v>0</v>
      </c>
      <c r="J848" s="130">
        <f t="shared" si="381"/>
        <v>0</v>
      </c>
      <c r="K848" s="130">
        <f t="shared" si="381"/>
        <v>0</v>
      </c>
      <c r="L848" s="130">
        <f t="shared" si="381"/>
        <v>0</v>
      </c>
      <c r="M848" s="130">
        <f t="shared" si="381"/>
        <v>0</v>
      </c>
      <c r="N848" s="130">
        <f t="shared" si="381"/>
        <v>0</v>
      </c>
      <c r="O848" s="309">
        <f t="shared" si="375"/>
        <v>8177659827.4300003</v>
      </c>
      <c r="Q848" s="108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  <c r="AE848" s="111"/>
      <c r="AF848" s="111"/>
      <c r="AG848" s="111"/>
      <c r="AH848" s="111"/>
      <c r="AI848" s="111"/>
      <c r="AJ848" s="111"/>
      <c r="AK848" s="111"/>
      <c r="AL848" s="111"/>
      <c r="AM848" s="111"/>
      <c r="AN848" s="111"/>
      <c r="AO848" s="111"/>
      <c r="AP848" s="111"/>
      <c r="AQ848" s="111"/>
      <c r="AR848" s="111"/>
      <c r="AS848" s="111"/>
      <c r="AT848" s="111"/>
      <c r="AU848" s="111"/>
      <c r="AV848" s="111"/>
      <c r="AW848" s="111"/>
      <c r="AX848" s="111"/>
      <c r="AY848" s="111"/>
      <c r="AZ848" s="111"/>
      <c r="BA848" s="111"/>
      <c r="BB848" s="111"/>
      <c r="BC848" s="111"/>
      <c r="BD848" s="111"/>
      <c r="BE848" s="111"/>
      <c r="BF848" s="111"/>
      <c r="BG848" s="111"/>
      <c r="BH848" s="111"/>
      <c r="BI848" s="111"/>
      <c r="BJ848" s="111"/>
      <c r="BK848" s="111"/>
      <c r="BL848" s="111"/>
      <c r="BM848" s="111"/>
      <c r="BN848" s="111"/>
      <c r="BO848" s="111"/>
      <c r="BP848" s="111"/>
      <c r="BQ848" s="111"/>
      <c r="BR848" s="111"/>
      <c r="BS848" s="111"/>
      <c r="BT848" s="111"/>
      <c r="BU848" s="111"/>
      <c r="BV848" s="111"/>
    </row>
    <row r="849" spans="1:74" s="68" customFormat="1" ht="42.75" x14ac:dyDescent="0.2">
      <c r="A849" s="76" t="s">
        <v>1249</v>
      </c>
      <c r="B849" s="77" t="s">
        <v>1058</v>
      </c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309">
        <f t="shared" si="375"/>
        <v>0</v>
      </c>
      <c r="Q849" s="108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  <c r="AK849" s="67"/>
      <c r="AL849" s="67"/>
      <c r="AM849" s="67"/>
      <c r="AN849" s="67"/>
      <c r="AO849" s="67"/>
      <c r="AP849" s="67"/>
      <c r="AQ849" s="67"/>
      <c r="AR849" s="67"/>
      <c r="AS849" s="67"/>
      <c r="AT849" s="67"/>
      <c r="AU849" s="67"/>
      <c r="AV849" s="67"/>
      <c r="AW849" s="67"/>
      <c r="AX849" s="67"/>
      <c r="AY849" s="67"/>
      <c r="AZ849" s="67"/>
      <c r="BA849" s="67"/>
      <c r="BB849" s="67"/>
      <c r="BC849" s="67"/>
      <c r="BD849" s="67"/>
      <c r="BE849" s="67"/>
      <c r="BF849" s="67"/>
      <c r="BG849" s="67"/>
      <c r="BH849" s="67"/>
      <c r="BI849" s="67"/>
      <c r="BJ849" s="67"/>
      <c r="BK849" s="67"/>
      <c r="BL849" s="67"/>
      <c r="BM849" s="67"/>
      <c r="BN849" s="67"/>
      <c r="BO849" s="67"/>
      <c r="BP849" s="67"/>
      <c r="BQ849" s="67"/>
      <c r="BR849" s="67"/>
      <c r="BS849" s="67"/>
      <c r="BT849" s="67"/>
      <c r="BU849" s="67"/>
      <c r="BV849" s="67"/>
    </row>
    <row r="850" spans="1:74" s="68" customFormat="1" ht="42.75" x14ac:dyDescent="0.2">
      <c r="A850" s="76" t="s">
        <v>1249</v>
      </c>
      <c r="B850" s="77" t="s">
        <v>1058</v>
      </c>
      <c r="C850" s="131"/>
      <c r="D850" s="131"/>
      <c r="E850" s="131"/>
      <c r="F850" s="131">
        <v>45210500</v>
      </c>
      <c r="G850" s="131"/>
      <c r="H850" s="131"/>
      <c r="I850" s="131"/>
      <c r="J850" s="131"/>
      <c r="K850" s="131"/>
      <c r="L850" s="131"/>
      <c r="M850" s="131"/>
      <c r="N850" s="131"/>
      <c r="O850" s="309">
        <f t="shared" si="375"/>
        <v>45210500</v>
      </c>
      <c r="Q850" s="108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  <c r="AK850" s="67"/>
      <c r="AL850" s="67"/>
      <c r="AM850" s="67"/>
      <c r="AN850" s="67"/>
      <c r="AO850" s="67"/>
      <c r="AP850" s="67"/>
      <c r="AQ850" s="67"/>
      <c r="AR850" s="67"/>
      <c r="AS850" s="67"/>
      <c r="AT850" s="67"/>
      <c r="AU850" s="67"/>
      <c r="AV850" s="67"/>
      <c r="AW850" s="67"/>
      <c r="AX850" s="67"/>
      <c r="AY850" s="67"/>
      <c r="AZ850" s="67"/>
      <c r="BA850" s="67"/>
      <c r="BB850" s="67"/>
      <c r="BC850" s="67"/>
      <c r="BD850" s="67"/>
      <c r="BE850" s="67"/>
      <c r="BF850" s="67"/>
      <c r="BG850" s="67"/>
      <c r="BH850" s="67"/>
      <c r="BI850" s="67"/>
      <c r="BJ850" s="67"/>
      <c r="BK850" s="67"/>
      <c r="BL850" s="67"/>
      <c r="BM850" s="67"/>
      <c r="BN850" s="67"/>
      <c r="BO850" s="67"/>
      <c r="BP850" s="67"/>
      <c r="BQ850" s="67"/>
      <c r="BR850" s="67"/>
      <c r="BS850" s="67"/>
      <c r="BT850" s="67"/>
      <c r="BU850" s="67"/>
      <c r="BV850" s="67"/>
    </row>
    <row r="851" spans="1:74" s="68" customFormat="1" ht="28.5" x14ac:dyDescent="0.2">
      <c r="A851" s="76" t="s">
        <v>1871</v>
      </c>
      <c r="B851" s="77" t="s">
        <v>1872</v>
      </c>
      <c r="C851" s="131"/>
      <c r="D851" s="131"/>
      <c r="E851" s="131"/>
      <c r="F851" s="131"/>
      <c r="G851" s="131"/>
      <c r="H851" s="131">
        <v>8132449327.4300003</v>
      </c>
      <c r="I851" s="131"/>
      <c r="J851" s="131"/>
      <c r="K851" s="131"/>
      <c r="L851" s="131"/>
      <c r="M851" s="131"/>
      <c r="N851" s="131"/>
      <c r="O851" s="309">
        <f t="shared" si="375"/>
        <v>8132449327.4300003</v>
      </c>
      <c r="Q851" s="108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  <c r="AK851" s="67"/>
      <c r="AL851" s="67"/>
      <c r="AM851" s="67"/>
      <c r="AN851" s="67"/>
      <c r="AO851" s="67"/>
      <c r="AP851" s="67"/>
      <c r="AQ851" s="67"/>
      <c r="AR851" s="67"/>
      <c r="AS851" s="67"/>
      <c r="AT851" s="67"/>
      <c r="AU851" s="67"/>
      <c r="AV851" s="67"/>
      <c r="AW851" s="67"/>
      <c r="AX851" s="67"/>
      <c r="AY851" s="67"/>
      <c r="AZ851" s="67"/>
      <c r="BA851" s="67"/>
      <c r="BB851" s="67"/>
      <c r="BC851" s="67"/>
      <c r="BD851" s="67"/>
      <c r="BE851" s="67"/>
      <c r="BF851" s="67"/>
      <c r="BG851" s="67"/>
      <c r="BH851" s="67"/>
      <c r="BI851" s="67"/>
      <c r="BJ851" s="67"/>
      <c r="BK851" s="67"/>
      <c r="BL851" s="67"/>
      <c r="BM851" s="67"/>
      <c r="BN851" s="67"/>
      <c r="BO851" s="67"/>
      <c r="BP851" s="67"/>
      <c r="BQ851" s="67"/>
      <c r="BR851" s="67"/>
      <c r="BS851" s="67"/>
      <c r="BT851" s="67"/>
      <c r="BU851" s="67"/>
      <c r="BV851" s="67"/>
    </row>
    <row r="852" spans="1:74" s="112" customFormat="1" ht="31.5" x14ac:dyDescent="0.2">
      <c r="A852" s="81" t="s">
        <v>1250</v>
      </c>
      <c r="B852" s="79" t="s">
        <v>377</v>
      </c>
      <c r="C852" s="130">
        <f>+C853+C855+C856</f>
        <v>0</v>
      </c>
      <c r="D852" s="130">
        <f t="shared" ref="D852:N852" si="382">+D853+D855+D856</f>
        <v>0</v>
      </c>
      <c r="E852" s="130">
        <f t="shared" si="382"/>
        <v>0</v>
      </c>
      <c r="F852" s="130">
        <f t="shared" si="382"/>
        <v>274912587</v>
      </c>
      <c r="G852" s="130">
        <f t="shared" si="382"/>
        <v>0</v>
      </c>
      <c r="H852" s="130">
        <f t="shared" si="382"/>
        <v>0</v>
      </c>
      <c r="I852" s="130">
        <f t="shared" si="382"/>
        <v>0</v>
      </c>
      <c r="J852" s="130">
        <f t="shared" si="382"/>
        <v>0</v>
      </c>
      <c r="K852" s="130">
        <f t="shared" si="382"/>
        <v>0</v>
      </c>
      <c r="L852" s="130">
        <f t="shared" si="382"/>
        <v>0</v>
      </c>
      <c r="M852" s="130">
        <f t="shared" si="382"/>
        <v>0</v>
      </c>
      <c r="N852" s="130">
        <f t="shared" si="382"/>
        <v>0</v>
      </c>
      <c r="O852" s="309">
        <f t="shared" si="375"/>
        <v>274912587</v>
      </c>
      <c r="Q852" s="108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111"/>
      <c r="AI852" s="111"/>
      <c r="AJ852" s="111"/>
      <c r="AK852" s="111"/>
      <c r="AL852" s="111"/>
      <c r="AM852" s="111"/>
      <c r="AN852" s="111"/>
      <c r="AO852" s="111"/>
      <c r="AP852" s="111"/>
      <c r="AQ852" s="111"/>
      <c r="AR852" s="111"/>
      <c r="AS852" s="111"/>
      <c r="AT852" s="111"/>
      <c r="AU852" s="111"/>
      <c r="AV852" s="111"/>
      <c r="AW852" s="111"/>
      <c r="AX852" s="111"/>
      <c r="AY852" s="111"/>
      <c r="AZ852" s="111"/>
      <c r="BA852" s="111"/>
      <c r="BB852" s="111"/>
      <c r="BC852" s="111"/>
      <c r="BD852" s="111"/>
      <c r="BE852" s="111"/>
      <c r="BF852" s="111"/>
      <c r="BG852" s="111"/>
      <c r="BH852" s="111"/>
      <c r="BI852" s="111"/>
      <c r="BJ852" s="111"/>
      <c r="BK852" s="111"/>
      <c r="BL852" s="111"/>
      <c r="BM852" s="111"/>
      <c r="BN852" s="111"/>
      <c r="BO852" s="111"/>
      <c r="BP852" s="111"/>
      <c r="BQ852" s="111"/>
      <c r="BR852" s="111"/>
      <c r="BS852" s="111"/>
      <c r="BT852" s="111"/>
      <c r="BU852" s="111"/>
      <c r="BV852" s="111"/>
    </row>
    <row r="853" spans="1:74" s="112" customFormat="1" ht="31.5" x14ac:dyDescent="0.2">
      <c r="A853" s="81" t="s">
        <v>1251</v>
      </c>
      <c r="B853" s="79" t="s">
        <v>378</v>
      </c>
      <c r="C853" s="130">
        <f>+C854</f>
        <v>0</v>
      </c>
      <c r="D853" s="130">
        <f t="shared" ref="D853:N853" si="383">+D854</f>
        <v>0</v>
      </c>
      <c r="E853" s="130">
        <f t="shared" si="383"/>
        <v>0</v>
      </c>
      <c r="F853" s="130">
        <f t="shared" si="383"/>
        <v>0</v>
      </c>
      <c r="G853" s="130">
        <f t="shared" si="383"/>
        <v>0</v>
      </c>
      <c r="H853" s="130">
        <f t="shared" si="383"/>
        <v>0</v>
      </c>
      <c r="I853" s="130">
        <f t="shared" si="383"/>
        <v>0</v>
      </c>
      <c r="J853" s="130">
        <f t="shared" si="383"/>
        <v>0</v>
      </c>
      <c r="K853" s="130">
        <f t="shared" si="383"/>
        <v>0</v>
      </c>
      <c r="L853" s="130">
        <f t="shared" si="383"/>
        <v>0</v>
      </c>
      <c r="M853" s="130">
        <f t="shared" si="383"/>
        <v>0</v>
      </c>
      <c r="N853" s="130">
        <f t="shared" si="383"/>
        <v>0</v>
      </c>
      <c r="O853" s="309">
        <f t="shared" si="375"/>
        <v>0</v>
      </c>
      <c r="Q853" s="108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111"/>
      <c r="AI853" s="111"/>
      <c r="AJ853" s="111"/>
      <c r="AK853" s="111"/>
      <c r="AL853" s="111"/>
      <c r="AM853" s="111"/>
      <c r="AN853" s="111"/>
      <c r="AO853" s="111"/>
      <c r="AP853" s="111"/>
      <c r="AQ853" s="111"/>
      <c r="AR853" s="111"/>
      <c r="AS853" s="111"/>
      <c r="AT853" s="111"/>
      <c r="AU853" s="111"/>
      <c r="AV853" s="111"/>
      <c r="AW853" s="111"/>
      <c r="AX853" s="111"/>
      <c r="AY853" s="111"/>
      <c r="AZ853" s="111"/>
      <c r="BA853" s="111"/>
      <c r="BB853" s="111"/>
      <c r="BC853" s="111"/>
      <c r="BD853" s="111"/>
      <c r="BE853" s="111"/>
      <c r="BF853" s="111"/>
      <c r="BG853" s="111"/>
      <c r="BH853" s="111"/>
      <c r="BI853" s="111"/>
      <c r="BJ853" s="111"/>
      <c r="BK853" s="111"/>
      <c r="BL853" s="111"/>
      <c r="BM853" s="111"/>
      <c r="BN853" s="111"/>
      <c r="BO853" s="111"/>
      <c r="BP853" s="111"/>
      <c r="BQ853" s="111"/>
      <c r="BR853" s="111"/>
      <c r="BS853" s="111"/>
      <c r="BT853" s="111"/>
      <c r="BU853" s="111"/>
      <c r="BV853" s="111"/>
    </row>
    <row r="854" spans="1:74" s="68" customFormat="1" ht="42.75" x14ac:dyDescent="0.2">
      <c r="A854" s="76" t="s">
        <v>1252</v>
      </c>
      <c r="B854" s="77" t="s">
        <v>1059</v>
      </c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309">
        <f t="shared" si="375"/>
        <v>0</v>
      </c>
      <c r="Q854" s="108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  <c r="AK854" s="67"/>
      <c r="AL854" s="67"/>
      <c r="AM854" s="67"/>
      <c r="AN854" s="67"/>
      <c r="AO854" s="67"/>
      <c r="AP854" s="67"/>
      <c r="AQ854" s="67"/>
      <c r="AR854" s="67"/>
      <c r="AS854" s="67"/>
      <c r="AT854" s="67"/>
      <c r="AU854" s="67"/>
      <c r="AV854" s="67"/>
      <c r="AW854" s="67"/>
      <c r="AX854" s="67"/>
      <c r="AY854" s="67"/>
      <c r="AZ854" s="67"/>
      <c r="BA854" s="67"/>
      <c r="BB854" s="67"/>
      <c r="BC854" s="67"/>
      <c r="BD854" s="67"/>
      <c r="BE854" s="67"/>
      <c r="BF854" s="67"/>
      <c r="BG854" s="67"/>
      <c r="BH854" s="67"/>
      <c r="BI854" s="67"/>
      <c r="BJ854" s="67"/>
      <c r="BK854" s="67"/>
      <c r="BL854" s="67"/>
      <c r="BM854" s="67"/>
      <c r="BN854" s="67"/>
      <c r="BO854" s="67"/>
      <c r="BP854" s="67"/>
      <c r="BQ854" s="67"/>
      <c r="BR854" s="67"/>
      <c r="BS854" s="67"/>
      <c r="BT854" s="67"/>
      <c r="BU854" s="67"/>
      <c r="BV854" s="67"/>
    </row>
    <row r="855" spans="1:74" s="68" customFormat="1" ht="42.75" x14ac:dyDescent="0.2">
      <c r="A855" s="76" t="s">
        <v>1253</v>
      </c>
      <c r="B855" s="77" t="s">
        <v>1254</v>
      </c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309">
        <f t="shared" si="375"/>
        <v>0</v>
      </c>
      <c r="Q855" s="108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  <c r="AK855" s="67"/>
      <c r="AL855" s="67"/>
      <c r="AM855" s="67"/>
      <c r="AN855" s="67"/>
      <c r="AO855" s="67"/>
      <c r="AP855" s="67"/>
      <c r="AQ855" s="67"/>
      <c r="AR855" s="67"/>
      <c r="AS855" s="67"/>
      <c r="AT855" s="67"/>
      <c r="AU855" s="67"/>
      <c r="AV855" s="67"/>
      <c r="AW855" s="67"/>
      <c r="AX855" s="67"/>
      <c r="AY855" s="67"/>
      <c r="AZ855" s="67"/>
      <c r="BA855" s="67"/>
      <c r="BB855" s="67"/>
      <c r="BC855" s="67"/>
      <c r="BD855" s="67"/>
      <c r="BE855" s="67"/>
      <c r="BF855" s="67"/>
      <c r="BG855" s="67"/>
      <c r="BH855" s="67"/>
      <c r="BI855" s="67"/>
      <c r="BJ855" s="67"/>
      <c r="BK855" s="67"/>
      <c r="BL855" s="67"/>
      <c r="BM855" s="67"/>
      <c r="BN855" s="67"/>
      <c r="BO855" s="67"/>
      <c r="BP855" s="67"/>
      <c r="BQ855" s="67"/>
      <c r="BR855" s="67"/>
      <c r="BS855" s="67"/>
      <c r="BT855" s="67"/>
      <c r="BU855" s="67"/>
      <c r="BV855" s="67"/>
    </row>
    <row r="856" spans="1:74" s="68" customFormat="1" ht="42.75" x14ac:dyDescent="0.2">
      <c r="A856" s="76" t="s">
        <v>1253</v>
      </c>
      <c r="B856" s="77" t="s">
        <v>1254</v>
      </c>
      <c r="C856" s="131"/>
      <c r="D856" s="131"/>
      <c r="E856" s="131"/>
      <c r="F856" s="131">
        <v>274912587</v>
      </c>
      <c r="G856" s="131"/>
      <c r="H856" s="131"/>
      <c r="I856" s="131"/>
      <c r="J856" s="131"/>
      <c r="K856" s="131"/>
      <c r="L856" s="131"/>
      <c r="M856" s="131"/>
      <c r="N856" s="131"/>
      <c r="O856" s="309">
        <f t="shared" si="375"/>
        <v>274912587</v>
      </c>
      <c r="Q856" s="108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  <c r="AK856" s="67"/>
      <c r="AL856" s="67"/>
      <c r="AM856" s="67"/>
      <c r="AN856" s="67"/>
      <c r="AO856" s="67"/>
      <c r="AP856" s="67"/>
      <c r="AQ856" s="67"/>
      <c r="AR856" s="67"/>
      <c r="AS856" s="67"/>
      <c r="AT856" s="67"/>
      <c r="AU856" s="67"/>
      <c r="AV856" s="67"/>
      <c r="AW856" s="67"/>
      <c r="AX856" s="67"/>
      <c r="AY856" s="67"/>
      <c r="AZ856" s="67"/>
      <c r="BA856" s="67"/>
      <c r="BB856" s="67"/>
      <c r="BC856" s="67"/>
      <c r="BD856" s="67"/>
      <c r="BE856" s="67"/>
      <c r="BF856" s="67"/>
      <c r="BG856" s="67"/>
      <c r="BH856" s="67"/>
      <c r="BI856" s="67"/>
      <c r="BJ856" s="67"/>
      <c r="BK856" s="67"/>
      <c r="BL856" s="67"/>
      <c r="BM856" s="67"/>
      <c r="BN856" s="67"/>
      <c r="BO856" s="67"/>
      <c r="BP856" s="67"/>
      <c r="BQ856" s="67"/>
      <c r="BR856" s="67"/>
      <c r="BS856" s="67"/>
      <c r="BT856" s="67"/>
      <c r="BU856" s="67"/>
      <c r="BV856" s="67"/>
    </row>
    <row r="857" spans="1:74" s="112" customFormat="1" ht="31.5" x14ac:dyDescent="0.2">
      <c r="A857" s="81" t="s">
        <v>1255</v>
      </c>
      <c r="B857" s="79" t="s">
        <v>1060</v>
      </c>
      <c r="C857" s="130">
        <f>+C858</f>
        <v>0</v>
      </c>
      <c r="D857" s="130">
        <f t="shared" ref="D857:N857" si="384">+D858</f>
        <v>0</v>
      </c>
      <c r="E857" s="130">
        <f t="shared" si="384"/>
        <v>0</v>
      </c>
      <c r="F857" s="130">
        <f t="shared" si="384"/>
        <v>0</v>
      </c>
      <c r="G857" s="130">
        <f t="shared" si="384"/>
        <v>0</v>
      </c>
      <c r="H857" s="130">
        <f t="shared" si="384"/>
        <v>0</v>
      </c>
      <c r="I857" s="130">
        <f t="shared" si="384"/>
        <v>0</v>
      </c>
      <c r="J857" s="130">
        <f t="shared" si="384"/>
        <v>0</v>
      </c>
      <c r="K857" s="130">
        <f t="shared" si="384"/>
        <v>0</v>
      </c>
      <c r="L857" s="130">
        <f t="shared" si="384"/>
        <v>0</v>
      </c>
      <c r="M857" s="130">
        <f t="shared" si="384"/>
        <v>0</v>
      </c>
      <c r="N857" s="130">
        <f t="shared" si="384"/>
        <v>0</v>
      </c>
      <c r="O857" s="309">
        <f t="shared" si="375"/>
        <v>0</v>
      </c>
      <c r="P857" s="111"/>
      <c r="Q857" s="108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1"/>
      <c r="AM857" s="111"/>
      <c r="AN857" s="111"/>
      <c r="AO857" s="111"/>
      <c r="AP857" s="111"/>
      <c r="AQ857" s="111"/>
      <c r="AR857" s="111"/>
      <c r="AS857" s="111"/>
      <c r="AT857" s="111"/>
      <c r="AU857" s="111"/>
      <c r="AV857" s="111"/>
      <c r="AW857" s="111"/>
      <c r="AX857" s="111"/>
      <c r="AY857" s="111"/>
      <c r="AZ857" s="111"/>
      <c r="BA857" s="111"/>
      <c r="BB857" s="111"/>
      <c r="BC857" s="111"/>
      <c r="BD857" s="111"/>
      <c r="BE857" s="111"/>
      <c r="BF857" s="111"/>
      <c r="BG857" s="111"/>
      <c r="BH857" s="111"/>
      <c r="BI857" s="111"/>
      <c r="BJ857" s="111"/>
      <c r="BK857" s="111"/>
      <c r="BL857" s="111"/>
      <c r="BM857" s="111"/>
      <c r="BN857" s="111"/>
      <c r="BO857" s="111"/>
      <c r="BP857" s="111"/>
      <c r="BQ857" s="111"/>
      <c r="BR857" s="111"/>
      <c r="BS857" s="111"/>
      <c r="BT857" s="111"/>
      <c r="BU857" s="111"/>
      <c r="BV857" s="111"/>
    </row>
    <row r="858" spans="1:74" s="68" customFormat="1" ht="42.75" x14ac:dyDescent="0.2">
      <c r="A858" s="76" t="s">
        <v>1256</v>
      </c>
      <c r="B858" s="77" t="s">
        <v>1061</v>
      </c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309">
        <f t="shared" si="375"/>
        <v>0</v>
      </c>
      <c r="P858" s="67"/>
      <c r="Q858" s="108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7"/>
      <c r="AL858" s="67"/>
      <c r="AM858" s="67"/>
      <c r="AN858" s="67"/>
      <c r="AO858" s="67"/>
      <c r="AP858" s="67"/>
      <c r="AQ858" s="67"/>
      <c r="AR858" s="67"/>
      <c r="AS858" s="67"/>
      <c r="AT858" s="67"/>
      <c r="AU858" s="67"/>
      <c r="AV858" s="67"/>
      <c r="AW858" s="67"/>
      <c r="AX858" s="67"/>
      <c r="AY858" s="67"/>
      <c r="AZ858" s="67"/>
      <c r="BA858" s="67"/>
      <c r="BB858" s="67"/>
      <c r="BC858" s="67"/>
      <c r="BD858" s="67"/>
      <c r="BE858" s="67"/>
      <c r="BF858" s="67"/>
      <c r="BG858" s="67"/>
      <c r="BH858" s="67"/>
      <c r="BI858" s="67"/>
      <c r="BJ858" s="67"/>
      <c r="BK858" s="67"/>
      <c r="BL858" s="67"/>
      <c r="BM858" s="67"/>
      <c r="BN858" s="67"/>
      <c r="BO858" s="67"/>
      <c r="BP858" s="67"/>
      <c r="BQ858" s="67"/>
      <c r="BR858" s="67"/>
      <c r="BS858" s="67"/>
      <c r="BT858" s="67"/>
      <c r="BU858" s="67"/>
      <c r="BV858" s="67"/>
    </row>
    <row r="859" spans="1:74" s="68" customFormat="1" ht="31.5" x14ac:dyDescent="0.2">
      <c r="A859" s="81" t="s">
        <v>636</v>
      </c>
      <c r="B859" s="79" t="s">
        <v>1050</v>
      </c>
      <c r="C859" s="130">
        <f t="shared" ref="C859:N859" si="385">+C860</f>
        <v>0</v>
      </c>
      <c r="D859" s="130">
        <f t="shared" si="385"/>
        <v>0</v>
      </c>
      <c r="E859" s="130">
        <f t="shared" si="385"/>
        <v>0</v>
      </c>
      <c r="F859" s="130">
        <f t="shared" si="385"/>
        <v>0</v>
      </c>
      <c r="G859" s="130">
        <f t="shared" si="385"/>
        <v>0</v>
      </c>
      <c r="H859" s="130">
        <f t="shared" si="385"/>
        <v>0</v>
      </c>
      <c r="I859" s="130">
        <f t="shared" si="385"/>
        <v>0</v>
      </c>
      <c r="J859" s="130">
        <f t="shared" si="385"/>
        <v>0</v>
      </c>
      <c r="K859" s="130">
        <f t="shared" si="385"/>
        <v>0</v>
      </c>
      <c r="L859" s="130">
        <f t="shared" si="385"/>
        <v>0</v>
      </c>
      <c r="M859" s="130">
        <f t="shared" si="385"/>
        <v>0</v>
      </c>
      <c r="N859" s="130">
        <f t="shared" si="385"/>
        <v>0</v>
      </c>
      <c r="O859" s="309">
        <f t="shared" si="375"/>
        <v>0</v>
      </c>
      <c r="P859" s="67"/>
      <c r="Q859" s="108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  <c r="AK859" s="67"/>
      <c r="AL859" s="67"/>
      <c r="AM859" s="67"/>
      <c r="AN859" s="67"/>
      <c r="AO859" s="67"/>
      <c r="AP859" s="67"/>
      <c r="AQ859" s="67"/>
      <c r="AR859" s="67"/>
      <c r="AS859" s="67"/>
      <c r="AT859" s="67"/>
      <c r="AU859" s="67"/>
      <c r="AV859" s="67"/>
      <c r="AW859" s="67"/>
      <c r="AX859" s="67"/>
      <c r="AY859" s="67"/>
      <c r="AZ859" s="67"/>
      <c r="BA859" s="67"/>
      <c r="BB859" s="67"/>
      <c r="BC859" s="67"/>
      <c r="BD859" s="67"/>
      <c r="BE859" s="67"/>
      <c r="BF859" s="67"/>
      <c r="BG859" s="67"/>
      <c r="BH859" s="67"/>
      <c r="BI859" s="67"/>
      <c r="BJ859" s="67"/>
      <c r="BK859" s="67"/>
      <c r="BL859" s="67"/>
      <c r="BM859" s="67"/>
      <c r="BN859" s="67"/>
      <c r="BO859" s="67"/>
      <c r="BP859" s="67"/>
      <c r="BQ859" s="67"/>
      <c r="BR859" s="67"/>
      <c r="BS859" s="67"/>
      <c r="BT859" s="67"/>
      <c r="BU859" s="67"/>
      <c r="BV859" s="67"/>
    </row>
    <row r="860" spans="1:74" s="68" customFormat="1" ht="31.5" x14ac:dyDescent="0.2">
      <c r="A860" s="81" t="s">
        <v>638</v>
      </c>
      <c r="B860" s="79" t="s">
        <v>1051</v>
      </c>
      <c r="C860" s="130">
        <f t="shared" ref="C860:N860" si="386">+C861+C867</f>
        <v>0</v>
      </c>
      <c r="D860" s="130">
        <f t="shared" si="386"/>
        <v>0</v>
      </c>
      <c r="E860" s="130">
        <f t="shared" si="386"/>
        <v>0</v>
      </c>
      <c r="F860" s="130">
        <f t="shared" si="386"/>
        <v>0</v>
      </c>
      <c r="G860" s="130">
        <f t="shared" si="386"/>
        <v>0</v>
      </c>
      <c r="H860" s="130">
        <f t="shared" si="386"/>
        <v>0</v>
      </c>
      <c r="I860" s="130">
        <f t="shared" si="386"/>
        <v>0</v>
      </c>
      <c r="J860" s="130">
        <f t="shared" si="386"/>
        <v>0</v>
      </c>
      <c r="K860" s="130">
        <f t="shared" si="386"/>
        <v>0</v>
      </c>
      <c r="L860" s="130">
        <f t="shared" si="386"/>
        <v>0</v>
      </c>
      <c r="M860" s="130">
        <f t="shared" si="386"/>
        <v>0</v>
      </c>
      <c r="N860" s="130">
        <f t="shared" si="386"/>
        <v>0</v>
      </c>
      <c r="O860" s="309">
        <f t="shared" si="375"/>
        <v>0</v>
      </c>
      <c r="P860" s="67"/>
      <c r="Q860" s="108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  <c r="AK860" s="67"/>
      <c r="AL860" s="67"/>
      <c r="AM860" s="67"/>
      <c r="AN860" s="67"/>
      <c r="AO860" s="67"/>
      <c r="AP860" s="67"/>
      <c r="AQ860" s="67"/>
      <c r="AR860" s="67"/>
      <c r="AS860" s="67"/>
      <c r="AT860" s="67"/>
      <c r="AU860" s="67"/>
      <c r="AV860" s="67"/>
      <c r="AW860" s="67"/>
      <c r="AX860" s="67"/>
      <c r="AY860" s="67"/>
      <c r="AZ860" s="67"/>
      <c r="BA860" s="67"/>
      <c r="BB860" s="67"/>
      <c r="BC860" s="67"/>
      <c r="BD860" s="67"/>
      <c r="BE860" s="67"/>
      <c r="BF860" s="67"/>
      <c r="BG860" s="67"/>
      <c r="BH860" s="67"/>
      <c r="BI860" s="67"/>
      <c r="BJ860" s="67"/>
      <c r="BK860" s="67"/>
      <c r="BL860" s="67"/>
      <c r="BM860" s="67"/>
      <c r="BN860" s="67"/>
      <c r="BO860" s="67"/>
      <c r="BP860" s="67"/>
      <c r="BQ860" s="67"/>
      <c r="BR860" s="67"/>
      <c r="BS860" s="67"/>
      <c r="BT860" s="67"/>
      <c r="BU860" s="67"/>
      <c r="BV860" s="67"/>
    </row>
    <row r="861" spans="1:74" s="68" customFormat="1" ht="31.5" x14ac:dyDescent="0.2">
      <c r="A861" s="81" t="s">
        <v>1052</v>
      </c>
      <c r="B861" s="79" t="s">
        <v>974</v>
      </c>
      <c r="C861" s="130">
        <f>SUM(C862:C866)</f>
        <v>0</v>
      </c>
      <c r="D861" s="130">
        <f t="shared" ref="D861:N861" si="387">SUM(D862:D866)</f>
        <v>0</v>
      </c>
      <c r="E861" s="130">
        <f t="shared" si="387"/>
        <v>0</v>
      </c>
      <c r="F861" s="130">
        <f t="shared" si="387"/>
        <v>0</v>
      </c>
      <c r="G861" s="130">
        <f t="shared" si="387"/>
        <v>0</v>
      </c>
      <c r="H861" s="130">
        <f t="shared" si="387"/>
        <v>0</v>
      </c>
      <c r="I861" s="130">
        <f t="shared" si="387"/>
        <v>0</v>
      </c>
      <c r="J861" s="130">
        <f t="shared" si="387"/>
        <v>0</v>
      </c>
      <c r="K861" s="130">
        <f t="shared" si="387"/>
        <v>0</v>
      </c>
      <c r="L861" s="130">
        <f t="shared" si="387"/>
        <v>0</v>
      </c>
      <c r="M861" s="130">
        <f t="shared" si="387"/>
        <v>0</v>
      </c>
      <c r="N861" s="130">
        <f t="shared" si="387"/>
        <v>0</v>
      </c>
      <c r="O861" s="309">
        <f t="shared" si="375"/>
        <v>0</v>
      </c>
      <c r="P861" s="67"/>
      <c r="Q861" s="108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  <c r="AK861" s="67"/>
      <c r="AL861" s="67"/>
      <c r="AM861" s="67"/>
      <c r="AN861" s="67"/>
      <c r="AO861" s="67"/>
      <c r="AP861" s="67"/>
      <c r="AQ861" s="67"/>
      <c r="AR861" s="67"/>
      <c r="AS861" s="67"/>
      <c r="AT861" s="67"/>
      <c r="AU861" s="67"/>
      <c r="AV861" s="67"/>
      <c r="AW861" s="67"/>
      <c r="AX861" s="67"/>
      <c r="AY861" s="67"/>
      <c r="AZ861" s="67"/>
      <c r="BA861" s="67"/>
      <c r="BB861" s="67"/>
      <c r="BC861" s="67"/>
      <c r="BD861" s="67"/>
      <c r="BE861" s="67"/>
      <c r="BF861" s="67"/>
      <c r="BG861" s="67"/>
      <c r="BH861" s="67"/>
      <c r="BI861" s="67"/>
      <c r="BJ861" s="67"/>
      <c r="BK861" s="67"/>
      <c r="BL861" s="67"/>
      <c r="BM861" s="67"/>
      <c r="BN861" s="67"/>
      <c r="BO861" s="67"/>
      <c r="BP861" s="67"/>
      <c r="BQ861" s="67"/>
      <c r="BR861" s="67"/>
      <c r="BS861" s="67"/>
      <c r="BT861" s="67"/>
      <c r="BU861" s="67"/>
      <c r="BV861" s="67"/>
    </row>
    <row r="862" spans="1:74" s="68" customFormat="1" ht="28.5" x14ac:dyDescent="0.2">
      <c r="A862" s="76" t="s">
        <v>1053</v>
      </c>
      <c r="B862" s="77" t="s">
        <v>378</v>
      </c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309">
        <f t="shared" si="375"/>
        <v>0</v>
      </c>
      <c r="P862" s="67"/>
      <c r="Q862" s="108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7"/>
      <c r="AL862" s="67"/>
      <c r="AM862" s="67"/>
      <c r="AN862" s="67"/>
      <c r="AO862" s="67"/>
      <c r="AP862" s="67"/>
      <c r="AQ862" s="67"/>
      <c r="AR862" s="67"/>
      <c r="AS862" s="67"/>
      <c r="AT862" s="67"/>
      <c r="AU862" s="67"/>
      <c r="AV862" s="67"/>
      <c r="AW862" s="67"/>
      <c r="AX862" s="67"/>
      <c r="AY862" s="67"/>
      <c r="AZ862" s="67"/>
      <c r="BA862" s="67"/>
      <c r="BB862" s="67"/>
      <c r="BC862" s="67"/>
      <c r="BD862" s="67"/>
      <c r="BE862" s="67"/>
      <c r="BF862" s="67"/>
      <c r="BG862" s="67"/>
      <c r="BH862" s="67"/>
      <c r="BI862" s="67"/>
      <c r="BJ862" s="67"/>
      <c r="BK862" s="67"/>
      <c r="BL862" s="67"/>
      <c r="BM862" s="67"/>
      <c r="BN862" s="67"/>
      <c r="BO862" s="67"/>
      <c r="BP862" s="67"/>
      <c r="BQ862" s="67"/>
      <c r="BR862" s="67"/>
      <c r="BS862" s="67"/>
      <c r="BT862" s="67"/>
      <c r="BU862" s="67"/>
      <c r="BV862" s="67"/>
    </row>
    <row r="863" spans="1:74" s="68" customFormat="1" ht="28.5" x14ac:dyDescent="0.2">
      <c r="A863" s="76" t="s">
        <v>1053</v>
      </c>
      <c r="B863" s="77" t="s">
        <v>378</v>
      </c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309">
        <f t="shared" si="375"/>
        <v>0</v>
      </c>
      <c r="P863" s="67"/>
      <c r="Q863" s="108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  <c r="AK863" s="67"/>
      <c r="AL863" s="67"/>
      <c r="AM863" s="67"/>
      <c r="AN863" s="67"/>
      <c r="AO863" s="67"/>
      <c r="AP863" s="67"/>
      <c r="AQ863" s="67"/>
      <c r="AR863" s="67"/>
      <c r="AS863" s="67"/>
      <c r="AT863" s="67"/>
      <c r="AU863" s="67"/>
      <c r="AV863" s="67"/>
      <c r="AW863" s="67"/>
      <c r="AX863" s="67"/>
      <c r="AY863" s="67"/>
      <c r="AZ863" s="67"/>
      <c r="BA863" s="67"/>
      <c r="BB863" s="67"/>
      <c r="BC863" s="67"/>
      <c r="BD863" s="67"/>
      <c r="BE863" s="67"/>
      <c r="BF863" s="67"/>
      <c r="BG863" s="67"/>
      <c r="BH863" s="67"/>
      <c r="BI863" s="67"/>
      <c r="BJ863" s="67"/>
      <c r="BK863" s="67"/>
      <c r="BL863" s="67"/>
      <c r="BM863" s="67"/>
      <c r="BN863" s="67"/>
      <c r="BO863" s="67"/>
      <c r="BP863" s="67"/>
      <c r="BQ863" s="67"/>
      <c r="BR863" s="67"/>
      <c r="BS863" s="67"/>
      <c r="BT863" s="67"/>
      <c r="BU863" s="67"/>
      <c r="BV863" s="67"/>
    </row>
    <row r="864" spans="1:74" s="68" customFormat="1" ht="15.75" x14ac:dyDescent="0.2">
      <c r="A864" s="76" t="s">
        <v>1054</v>
      </c>
      <c r="B864" s="77" t="s">
        <v>1055</v>
      </c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309"/>
      <c r="P864" s="67"/>
      <c r="Q864" s="108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7"/>
      <c r="AL864" s="67"/>
      <c r="AM864" s="67"/>
      <c r="AN864" s="67"/>
      <c r="AO864" s="67"/>
      <c r="AP864" s="67"/>
      <c r="AQ864" s="67"/>
      <c r="AR864" s="67"/>
      <c r="AS864" s="67"/>
      <c r="AT864" s="67"/>
      <c r="AU864" s="67"/>
      <c r="AV864" s="67"/>
      <c r="AW864" s="67"/>
      <c r="AX864" s="67"/>
      <c r="AY864" s="67"/>
      <c r="AZ864" s="67"/>
      <c r="BA864" s="67"/>
      <c r="BB864" s="67"/>
      <c r="BC864" s="67"/>
      <c r="BD864" s="67"/>
      <c r="BE864" s="67"/>
      <c r="BF864" s="67"/>
      <c r="BG864" s="67"/>
      <c r="BH864" s="67"/>
      <c r="BI864" s="67"/>
      <c r="BJ864" s="67"/>
      <c r="BK864" s="67"/>
      <c r="BL864" s="67"/>
      <c r="BM864" s="67"/>
      <c r="BN864" s="67"/>
      <c r="BO864" s="67"/>
      <c r="BP864" s="67"/>
      <c r="BQ864" s="67"/>
      <c r="BR864" s="67"/>
      <c r="BS864" s="67"/>
      <c r="BT864" s="67"/>
      <c r="BU864" s="67"/>
      <c r="BV864" s="67"/>
    </row>
    <row r="865" spans="1:74" s="68" customFormat="1" ht="15.75" x14ac:dyDescent="0.2">
      <c r="A865" s="76" t="s">
        <v>1054</v>
      </c>
      <c r="B865" s="77" t="s">
        <v>1055</v>
      </c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309">
        <f t="shared" si="375"/>
        <v>0</v>
      </c>
      <c r="P865" s="67"/>
      <c r="Q865" s="108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  <c r="AK865" s="67"/>
      <c r="AL865" s="67"/>
      <c r="AM865" s="67"/>
      <c r="AN865" s="67"/>
      <c r="AO865" s="67"/>
      <c r="AP865" s="67"/>
      <c r="AQ865" s="67"/>
      <c r="AR865" s="67"/>
      <c r="AS865" s="67"/>
      <c r="AT865" s="67"/>
      <c r="AU865" s="67"/>
      <c r="AV865" s="67"/>
      <c r="AW865" s="67"/>
      <c r="AX865" s="67"/>
      <c r="AY865" s="67"/>
      <c r="AZ865" s="67"/>
      <c r="BA865" s="67"/>
      <c r="BB865" s="67"/>
      <c r="BC865" s="67"/>
      <c r="BD865" s="67"/>
      <c r="BE865" s="67"/>
      <c r="BF865" s="67"/>
      <c r="BG865" s="67"/>
      <c r="BH865" s="67"/>
      <c r="BI865" s="67"/>
      <c r="BJ865" s="67"/>
      <c r="BK865" s="67"/>
      <c r="BL865" s="67"/>
      <c r="BM865" s="67"/>
      <c r="BN865" s="67"/>
      <c r="BO865" s="67"/>
      <c r="BP865" s="67"/>
      <c r="BQ865" s="67"/>
      <c r="BR865" s="67"/>
      <c r="BS865" s="67"/>
      <c r="BT865" s="67"/>
      <c r="BU865" s="67"/>
      <c r="BV865" s="67"/>
    </row>
    <row r="866" spans="1:74" s="68" customFormat="1" ht="15.75" x14ac:dyDescent="0.2">
      <c r="A866" s="76" t="s">
        <v>1054</v>
      </c>
      <c r="B866" s="77" t="s">
        <v>1055</v>
      </c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309">
        <f t="shared" si="375"/>
        <v>0</v>
      </c>
      <c r="P866" s="67"/>
      <c r="Q866" s="108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  <c r="AK866" s="67"/>
      <c r="AL866" s="67"/>
      <c r="AM866" s="67"/>
      <c r="AN866" s="67"/>
      <c r="AO866" s="67"/>
      <c r="AP866" s="67"/>
      <c r="AQ866" s="67"/>
      <c r="AR866" s="67"/>
      <c r="AS866" s="67"/>
      <c r="AT866" s="67"/>
      <c r="AU866" s="67"/>
      <c r="AV866" s="67"/>
      <c r="AW866" s="67"/>
      <c r="AX866" s="67"/>
      <c r="AY866" s="67"/>
      <c r="AZ866" s="67"/>
      <c r="BA866" s="67"/>
      <c r="BB866" s="67"/>
      <c r="BC866" s="67"/>
      <c r="BD866" s="67"/>
      <c r="BE866" s="67"/>
      <c r="BF866" s="67"/>
      <c r="BG866" s="67"/>
      <c r="BH866" s="67"/>
      <c r="BI866" s="67"/>
      <c r="BJ866" s="67"/>
      <c r="BK866" s="67"/>
      <c r="BL866" s="67"/>
      <c r="BM866" s="67"/>
      <c r="BN866" s="67"/>
      <c r="BO866" s="67"/>
      <c r="BP866" s="67"/>
      <c r="BQ866" s="67"/>
      <c r="BR866" s="67"/>
      <c r="BS866" s="67"/>
      <c r="BT866" s="67"/>
      <c r="BU866" s="67"/>
      <c r="BV866" s="67"/>
    </row>
    <row r="867" spans="1:74" s="68" customFormat="1" ht="30" x14ac:dyDescent="0.2">
      <c r="A867" s="81" t="s">
        <v>1056</v>
      </c>
      <c r="B867" s="83" t="s">
        <v>375</v>
      </c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309">
        <f t="shared" si="375"/>
        <v>0</v>
      </c>
      <c r="P867" s="67"/>
      <c r="Q867" s="108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  <c r="AK867" s="67"/>
      <c r="AL867" s="67"/>
      <c r="AM867" s="67"/>
      <c r="AN867" s="67"/>
      <c r="AO867" s="67"/>
      <c r="AP867" s="67"/>
      <c r="AQ867" s="67"/>
      <c r="AR867" s="67"/>
      <c r="AS867" s="67"/>
      <c r="AT867" s="67"/>
      <c r="AU867" s="67"/>
      <c r="AV867" s="67"/>
      <c r="AW867" s="67"/>
      <c r="AX867" s="67"/>
      <c r="AY867" s="67"/>
      <c r="AZ867" s="67"/>
      <c r="BA867" s="67"/>
      <c r="BB867" s="67"/>
      <c r="BC867" s="67"/>
      <c r="BD867" s="67"/>
      <c r="BE867" s="67"/>
      <c r="BF867" s="67"/>
      <c r="BG867" s="67"/>
      <c r="BH867" s="67"/>
      <c r="BI867" s="67"/>
      <c r="BJ867" s="67"/>
      <c r="BK867" s="67"/>
      <c r="BL867" s="67"/>
      <c r="BM867" s="67"/>
      <c r="BN867" s="67"/>
      <c r="BO867" s="67"/>
      <c r="BP867" s="67"/>
      <c r="BQ867" s="67"/>
      <c r="BR867" s="67"/>
      <c r="BS867" s="67"/>
      <c r="BT867" s="67"/>
      <c r="BU867" s="67"/>
      <c r="BV867" s="67"/>
    </row>
    <row r="868" spans="1:74" s="112" customFormat="1" ht="47.25" x14ac:dyDescent="0.2">
      <c r="A868" s="81" t="s">
        <v>1873</v>
      </c>
      <c r="B868" s="79" t="s">
        <v>1874</v>
      </c>
      <c r="C868" s="130">
        <f>+C869</f>
        <v>0</v>
      </c>
      <c r="D868" s="130">
        <f t="shared" ref="D868:N870" si="388">+D869</f>
        <v>0</v>
      </c>
      <c r="E868" s="130">
        <f t="shared" si="388"/>
        <v>0</v>
      </c>
      <c r="F868" s="130">
        <f t="shared" si="388"/>
        <v>0</v>
      </c>
      <c r="G868" s="130">
        <f t="shared" si="388"/>
        <v>0</v>
      </c>
      <c r="H868" s="130">
        <f t="shared" si="388"/>
        <v>3452090283.4400001</v>
      </c>
      <c r="I868" s="130">
        <f t="shared" si="388"/>
        <v>0</v>
      </c>
      <c r="J868" s="130">
        <f t="shared" si="388"/>
        <v>0</v>
      </c>
      <c r="K868" s="130">
        <f t="shared" si="388"/>
        <v>0</v>
      </c>
      <c r="L868" s="130">
        <f t="shared" si="388"/>
        <v>0</v>
      </c>
      <c r="M868" s="130">
        <f t="shared" si="388"/>
        <v>0</v>
      </c>
      <c r="N868" s="130">
        <f t="shared" si="388"/>
        <v>0</v>
      </c>
      <c r="O868" s="309">
        <f t="shared" si="375"/>
        <v>3452090283.4400001</v>
      </c>
      <c r="P868" s="111"/>
      <c r="Q868" s="63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1"/>
      <c r="AM868" s="111"/>
      <c r="AN868" s="111"/>
      <c r="AO868" s="111"/>
      <c r="AP868" s="111"/>
      <c r="AQ868" s="111"/>
      <c r="AR868" s="111"/>
      <c r="AS868" s="111"/>
      <c r="AT868" s="111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E868" s="111"/>
      <c r="BF868" s="111"/>
      <c r="BG868" s="111"/>
      <c r="BH868" s="111"/>
      <c r="BI868" s="111"/>
      <c r="BJ868" s="111"/>
      <c r="BK868" s="111"/>
      <c r="BL868" s="111"/>
      <c r="BM868" s="111"/>
      <c r="BN868" s="111"/>
      <c r="BO868" s="111"/>
      <c r="BP868" s="111"/>
      <c r="BQ868" s="111"/>
      <c r="BR868" s="111"/>
      <c r="BS868" s="111"/>
      <c r="BT868" s="111"/>
      <c r="BU868" s="111"/>
      <c r="BV868" s="111"/>
    </row>
    <row r="869" spans="1:74" s="112" customFormat="1" ht="47.25" x14ac:dyDescent="0.2">
      <c r="A869" s="81" t="s">
        <v>1875</v>
      </c>
      <c r="B869" s="79" t="s">
        <v>1876</v>
      </c>
      <c r="C869" s="130">
        <f>+C870</f>
        <v>0</v>
      </c>
      <c r="D869" s="130">
        <f t="shared" si="388"/>
        <v>0</v>
      </c>
      <c r="E869" s="130">
        <f t="shared" si="388"/>
        <v>0</v>
      </c>
      <c r="F869" s="130">
        <f t="shared" si="388"/>
        <v>0</v>
      </c>
      <c r="G869" s="130">
        <f t="shared" si="388"/>
        <v>0</v>
      </c>
      <c r="H869" s="130">
        <f t="shared" si="388"/>
        <v>3452090283.4400001</v>
      </c>
      <c r="I869" s="130">
        <f t="shared" si="388"/>
        <v>0</v>
      </c>
      <c r="J869" s="130">
        <f t="shared" si="388"/>
        <v>0</v>
      </c>
      <c r="K869" s="130">
        <f t="shared" si="388"/>
        <v>0</v>
      </c>
      <c r="L869" s="130">
        <f t="shared" si="388"/>
        <v>0</v>
      </c>
      <c r="M869" s="130">
        <f t="shared" si="388"/>
        <v>0</v>
      </c>
      <c r="N869" s="130">
        <f t="shared" si="388"/>
        <v>0</v>
      </c>
      <c r="O869" s="309">
        <f t="shared" si="375"/>
        <v>3452090283.4400001</v>
      </c>
      <c r="P869" s="111"/>
      <c r="Q869" s="63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1"/>
      <c r="AM869" s="111"/>
      <c r="AN869" s="111"/>
      <c r="AO869" s="111"/>
      <c r="AP869" s="111"/>
      <c r="AQ869" s="111"/>
      <c r="AR869" s="111"/>
      <c r="AS869" s="111"/>
      <c r="AT869" s="111"/>
      <c r="AU869" s="111"/>
      <c r="AV869" s="111"/>
      <c r="AW869" s="111"/>
      <c r="AX869" s="111"/>
      <c r="AY869" s="111"/>
      <c r="AZ869" s="111"/>
      <c r="BA869" s="111"/>
      <c r="BB869" s="111"/>
      <c r="BC869" s="111"/>
      <c r="BD869" s="111"/>
      <c r="BE869" s="111"/>
      <c r="BF869" s="111"/>
      <c r="BG869" s="111"/>
      <c r="BH869" s="111"/>
      <c r="BI869" s="111"/>
      <c r="BJ869" s="111"/>
      <c r="BK869" s="111"/>
      <c r="BL869" s="111"/>
      <c r="BM869" s="111"/>
      <c r="BN869" s="111"/>
      <c r="BO869" s="111"/>
      <c r="BP869" s="111"/>
      <c r="BQ869" s="111"/>
      <c r="BR869" s="111"/>
      <c r="BS869" s="111"/>
      <c r="BT869" s="111"/>
      <c r="BU869" s="111"/>
      <c r="BV869" s="111"/>
    </row>
    <row r="870" spans="1:74" s="112" customFormat="1" ht="47.25" x14ac:dyDescent="0.2">
      <c r="A870" s="81" t="s">
        <v>1877</v>
      </c>
      <c r="B870" s="79" t="s">
        <v>1878</v>
      </c>
      <c r="C870" s="130">
        <f>+C871</f>
        <v>0</v>
      </c>
      <c r="D870" s="130">
        <f t="shared" si="388"/>
        <v>0</v>
      </c>
      <c r="E870" s="130">
        <f t="shared" si="388"/>
        <v>0</v>
      </c>
      <c r="F870" s="130">
        <f t="shared" si="388"/>
        <v>0</v>
      </c>
      <c r="G870" s="130">
        <f t="shared" si="388"/>
        <v>0</v>
      </c>
      <c r="H870" s="130">
        <f t="shared" si="388"/>
        <v>3452090283.4400001</v>
      </c>
      <c r="I870" s="130">
        <f t="shared" si="388"/>
        <v>0</v>
      </c>
      <c r="J870" s="130">
        <f t="shared" si="388"/>
        <v>0</v>
      </c>
      <c r="K870" s="130">
        <f t="shared" si="388"/>
        <v>0</v>
      </c>
      <c r="L870" s="130">
        <f t="shared" si="388"/>
        <v>0</v>
      </c>
      <c r="M870" s="130">
        <f t="shared" si="388"/>
        <v>0</v>
      </c>
      <c r="N870" s="130">
        <f t="shared" si="388"/>
        <v>0</v>
      </c>
      <c r="O870" s="309">
        <f t="shared" si="375"/>
        <v>3452090283.4400001</v>
      </c>
      <c r="P870" s="111"/>
      <c r="Q870" s="63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1"/>
      <c r="AM870" s="111"/>
      <c r="AN870" s="111"/>
      <c r="AO870" s="111"/>
      <c r="AP870" s="111"/>
      <c r="AQ870" s="111"/>
      <c r="AR870" s="111"/>
      <c r="AS870" s="111"/>
      <c r="AT870" s="111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E870" s="111"/>
      <c r="BF870" s="111"/>
      <c r="BG870" s="111"/>
      <c r="BH870" s="111"/>
      <c r="BI870" s="111"/>
      <c r="BJ870" s="111"/>
      <c r="BK870" s="111"/>
      <c r="BL870" s="111"/>
      <c r="BM870" s="111"/>
      <c r="BN870" s="111"/>
      <c r="BO870" s="111"/>
      <c r="BP870" s="111"/>
      <c r="BQ870" s="111"/>
      <c r="BR870" s="111"/>
      <c r="BS870" s="111"/>
      <c r="BT870" s="111"/>
      <c r="BU870" s="111"/>
      <c r="BV870" s="111"/>
    </row>
    <row r="871" spans="1:74" s="317" customFormat="1" ht="15" x14ac:dyDescent="0.2">
      <c r="A871" s="76" t="s">
        <v>1879</v>
      </c>
      <c r="B871" s="77" t="s">
        <v>1880</v>
      </c>
      <c r="C871" s="131"/>
      <c r="D871" s="131"/>
      <c r="E871" s="131"/>
      <c r="F871" s="131"/>
      <c r="G871" s="131"/>
      <c r="H871" s="131">
        <v>3452090283.4400001</v>
      </c>
      <c r="I871" s="131"/>
      <c r="J871" s="131"/>
      <c r="K871" s="131"/>
      <c r="L871" s="131"/>
      <c r="M871" s="131"/>
      <c r="N871" s="131"/>
      <c r="O871" s="390">
        <f t="shared" si="375"/>
        <v>3452090283.4400001</v>
      </c>
      <c r="P871" s="116"/>
      <c r="Q871" s="1"/>
      <c r="R871" s="116"/>
      <c r="S871" s="116"/>
      <c r="T871" s="116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116"/>
      <c r="AE871" s="116"/>
      <c r="AF871" s="116"/>
      <c r="AG871" s="116"/>
      <c r="AH871" s="116"/>
      <c r="AI871" s="116"/>
      <c r="AJ871" s="116"/>
      <c r="AK871" s="116"/>
      <c r="AL871" s="116"/>
      <c r="AM871" s="116"/>
      <c r="AN871" s="116"/>
      <c r="AO871" s="116"/>
      <c r="AP871" s="116"/>
      <c r="AQ871" s="116"/>
      <c r="AR871" s="116"/>
      <c r="AS871" s="116"/>
      <c r="AT871" s="116"/>
      <c r="AU871" s="116"/>
      <c r="AV871" s="116"/>
      <c r="AW871" s="116"/>
      <c r="AX871" s="116"/>
      <c r="AY871" s="116"/>
      <c r="AZ871" s="116"/>
      <c r="BA871" s="116"/>
      <c r="BB871" s="116"/>
      <c r="BC871" s="116"/>
      <c r="BD871" s="116"/>
      <c r="BE871" s="116"/>
      <c r="BF871" s="116"/>
      <c r="BG871" s="116"/>
      <c r="BH871" s="116"/>
      <c r="BI871" s="116"/>
      <c r="BJ871" s="116"/>
      <c r="BK871" s="116"/>
      <c r="BL871" s="116"/>
      <c r="BM871" s="116"/>
      <c r="BN871" s="116"/>
      <c r="BO871" s="116"/>
      <c r="BP871" s="116"/>
      <c r="BQ871" s="116"/>
      <c r="BR871" s="116"/>
      <c r="BS871" s="116"/>
      <c r="BT871" s="116"/>
      <c r="BU871" s="116"/>
      <c r="BV871" s="116"/>
    </row>
    <row r="872" spans="1:74" s="68" customFormat="1" ht="31.5" x14ac:dyDescent="0.2">
      <c r="A872" s="81" t="s">
        <v>660</v>
      </c>
      <c r="B872" s="79" t="s">
        <v>1062</v>
      </c>
      <c r="C872" s="130">
        <f t="shared" ref="C872:N872" si="389">+C873</f>
        <v>0</v>
      </c>
      <c r="D872" s="130">
        <f t="shared" si="389"/>
        <v>0</v>
      </c>
      <c r="E872" s="130">
        <f t="shared" si="389"/>
        <v>0</v>
      </c>
      <c r="F872" s="130">
        <f t="shared" si="389"/>
        <v>0</v>
      </c>
      <c r="G872" s="130">
        <f t="shared" si="389"/>
        <v>0</v>
      </c>
      <c r="H872" s="130">
        <f t="shared" si="389"/>
        <v>0</v>
      </c>
      <c r="I872" s="130">
        <f t="shared" si="389"/>
        <v>0</v>
      </c>
      <c r="J872" s="130">
        <f t="shared" si="389"/>
        <v>0</v>
      </c>
      <c r="K872" s="130">
        <f t="shared" si="389"/>
        <v>0</v>
      </c>
      <c r="L872" s="130">
        <f t="shared" si="389"/>
        <v>0</v>
      </c>
      <c r="M872" s="130">
        <f t="shared" si="389"/>
        <v>0</v>
      </c>
      <c r="N872" s="130">
        <f t="shared" si="389"/>
        <v>0</v>
      </c>
      <c r="O872" s="93">
        <f t="shared" si="375"/>
        <v>0</v>
      </c>
      <c r="P872" s="67"/>
      <c r="Q872" s="108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7"/>
      <c r="AL872" s="67"/>
      <c r="AM872" s="67"/>
      <c r="AN872" s="67"/>
      <c r="AO872" s="67"/>
      <c r="AP872" s="67"/>
      <c r="AQ872" s="67"/>
      <c r="AR872" s="67"/>
      <c r="AS872" s="67"/>
      <c r="AT872" s="67"/>
      <c r="AU872" s="67"/>
      <c r="AV872" s="67"/>
      <c r="AW872" s="67"/>
      <c r="AX872" s="67"/>
      <c r="AY872" s="67"/>
      <c r="AZ872" s="67"/>
      <c r="BA872" s="67"/>
      <c r="BB872" s="67"/>
      <c r="BC872" s="67"/>
      <c r="BD872" s="67"/>
      <c r="BE872" s="67"/>
      <c r="BF872" s="67"/>
      <c r="BG872" s="67"/>
      <c r="BH872" s="67"/>
      <c r="BI872" s="67"/>
      <c r="BJ872" s="67"/>
      <c r="BK872" s="67"/>
      <c r="BL872" s="67"/>
      <c r="BM872" s="67"/>
      <c r="BN872" s="67"/>
      <c r="BO872" s="67"/>
      <c r="BP872" s="67"/>
      <c r="BQ872" s="67"/>
      <c r="BR872" s="67"/>
      <c r="BS872" s="67"/>
      <c r="BT872" s="67"/>
      <c r="BU872" s="67"/>
      <c r="BV872" s="67"/>
    </row>
    <row r="873" spans="1:74" s="68" customFormat="1" ht="31.5" x14ac:dyDescent="0.2">
      <c r="A873" s="81" t="s">
        <v>1063</v>
      </c>
      <c r="B873" s="79" t="s">
        <v>1064</v>
      </c>
      <c r="C873" s="130">
        <f t="shared" ref="C873:N873" si="390">+C874+C879+C884</f>
        <v>0</v>
      </c>
      <c r="D873" s="130">
        <f t="shared" si="390"/>
        <v>0</v>
      </c>
      <c r="E873" s="130">
        <f t="shared" si="390"/>
        <v>0</v>
      </c>
      <c r="F873" s="130">
        <f t="shared" si="390"/>
        <v>0</v>
      </c>
      <c r="G873" s="130">
        <f t="shared" si="390"/>
        <v>0</v>
      </c>
      <c r="H873" s="130">
        <f t="shared" si="390"/>
        <v>0</v>
      </c>
      <c r="I873" s="130">
        <f t="shared" si="390"/>
        <v>0</v>
      </c>
      <c r="J873" s="130">
        <f t="shared" si="390"/>
        <v>0</v>
      </c>
      <c r="K873" s="130">
        <f t="shared" si="390"/>
        <v>0</v>
      </c>
      <c r="L873" s="130">
        <f t="shared" si="390"/>
        <v>0</v>
      </c>
      <c r="M873" s="130">
        <f t="shared" si="390"/>
        <v>0</v>
      </c>
      <c r="N873" s="130">
        <f t="shared" si="390"/>
        <v>0</v>
      </c>
      <c r="O873" s="93">
        <f t="shared" si="375"/>
        <v>0</v>
      </c>
      <c r="P873" s="67"/>
      <c r="Q873" s="108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  <c r="AK873" s="67"/>
      <c r="AL873" s="67"/>
      <c r="AM873" s="67"/>
      <c r="AN873" s="67"/>
      <c r="AO873" s="67"/>
      <c r="AP873" s="67"/>
      <c r="AQ873" s="67"/>
      <c r="AR873" s="67"/>
      <c r="AS873" s="67"/>
      <c r="AT873" s="67"/>
      <c r="AU873" s="67"/>
      <c r="AV873" s="67"/>
      <c r="AW873" s="67"/>
      <c r="AX873" s="67"/>
      <c r="AY873" s="67"/>
      <c r="AZ873" s="67"/>
      <c r="BA873" s="67"/>
      <c r="BB873" s="67"/>
      <c r="BC873" s="67"/>
      <c r="BD873" s="67"/>
      <c r="BE873" s="67"/>
      <c r="BF873" s="67"/>
      <c r="BG873" s="67"/>
      <c r="BH873" s="67"/>
      <c r="BI873" s="67"/>
      <c r="BJ873" s="67"/>
      <c r="BK873" s="67"/>
      <c r="BL873" s="67"/>
      <c r="BM873" s="67"/>
      <c r="BN873" s="67"/>
      <c r="BO873" s="67"/>
      <c r="BP873" s="67"/>
      <c r="BQ873" s="67"/>
      <c r="BR873" s="67"/>
      <c r="BS873" s="67"/>
      <c r="BT873" s="67"/>
      <c r="BU873" s="67"/>
      <c r="BV873" s="67"/>
    </row>
    <row r="874" spans="1:74" s="68" customFormat="1" ht="47.25" x14ac:dyDescent="0.2">
      <c r="A874" s="81" t="s">
        <v>1065</v>
      </c>
      <c r="B874" s="79" t="s">
        <v>1066</v>
      </c>
      <c r="C874" s="130">
        <f t="shared" ref="C874:N874" si="391">SUM(C875:C877)</f>
        <v>0</v>
      </c>
      <c r="D874" s="130">
        <f t="shared" si="391"/>
        <v>0</v>
      </c>
      <c r="E874" s="130">
        <f t="shared" si="391"/>
        <v>0</v>
      </c>
      <c r="F874" s="130">
        <f t="shared" si="391"/>
        <v>0</v>
      </c>
      <c r="G874" s="130">
        <f t="shared" si="391"/>
        <v>0</v>
      </c>
      <c r="H874" s="130">
        <f t="shared" si="391"/>
        <v>0</v>
      </c>
      <c r="I874" s="130">
        <f t="shared" si="391"/>
        <v>0</v>
      </c>
      <c r="J874" s="130">
        <f t="shared" si="391"/>
        <v>0</v>
      </c>
      <c r="K874" s="130">
        <f t="shared" si="391"/>
        <v>0</v>
      </c>
      <c r="L874" s="130">
        <f t="shared" si="391"/>
        <v>0</v>
      </c>
      <c r="M874" s="130">
        <f t="shared" si="391"/>
        <v>0</v>
      </c>
      <c r="N874" s="130">
        <f t="shared" si="391"/>
        <v>0</v>
      </c>
      <c r="O874" s="93">
        <f t="shared" si="375"/>
        <v>0</v>
      </c>
      <c r="P874" s="67"/>
      <c r="Q874" s="108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7"/>
      <c r="AL874" s="67"/>
      <c r="AM874" s="67"/>
      <c r="AN874" s="67"/>
      <c r="AO874" s="67"/>
      <c r="AP874" s="67"/>
      <c r="AQ874" s="67"/>
      <c r="AR874" s="67"/>
      <c r="AS874" s="67"/>
      <c r="AT874" s="67"/>
      <c r="AU874" s="67"/>
      <c r="AV874" s="67"/>
      <c r="AW874" s="67"/>
      <c r="AX874" s="67"/>
      <c r="AY874" s="67"/>
      <c r="AZ874" s="67"/>
      <c r="BA874" s="67"/>
      <c r="BB874" s="67"/>
      <c r="BC874" s="67"/>
      <c r="BD874" s="67"/>
      <c r="BE874" s="67"/>
      <c r="BF874" s="67"/>
      <c r="BG874" s="67"/>
      <c r="BH874" s="67"/>
      <c r="BI874" s="67"/>
      <c r="BJ874" s="67"/>
      <c r="BK874" s="67"/>
      <c r="BL874" s="67"/>
      <c r="BM874" s="67"/>
      <c r="BN874" s="67"/>
      <c r="BO874" s="67"/>
      <c r="BP874" s="67"/>
      <c r="BQ874" s="67"/>
      <c r="BR874" s="67"/>
      <c r="BS874" s="67"/>
      <c r="BT874" s="67"/>
      <c r="BU874" s="67"/>
      <c r="BV874" s="67"/>
    </row>
    <row r="875" spans="1:74" s="68" customFormat="1" ht="28.5" x14ac:dyDescent="0.2">
      <c r="A875" s="76" t="s">
        <v>1067</v>
      </c>
      <c r="B875" s="77" t="s">
        <v>375</v>
      </c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93">
        <f t="shared" si="375"/>
        <v>0</v>
      </c>
      <c r="P875" s="67"/>
      <c r="Q875" s="108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67"/>
      <c r="AM875" s="67"/>
      <c r="AN875" s="67"/>
      <c r="AO875" s="67"/>
      <c r="AP875" s="67"/>
      <c r="AQ875" s="67"/>
      <c r="AR875" s="67"/>
      <c r="AS875" s="67"/>
      <c r="AT875" s="67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  <c r="BE875" s="67"/>
      <c r="BF875" s="67"/>
      <c r="BG875" s="67"/>
      <c r="BH875" s="67"/>
      <c r="BI875" s="67"/>
      <c r="BJ875" s="67"/>
      <c r="BK875" s="67"/>
      <c r="BL875" s="67"/>
      <c r="BM875" s="67"/>
      <c r="BN875" s="67"/>
      <c r="BO875" s="67"/>
      <c r="BP875" s="67"/>
      <c r="BQ875" s="67"/>
      <c r="BR875" s="67"/>
      <c r="BS875" s="67"/>
      <c r="BT875" s="67"/>
      <c r="BU875" s="67"/>
      <c r="BV875" s="67"/>
    </row>
    <row r="876" spans="1:74" s="68" customFormat="1" ht="28.5" x14ac:dyDescent="0.2">
      <c r="A876" s="76" t="s">
        <v>1068</v>
      </c>
      <c r="B876" s="77" t="s">
        <v>375</v>
      </c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93">
        <f t="shared" si="375"/>
        <v>0</v>
      </c>
      <c r="P876" s="67"/>
      <c r="Q876" s="108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  <c r="AK876" s="67"/>
      <c r="AL876" s="67"/>
      <c r="AM876" s="67"/>
      <c r="AN876" s="67"/>
      <c r="AO876" s="67"/>
      <c r="AP876" s="67"/>
      <c r="AQ876" s="67"/>
      <c r="AR876" s="67"/>
      <c r="AS876" s="67"/>
      <c r="AT876" s="67"/>
      <c r="AU876" s="67"/>
      <c r="AV876" s="67"/>
      <c r="AW876" s="67"/>
      <c r="AX876" s="67"/>
      <c r="AY876" s="67"/>
      <c r="AZ876" s="67"/>
      <c r="BA876" s="67"/>
      <c r="BB876" s="67"/>
      <c r="BC876" s="67"/>
      <c r="BD876" s="67"/>
      <c r="BE876" s="67"/>
      <c r="BF876" s="67"/>
      <c r="BG876" s="67"/>
      <c r="BH876" s="67"/>
      <c r="BI876" s="67"/>
      <c r="BJ876" s="67"/>
      <c r="BK876" s="67"/>
      <c r="BL876" s="67"/>
      <c r="BM876" s="67"/>
      <c r="BN876" s="67"/>
      <c r="BO876" s="67"/>
      <c r="BP876" s="67"/>
      <c r="BQ876" s="67"/>
      <c r="BR876" s="67"/>
      <c r="BS876" s="67"/>
      <c r="BT876" s="67"/>
      <c r="BU876" s="67"/>
      <c r="BV876" s="67"/>
    </row>
    <row r="877" spans="1:74" s="68" customFormat="1" ht="31.5" x14ac:dyDescent="0.2">
      <c r="A877" s="81" t="s">
        <v>1069</v>
      </c>
      <c r="B877" s="79" t="s">
        <v>377</v>
      </c>
      <c r="C877" s="130">
        <f t="shared" ref="C877:N877" si="392">+C878</f>
        <v>0</v>
      </c>
      <c r="D877" s="130">
        <f t="shared" si="392"/>
        <v>0</v>
      </c>
      <c r="E877" s="130">
        <f t="shared" si="392"/>
        <v>0</v>
      </c>
      <c r="F877" s="130">
        <f t="shared" si="392"/>
        <v>0</v>
      </c>
      <c r="G877" s="130">
        <f t="shared" si="392"/>
        <v>0</v>
      </c>
      <c r="H877" s="130">
        <f t="shared" si="392"/>
        <v>0</v>
      </c>
      <c r="I877" s="130">
        <f t="shared" si="392"/>
        <v>0</v>
      </c>
      <c r="J877" s="130">
        <f t="shared" si="392"/>
        <v>0</v>
      </c>
      <c r="K877" s="130">
        <f t="shared" si="392"/>
        <v>0</v>
      </c>
      <c r="L877" s="130">
        <f t="shared" si="392"/>
        <v>0</v>
      </c>
      <c r="M877" s="130">
        <f t="shared" si="392"/>
        <v>0</v>
      </c>
      <c r="N877" s="130">
        <f t="shared" si="392"/>
        <v>0</v>
      </c>
      <c r="O877" s="93">
        <f t="shared" si="375"/>
        <v>0</v>
      </c>
      <c r="P877" s="67"/>
      <c r="Q877" s="108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  <c r="AK877" s="67"/>
      <c r="AL877" s="67"/>
      <c r="AM877" s="67"/>
      <c r="AN877" s="67"/>
      <c r="AO877" s="67"/>
      <c r="AP877" s="67"/>
      <c r="AQ877" s="67"/>
      <c r="AR877" s="67"/>
      <c r="AS877" s="67"/>
      <c r="AT877" s="67"/>
      <c r="AU877" s="67"/>
      <c r="AV877" s="67"/>
      <c r="AW877" s="67"/>
      <c r="AX877" s="67"/>
      <c r="AY877" s="67"/>
      <c r="AZ877" s="67"/>
      <c r="BA877" s="67"/>
      <c r="BB877" s="67"/>
      <c r="BC877" s="67"/>
      <c r="BD877" s="67"/>
      <c r="BE877" s="67"/>
      <c r="BF877" s="67"/>
      <c r="BG877" s="67"/>
      <c r="BH877" s="67"/>
      <c r="BI877" s="67"/>
      <c r="BJ877" s="67"/>
      <c r="BK877" s="67"/>
      <c r="BL877" s="67"/>
      <c r="BM877" s="67"/>
      <c r="BN877" s="67"/>
      <c r="BO877" s="67"/>
      <c r="BP877" s="67"/>
      <c r="BQ877" s="67"/>
      <c r="BR877" s="67"/>
      <c r="BS877" s="67"/>
      <c r="BT877" s="67"/>
      <c r="BU877" s="67"/>
      <c r="BV877" s="67"/>
    </row>
    <row r="878" spans="1:74" s="68" customFormat="1" ht="30" x14ac:dyDescent="0.2">
      <c r="A878" s="82" t="s">
        <v>1070</v>
      </c>
      <c r="B878" s="83" t="s">
        <v>378</v>
      </c>
      <c r="C878" s="132"/>
      <c r="D878" s="132"/>
      <c r="E878" s="132"/>
      <c r="F878" s="132"/>
      <c r="G878" s="132"/>
      <c r="H878" s="132"/>
      <c r="I878" s="132"/>
      <c r="J878" s="132"/>
      <c r="K878" s="132"/>
      <c r="L878" s="132"/>
      <c r="M878" s="132"/>
      <c r="N878" s="132"/>
      <c r="O878" s="93">
        <f t="shared" si="375"/>
        <v>0</v>
      </c>
      <c r="P878" s="67"/>
      <c r="Q878" s="108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  <c r="AK878" s="67"/>
      <c r="AL878" s="67"/>
      <c r="AM878" s="67"/>
      <c r="AN878" s="67"/>
      <c r="AO878" s="67"/>
      <c r="AP878" s="67"/>
      <c r="AQ878" s="67"/>
      <c r="AR878" s="67"/>
      <c r="AS878" s="67"/>
      <c r="AT878" s="67"/>
      <c r="AU878" s="67"/>
      <c r="AV878" s="67"/>
      <c r="AW878" s="67"/>
      <c r="AX878" s="67"/>
      <c r="AY878" s="67"/>
      <c r="AZ878" s="67"/>
      <c r="BA878" s="67"/>
      <c r="BB878" s="67"/>
      <c r="BC878" s="67"/>
      <c r="BD878" s="67"/>
      <c r="BE878" s="67"/>
      <c r="BF878" s="67"/>
      <c r="BG878" s="67"/>
      <c r="BH878" s="67"/>
      <c r="BI878" s="67"/>
      <c r="BJ878" s="67"/>
      <c r="BK878" s="67"/>
      <c r="BL878" s="67"/>
      <c r="BM878" s="67"/>
      <c r="BN878" s="67"/>
      <c r="BO878" s="67"/>
      <c r="BP878" s="67"/>
      <c r="BQ878" s="67"/>
      <c r="BR878" s="67"/>
      <c r="BS878" s="67"/>
      <c r="BT878" s="67"/>
      <c r="BU878" s="67"/>
      <c r="BV878" s="67"/>
    </row>
    <row r="879" spans="1:74" s="68" customFormat="1" ht="63" x14ac:dyDescent="0.2">
      <c r="A879" s="81" t="s">
        <v>1071</v>
      </c>
      <c r="B879" s="79" t="s">
        <v>1072</v>
      </c>
      <c r="C879" s="130">
        <f t="shared" ref="C879:N879" si="393">SUM(C880:C882)</f>
        <v>0</v>
      </c>
      <c r="D879" s="130">
        <f t="shared" si="393"/>
        <v>0</v>
      </c>
      <c r="E879" s="130">
        <f t="shared" si="393"/>
        <v>0</v>
      </c>
      <c r="F879" s="130">
        <f t="shared" si="393"/>
        <v>0</v>
      </c>
      <c r="G879" s="130">
        <f t="shared" si="393"/>
        <v>0</v>
      </c>
      <c r="H879" s="130">
        <f t="shared" si="393"/>
        <v>0</v>
      </c>
      <c r="I879" s="130">
        <f t="shared" si="393"/>
        <v>0</v>
      </c>
      <c r="J879" s="130">
        <f t="shared" si="393"/>
        <v>0</v>
      </c>
      <c r="K879" s="130">
        <f t="shared" si="393"/>
        <v>0</v>
      </c>
      <c r="L879" s="130">
        <f t="shared" si="393"/>
        <v>0</v>
      </c>
      <c r="M879" s="130">
        <f t="shared" si="393"/>
        <v>0</v>
      </c>
      <c r="N879" s="130">
        <f t="shared" si="393"/>
        <v>0</v>
      </c>
      <c r="O879" s="93">
        <f t="shared" si="375"/>
        <v>0</v>
      </c>
      <c r="P879" s="67"/>
      <c r="Q879" s="108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  <c r="AK879" s="67"/>
      <c r="AL879" s="67"/>
      <c r="AM879" s="67"/>
      <c r="AN879" s="67"/>
      <c r="AO879" s="67"/>
      <c r="AP879" s="67"/>
      <c r="AQ879" s="67"/>
      <c r="AR879" s="67"/>
      <c r="AS879" s="67"/>
      <c r="AT879" s="67"/>
      <c r="AU879" s="67"/>
      <c r="AV879" s="67"/>
      <c r="AW879" s="67"/>
      <c r="AX879" s="67"/>
      <c r="AY879" s="67"/>
      <c r="AZ879" s="67"/>
      <c r="BA879" s="67"/>
      <c r="BB879" s="67"/>
      <c r="BC879" s="67"/>
      <c r="BD879" s="67"/>
      <c r="BE879" s="67"/>
      <c r="BF879" s="67"/>
      <c r="BG879" s="67"/>
      <c r="BH879" s="67"/>
      <c r="BI879" s="67"/>
      <c r="BJ879" s="67"/>
      <c r="BK879" s="67"/>
      <c r="BL879" s="67"/>
      <c r="BM879" s="67"/>
      <c r="BN879" s="67"/>
      <c r="BO879" s="67"/>
      <c r="BP879" s="67"/>
      <c r="BQ879" s="67"/>
      <c r="BR879" s="67"/>
      <c r="BS879" s="67"/>
      <c r="BT879" s="67"/>
      <c r="BU879" s="67"/>
      <c r="BV879" s="67"/>
    </row>
    <row r="880" spans="1:74" s="68" customFormat="1" ht="30" x14ac:dyDescent="0.2">
      <c r="A880" s="82" t="s">
        <v>1073</v>
      </c>
      <c r="B880" s="83" t="s">
        <v>375</v>
      </c>
      <c r="C880" s="132"/>
      <c r="D880" s="132"/>
      <c r="E880" s="132"/>
      <c r="F880" s="132"/>
      <c r="G880" s="132"/>
      <c r="H880" s="132"/>
      <c r="I880" s="132"/>
      <c r="J880" s="132"/>
      <c r="K880" s="132"/>
      <c r="L880" s="132"/>
      <c r="M880" s="132"/>
      <c r="N880" s="132"/>
      <c r="O880" s="93">
        <f t="shared" si="375"/>
        <v>0</v>
      </c>
      <c r="P880" s="67"/>
      <c r="Q880" s="108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  <c r="AK880" s="67"/>
      <c r="AL880" s="67"/>
      <c r="AM880" s="67"/>
      <c r="AN880" s="67"/>
      <c r="AO880" s="67"/>
      <c r="AP880" s="67"/>
      <c r="AQ880" s="67"/>
      <c r="AR880" s="67"/>
      <c r="AS880" s="67"/>
      <c r="AT880" s="67"/>
      <c r="AU880" s="67"/>
      <c r="AV880" s="67"/>
      <c r="AW880" s="67"/>
      <c r="AX880" s="67"/>
      <c r="AY880" s="67"/>
      <c r="AZ880" s="67"/>
      <c r="BA880" s="67"/>
      <c r="BB880" s="67"/>
      <c r="BC880" s="67"/>
      <c r="BD880" s="67"/>
      <c r="BE880" s="67"/>
      <c r="BF880" s="67"/>
      <c r="BG880" s="67"/>
      <c r="BH880" s="67"/>
      <c r="BI880" s="67"/>
      <c r="BJ880" s="67"/>
      <c r="BK880" s="67"/>
      <c r="BL880" s="67"/>
      <c r="BM880" s="67"/>
      <c r="BN880" s="67"/>
      <c r="BO880" s="67"/>
      <c r="BP880" s="67"/>
      <c r="BQ880" s="67"/>
      <c r="BR880" s="67"/>
      <c r="BS880" s="67"/>
      <c r="BT880" s="67"/>
      <c r="BU880" s="67"/>
      <c r="BV880" s="67"/>
    </row>
    <row r="881" spans="1:74" s="68" customFormat="1" ht="30" x14ac:dyDescent="0.2">
      <c r="A881" s="82" t="s">
        <v>1074</v>
      </c>
      <c r="B881" s="83" t="s">
        <v>375</v>
      </c>
      <c r="C881" s="132"/>
      <c r="D881" s="132"/>
      <c r="E881" s="132"/>
      <c r="F881" s="132"/>
      <c r="G881" s="132"/>
      <c r="H881" s="132"/>
      <c r="I881" s="132"/>
      <c r="J881" s="132"/>
      <c r="K881" s="132"/>
      <c r="L881" s="132"/>
      <c r="M881" s="132"/>
      <c r="N881" s="132"/>
      <c r="O881" s="93">
        <f t="shared" si="375"/>
        <v>0</v>
      </c>
      <c r="P881" s="67"/>
      <c r="Q881" s="108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  <c r="AK881" s="67"/>
      <c r="AL881" s="67"/>
      <c r="AM881" s="67"/>
      <c r="AN881" s="67"/>
      <c r="AO881" s="67"/>
      <c r="AP881" s="67"/>
      <c r="AQ881" s="67"/>
      <c r="AR881" s="67"/>
      <c r="AS881" s="67"/>
      <c r="AT881" s="67"/>
      <c r="AU881" s="67"/>
      <c r="AV881" s="67"/>
      <c r="AW881" s="67"/>
      <c r="AX881" s="67"/>
      <c r="AY881" s="67"/>
      <c r="AZ881" s="67"/>
      <c r="BA881" s="67"/>
      <c r="BB881" s="67"/>
      <c r="BC881" s="67"/>
      <c r="BD881" s="67"/>
      <c r="BE881" s="67"/>
      <c r="BF881" s="67"/>
      <c r="BG881" s="67"/>
      <c r="BH881" s="67"/>
      <c r="BI881" s="67"/>
      <c r="BJ881" s="67"/>
      <c r="BK881" s="67"/>
      <c r="BL881" s="67"/>
      <c r="BM881" s="67"/>
      <c r="BN881" s="67"/>
      <c r="BO881" s="67"/>
      <c r="BP881" s="67"/>
      <c r="BQ881" s="67"/>
      <c r="BR881" s="67"/>
      <c r="BS881" s="67"/>
      <c r="BT881" s="67"/>
      <c r="BU881" s="67"/>
      <c r="BV881" s="67"/>
    </row>
    <row r="882" spans="1:74" s="68" customFormat="1" ht="31.5" x14ac:dyDescent="0.2">
      <c r="A882" s="81" t="s">
        <v>1075</v>
      </c>
      <c r="B882" s="79" t="s">
        <v>377</v>
      </c>
      <c r="C882" s="130">
        <f t="shared" ref="C882:N882" si="394">+C883</f>
        <v>0</v>
      </c>
      <c r="D882" s="130">
        <f t="shared" si="394"/>
        <v>0</v>
      </c>
      <c r="E882" s="130">
        <f t="shared" si="394"/>
        <v>0</v>
      </c>
      <c r="F882" s="130">
        <f t="shared" si="394"/>
        <v>0</v>
      </c>
      <c r="G882" s="130">
        <f t="shared" si="394"/>
        <v>0</v>
      </c>
      <c r="H882" s="130">
        <f t="shared" si="394"/>
        <v>0</v>
      </c>
      <c r="I882" s="130">
        <f t="shared" si="394"/>
        <v>0</v>
      </c>
      <c r="J882" s="130">
        <f t="shared" si="394"/>
        <v>0</v>
      </c>
      <c r="K882" s="130">
        <f t="shared" si="394"/>
        <v>0</v>
      </c>
      <c r="L882" s="130">
        <f t="shared" si="394"/>
        <v>0</v>
      </c>
      <c r="M882" s="130">
        <f t="shared" si="394"/>
        <v>0</v>
      </c>
      <c r="N882" s="130">
        <f t="shared" si="394"/>
        <v>0</v>
      </c>
      <c r="O882" s="93">
        <f t="shared" si="375"/>
        <v>0</v>
      </c>
      <c r="P882" s="67"/>
      <c r="Q882" s="108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  <c r="AK882" s="67"/>
      <c r="AL882" s="67"/>
      <c r="AM882" s="67"/>
      <c r="AN882" s="67"/>
      <c r="AO882" s="67"/>
      <c r="AP882" s="67"/>
      <c r="AQ882" s="67"/>
      <c r="AR882" s="67"/>
      <c r="AS882" s="67"/>
      <c r="AT882" s="67"/>
      <c r="AU882" s="67"/>
      <c r="AV882" s="67"/>
      <c r="AW882" s="67"/>
      <c r="AX882" s="67"/>
      <c r="AY882" s="67"/>
      <c r="AZ882" s="67"/>
      <c r="BA882" s="67"/>
      <c r="BB882" s="67"/>
      <c r="BC882" s="67"/>
      <c r="BD882" s="67"/>
      <c r="BE882" s="67"/>
      <c r="BF882" s="67"/>
      <c r="BG882" s="67"/>
      <c r="BH882" s="67"/>
      <c r="BI882" s="67"/>
      <c r="BJ882" s="67"/>
      <c r="BK882" s="67"/>
      <c r="BL882" s="67"/>
      <c r="BM882" s="67"/>
      <c r="BN882" s="67"/>
      <c r="BO882" s="67"/>
      <c r="BP882" s="67"/>
      <c r="BQ882" s="67"/>
      <c r="BR882" s="67"/>
      <c r="BS882" s="67"/>
      <c r="BT882" s="67"/>
      <c r="BU882" s="67"/>
      <c r="BV882" s="67"/>
    </row>
    <row r="883" spans="1:74" s="68" customFormat="1" ht="28.5" x14ac:dyDescent="0.2">
      <c r="A883" s="76" t="s">
        <v>1076</v>
      </c>
      <c r="B883" s="77" t="s">
        <v>378</v>
      </c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93">
        <f t="shared" si="375"/>
        <v>0</v>
      </c>
      <c r="P883" s="67"/>
      <c r="Q883" s="108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  <c r="AK883" s="67"/>
      <c r="AL883" s="67"/>
      <c r="AM883" s="67"/>
      <c r="AN883" s="67"/>
      <c r="AO883" s="67"/>
      <c r="AP883" s="67"/>
      <c r="AQ883" s="67"/>
      <c r="AR883" s="67"/>
      <c r="AS883" s="67"/>
      <c r="AT883" s="67"/>
      <c r="AU883" s="67"/>
      <c r="AV883" s="67"/>
      <c r="AW883" s="67"/>
      <c r="AX883" s="67"/>
      <c r="AY883" s="67"/>
      <c r="AZ883" s="67"/>
      <c r="BA883" s="67"/>
      <c r="BB883" s="67"/>
      <c r="BC883" s="67"/>
      <c r="BD883" s="67"/>
      <c r="BE883" s="67"/>
      <c r="BF883" s="67"/>
      <c r="BG883" s="67"/>
      <c r="BH883" s="67"/>
      <c r="BI883" s="67"/>
      <c r="BJ883" s="67"/>
      <c r="BK883" s="67"/>
      <c r="BL883" s="67"/>
      <c r="BM883" s="67"/>
      <c r="BN883" s="67"/>
      <c r="BO883" s="67"/>
      <c r="BP883" s="67"/>
      <c r="BQ883" s="67"/>
      <c r="BR883" s="67"/>
      <c r="BS883" s="67"/>
      <c r="BT883" s="67"/>
      <c r="BU883" s="67"/>
      <c r="BV883" s="67"/>
    </row>
    <row r="884" spans="1:74" s="68" customFormat="1" ht="47.25" x14ac:dyDescent="0.2">
      <c r="A884" s="81" t="s">
        <v>1077</v>
      </c>
      <c r="B884" s="79" t="s">
        <v>1078</v>
      </c>
      <c r="C884" s="130">
        <f t="shared" ref="C884:N884" si="395">SUM(C885:C887)</f>
        <v>0</v>
      </c>
      <c r="D884" s="130">
        <f t="shared" si="395"/>
        <v>0</v>
      </c>
      <c r="E884" s="130">
        <f t="shared" si="395"/>
        <v>0</v>
      </c>
      <c r="F884" s="130">
        <f t="shared" si="395"/>
        <v>0</v>
      </c>
      <c r="G884" s="130">
        <f t="shared" si="395"/>
        <v>0</v>
      </c>
      <c r="H884" s="130">
        <f t="shared" si="395"/>
        <v>0</v>
      </c>
      <c r="I884" s="130">
        <f t="shared" si="395"/>
        <v>0</v>
      </c>
      <c r="J884" s="130">
        <f t="shared" si="395"/>
        <v>0</v>
      </c>
      <c r="K884" s="130">
        <f t="shared" si="395"/>
        <v>0</v>
      </c>
      <c r="L884" s="130">
        <f t="shared" si="395"/>
        <v>0</v>
      </c>
      <c r="M884" s="130">
        <f t="shared" si="395"/>
        <v>0</v>
      </c>
      <c r="N884" s="130">
        <f t="shared" si="395"/>
        <v>0</v>
      </c>
      <c r="O884" s="93">
        <f t="shared" si="375"/>
        <v>0</v>
      </c>
      <c r="P884" s="67"/>
      <c r="Q884" s="108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  <c r="AK884" s="67"/>
      <c r="AL884" s="67"/>
      <c r="AM884" s="67"/>
      <c r="AN884" s="67"/>
      <c r="AO884" s="67"/>
      <c r="AP884" s="67"/>
      <c r="AQ884" s="67"/>
      <c r="AR884" s="67"/>
      <c r="AS884" s="67"/>
      <c r="AT884" s="67"/>
      <c r="AU884" s="67"/>
      <c r="AV884" s="67"/>
      <c r="AW884" s="67"/>
      <c r="AX884" s="67"/>
      <c r="AY884" s="67"/>
      <c r="AZ884" s="67"/>
      <c r="BA884" s="67"/>
      <c r="BB884" s="67"/>
      <c r="BC884" s="67"/>
      <c r="BD884" s="67"/>
      <c r="BE884" s="67"/>
      <c r="BF884" s="67"/>
      <c r="BG884" s="67"/>
      <c r="BH884" s="67"/>
      <c r="BI884" s="67"/>
      <c r="BJ884" s="67"/>
      <c r="BK884" s="67"/>
      <c r="BL884" s="67"/>
      <c r="BM884" s="67"/>
      <c r="BN884" s="67"/>
      <c r="BO884" s="67"/>
      <c r="BP884" s="67"/>
      <c r="BQ884" s="67"/>
      <c r="BR884" s="67"/>
      <c r="BS884" s="67"/>
      <c r="BT884" s="67"/>
      <c r="BU884" s="67"/>
      <c r="BV884" s="67"/>
    </row>
    <row r="885" spans="1:74" s="68" customFormat="1" ht="28.5" x14ac:dyDescent="0.2">
      <c r="A885" s="76" t="s">
        <v>1079</v>
      </c>
      <c r="B885" s="77" t="s">
        <v>375</v>
      </c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93">
        <f t="shared" si="375"/>
        <v>0</v>
      </c>
      <c r="P885" s="67"/>
      <c r="Q885" s="108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  <c r="AK885" s="67"/>
      <c r="AL885" s="67"/>
      <c r="AM885" s="67"/>
      <c r="AN885" s="67"/>
      <c r="AO885" s="67"/>
      <c r="AP885" s="67"/>
      <c r="AQ885" s="67"/>
      <c r="AR885" s="67"/>
      <c r="AS885" s="67"/>
      <c r="AT885" s="67"/>
      <c r="AU885" s="67"/>
      <c r="AV885" s="67"/>
      <c r="AW885" s="67"/>
      <c r="AX885" s="67"/>
      <c r="AY885" s="67"/>
      <c r="AZ885" s="67"/>
      <c r="BA885" s="67"/>
      <c r="BB885" s="67"/>
      <c r="BC885" s="67"/>
      <c r="BD885" s="67"/>
      <c r="BE885" s="67"/>
      <c r="BF885" s="67"/>
      <c r="BG885" s="67"/>
      <c r="BH885" s="67"/>
      <c r="BI885" s="67"/>
      <c r="BJ885" s="67"/>
      <c r="BK885" s="67"/>
      <c r="BL885" s="67"/>
      <c r="BM885" s="67"/>
      <c r="BN885" s="67"/>
      <c r="BO885" s="67"/>
      <c r="BP885" s="67"/>
      <c r="BQ885" s="67"/>
      <c r="BR885" s="67"/>
      <c r="BS885" s="67"/>
      <c r="BT885" s="67"/>
      <c r="BU885" s="67"/>
      <c r="BV885" s="67"/>
    </row>
    <row r="886" spans="1:74" s="68" customFormat="1" ht="28.5" x14ac:dyDescent="0.2">
      <c r="A886" s="76" t="s">
        <v>1080</v>
      </c>
      <c r="B886" s="77" t="s">
        <v>375</v>
      </c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93">
        <f t="shared" si="375"/>
        <v>0</v>
      </c>
      <c r="P886" s="67"/>
      <c r="Q886" s="108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7"/>
      <c r="AL886" s="67"/>
      <c r="AM886" s="67"/>
      <c r="AN886" s="67"/>
      <c r="AO886" s="67"/>
      <c r="AP886" s="67"/>
      <c r="AQ886" s="67"/>
      <c r="AR886" s="67"/>
      <c r="AS886" s="67"/>
      <c r="AT886" s="67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  <c r="BE886" s="67"/>
      <c r="BF886" s="67"/>
      <c r="BG886" s="67"/>
      <c r="BH886" s="67"/>
      <c r="BI886" s="67"/>
      <c r="BJ886" s="67"/>
      <c r="BK886" s="67"/>
      <c r="BL886" s="67"/>
      <c r="BM886" s="67"/>
      <c r="BN886" s="67"/>
      <c r="BO886" s="67"/>
      <c r="BP886" s="67"/>
      <c r="BQ886" s="67"/>
      <c r="BR886" s="67"/>
      <c r="BS886" s="67"/>
      <c r="BT886" s="67"/>
      <c r="BU886" s="67"/>
      <c r="BV886" s="67"/>
    </row>
    <row r="887" spans="1:74" s="68" customFormat="1" ht="31.5" x14ac:dyDescent="0.2">
      <c r="A887" s="81" t="s">
        <v>1081</v>
      </c>
      <c r="B887" s="79" t="s">
        <v>377</v>
      </c>
      <c r="C887" s="130">
        <f t="shared" ref="C887:N887" si="396">+C888</f>
        <v>0</v>
      </c>
      <c r="D887" s="130">
        <f t="shared" si="396"/>
        <v>0</v>
      </c>
      <c r="E887" s="130">
        <f t="shared" si="396"/>
        <v>0</v>
      </c>
      <c r="F887" s="130">
        <f t="shared" si="396"/>
        <v>0</v>
      </c>
      <c r="G887" s="130">
        <f t="shared" si="396"/>
        <v>0</v>
      </c>
      <c r="H887" s="130">
        <f t="shared" si="396"/>
        <v>0</v>
      </c>
      <c r="I887" s="130">
        <f t="shared" si="396"/>
        <v>0</v>
      </c>
      <c r="J887" s="130">
        <f t="shared" si="396"/>
        <v>0</v>
      </c>
      <c r="K887" s="130">
        <f t="shared" si="396"/>
        <v>0</v>
      </c>
      <c r="L887" s="130">
        <f t="shared" si="396"/>
        <v>0</v>
      </c>
      <c r="M887" s="130">
        <f t="shared" si="396"/>
        <v>0</v>
      </c>
      <c r="N887" s="130">
        <f t="shared" si="396"/>
        <v>0</v>
      </c>
      <c r="O887" s="93">
        <f t="shared" si="375"/>
        <v>0</v>
      </c>
      <c r="P887" s="67"/>
      <c r="Q887" s="108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  <c r="AK887" s="67"/>
      <c r="AL887" s="67"/>
      <c r="AM887" s="67"/>
      <c r="AN887" s="67"/>
      <c r="AO887" s="67"/>
      <c r="AP887" s="67"/>
      <c r="AQ887" s="67"/>
      <c r="AR887" s="67"/>
      <c r="AS887" s="67"/>
      <c r="AT887" s="67"/>
      <c r="AU887" s="67"/>
      <c r="AV887" s="67"/>
      <c r="AW887" s="67"/>
      <c r="AX887" s="67"/>
      <c r="AY887" s="67"/>
      <c r="AZ887" s="67"/>
      <c r="BA887" s="67"/>
      <c r="BB887" s="67"/>
      <c r="BC887" s="67"/>
      <c r="BD887" s="67"/>
      <c r="BE887" s="67"/>
      <c r="BF887" s="67"/>
      <c r="BG887" s="67"/>
      <c r="BH887" s="67"/>
      <c r="BI887" s="67"/>
      <c r="BJ887" s="67"/>
      <c r="BK887" s="67"/>
      <c r="BL887" s="67"/>
      <c r="BM887" s="67"/>
      <c r="BN887" s="67"/>
      <c r="BO887" s="67"/>
      <c r="BP887" s="67"/>
      <c r="BQ887" s="67"/>
      <c r="BR887" s="67"/>
      <c r="BS887" s="67"/>
      <c r="BT887" s="67"/>
      <c r="BU887" s="67"/>
      <c r="BV887" s="67"/>
    </row>
    <row r="888" spans="1:74" s="68" customFormat="1" ht="28.5" x14ac:dyDescent="0.2">
      <c r="A888" s="76" t="s">
        <v>1082</v>
      </c>
      <c r="B888" s="77" t="s">
        <v>378</v>
      </c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93">
        <f t="shared" si="375"/>
        <v>0</v>
      </c>
      <c r="P888" s="67"/>
      <c r="Q888" s="108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  <c r="AK888" s="67"/>
      <c r="AL888" s="67"/>
      <c r="AM888" s="67"/>
      <c r="AN888" s="67"/>
      <c r="AO888" s="67"/>
      <c r="AP888" s="67"/>
      <c r="AQ888" s="67"/>
      <c r="AR888" s="67"/>
      <c r="AS888" s="67"/>
      <c r="AT888" s="67"/>
      <c r="AU888" s="67"/>
      <c r="AV888" s="67"/>
      <c r="AW888" s="67"/>
      <c r="AX888" s="67"/>
      <c r="AY888" s="67"/>
      <c r="AZ888" s="67"/>
      <c r="BA888" s="67"/>
      <c r="BB888" s="67"/>
      <c r="BC888" s="67"/>
      <c r="BD888" s="67"/>
      <c r="BE888" s="67"/>
      <c r="BF888" s="67"/>
      <c r="BG888" s="67"/>
      <c r="BH888" s="67"/>
      <c r="BI888" s="67"/>
      <c r="BJ888" s="67"/>
      <c r="BK888" s="67"/>
      <c r="BL888" s="67"/>
      <c r="BM888" s="67"/>
      <c r="BN888" s="67"/>
      <c r="BO888" s="67"/>
      <c r="BP888" s="67"/>
      <c r="BQ888" s="67"/>
      <c r="BR888" s="67"/>
      <c r="BS888" s="67"/>
      <c r="BT888" s="67"/>
      <c r="BU888" s="67"/>
      <c r="BV888" s="67"/>
    </row>
    <row r="889" spans="1:74" s="68" customFormat="1" ht="19.5" x14ac:dyDescent="0.2">
      <c r="A889" s="161" t="s">
        <v>698</v>
      </c>
      <c r="B889" s="213" t="s">
        <v>1083</v>
      </c>
      <c r="C889" s="236">
        <f>+C890+C904+C912+C899+C963</f>
        <v>0</v>
      </c>
      <c r="D889" s="236">
        <f t="shared" ref="D889:N889" si="397">+D890+D904+D912+D899+D963</f>
        <v>0</v>
      </c>
      <c r="E889" s="236">
        <f t="shared" si="397"/>
        <v>288000000</v>
      </c>
      <c r="F889" s="236">
        <f t="shared" si="397"/>
        <v>8465753196</v>
      </c>
      <c r="G889" s="236">
        <f t="shared" si="397"/>
        <v>22869930480.32</v>
      </c>
      <c r="H889" s="236">
        <f t="shared" si="397"/>
        <v>0</v>
      </c>
      <c r="I889" s="236">
        <f t="shared" si="397"/>
        <v>0</v>
      </c>
      <c r="J889" s="236">
        <f t="shared" si="397"/>
        <v>0</v>
      </c>
      <c r="K889" s="236">
        <f t="shared" si="397"/>
        <v>0</v>
      </c>
      <c r="L889" s="236">
        <f t="shared" si="397"/>
        <v>0</v>
      </c>
      <c r="M889" s="236">
        <f t="shared" si="397"/>
        <v>0</v>
      </c>
      <c r="N889" s="236">
        <f t="shared" si="397"/>
        <v>0</v>
      </c>
      <c r="O889" s="93">
        <f t="shared" si="375"/>
        <v>31623683676.32</v>
      </c>
      <c r="P889" s="67"/>
      <c r="Q889" s="108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7"/>
      <c r="AL889" s="67"/>
      <c r="AM889" s="67"/>
      <c r="AN889" s="67"/>
      <c r="AO889" s="67"/>
      <c r="AP889" s="67"/>
      <c r="AQ889" s="67"/>
      <c r="AR889" s="67"/>
      <c r="AS889" s="67"/>
      <c r="AT889" s="67"/>
      <c r="AU889" s="67"/>
      <c r="AV889" s="67"/>
      <c r="AW889" s="67"/>
      <c r="AX889" s="67"/>
      <c r="AY889" s="67"/>
      <c r="AZ889" s="67"/>
      <c r="BA889" s="67"/>
      <c r="BB889" s="67"/>
      <c r="BC889" s="67"/>
      <c r="BD889" s="67"/>
      <c r="BE889" s="67"/>
      <c r="BF889" s="67"/>
      <c r="BG889" s="67"/>
      <c r="BH889" s="67"/>
      <c r="BI889" s="67"/>
      <c r="BJ889" s="67"/>
      <c r="BK889" s="67"/>
      <c r="BL889" s="67"/>
      <c r="BM889" s="67"/>
      <c r="BN889" s="67"/>
      <c r="BO889" s="67"/>
      <c r="BP889" s="67"/>
      <c r="BQ889" s="67"/>
      <c r="BR889" s="67"/>
      <c r="BS889" s="67"/>
      <c r="BT889" s="67"/>
      <c r="BU889" s="67"/>
      <c r="BV889" s="67"/>
    </row>
    <row r="890" spans="1:74" s="68" customFormat="1" ht="31.5" x14ac:dyDescent="0.2">
      <c r="A890" s="81" t="s">
        <v>1084</v>
      </c>
      <c r="B890" s="79" t="s">
        <v>1085</v>
      </c>
      <c r="C890" s="130">
        <f t="shared" ref="C890:N890" si="398">+C891</f>
        <v>0</v>
      </c>
      <c r="D890" s="130">
        <f t="shared" si="398"/>
        <v>0</v>
      </c>
      <c r="E890" s="130">
        <f t="shared" si="398"/>
        <v>0</v>
      </c>
      <c r="F890" s="130">
        <f t="shared" si="398"/>
        <v>0</v>
      </c>
      <c r="G890" s="130">
        <f t="shared" si="398"/>
        <v>0</v>
      </c>
      <c r="H890" s="130">
        <f t="shared" si="398"/>
        <v>0</v>
      </c>
      <c r="I890" s="130">
        <f t="shared" si="398"/>
        <v>0</v>
      </c>
      <c r="J890" s="130">
        <f t="shared" si="398"/>
        <v>0</v>
      </c>
      <c r="K890" s="130">
        <f t="shared" si="398"/>
        <v>0</v>
      </c>
      <c r="L890" s="130">
        <f t="shared" si="398"/>
        <v>0</v>
      </c>
      <c r="M890" s="130">
        <f t="shared" si="398"/>
        <v>0</v>
      </c>
      <c r="N890" s="130">
        <f t="shared" si="398"/>
        <v>0</v>
      </c>
      <c r="O890" s="93">
        <f t="shared" si="375"/>
        <v>0</v>
      </c>
      <c r="P890" s="67"/>
      <c r="Q890" s="108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  <c r="AK890" s="67"/>
      <c r="AL890" s="67"/>
      <c r="AM890" s="67"/>
      <c r="AN890" s="67"/>
      <c r="AO890" s="67"/>
      <c r="AP890" s="67"/>
      <c r="AQ890" s="67"/>
      <c r="AR890" s="67"/>
      <c r="AS890" s="67"/>
      <c r="AT890" s="67"/>
      <c r="AU890" s="67"/>
      <c r="AV890" s="67"/>
      <c r="AW890" s="67"/>
      <c r="AX890" s="67"/>
      <c r="AY890" s="67"/>
      <c r="AZ890" s="67"/>
      <c r="BA890" s="67"/>
      <c r="BB890" s="67"/>
      <c r="BC890" s="67"/>
      <c r="BD890" s="67"/>
      <c r="BE890" s="67"/>
      <c r="BF890" s="67"/>
      <c r="BG890" s="67"/>
      <c r="BH890" s="67"/>
      <c r="BI890" s="67"/>
      <c r="BJ890" s="67"/>
      <c r="BK890" s="67"/>
      <c r="BL890" s="67"/>
      <c r="BM890" s="67"/>
      <c r="BN890" s="67"/>
      <c r="BO890" s="67"/>
      <c r="BP890" s="67"/>
      <c r="BQ890" s="67"/>
      <c r="BR890" s="67"/>
      <c r="BS890" s="67"/>
      <c r="BT890" s="67"/>
      <c r="BU890" s="67"/>
      <c r="BV890" s="67"/>
    </row>
    <row r="891" spans="1:74" s="68" customFormat="1" ht="15.75" x14ac:dyDescent="0.2">
      <c r="A891" s="81" t="s">
        <v>710</v>
      </c>
      <c r="B891" s="79" t="s">
        <v>1086</v>
      </c>
      <c r="C891" s="130">
        <f t="shared" ref="C891:N891" si="399">+C892+C895</f>
        <v>0</v>
      </c>
      <c r="D891" s="130">
        <f t="shared" si="399"/>
        <v>0</v>
      </c>
      <c r="E891" s="130">
        <f t="shared" si="399"/>
        <v>0</v>
      </c>
      <c r="F891" s="130">
        <f t="shared" si="399"/>
        <v>0</v>
      </c>
      <c r="G891" s="130">
        <f t="shared" si="399"/>
        <v>0</v>
      </c>
      <c r="H891" s="130">
        <f t="shared" si="399"/>
        <v>0</v>
      </c>
      <c r="I891" s="130">
        <f t="shared" si="399"/>
        <v>0</v>
      </c>
      <c r="J891" s="130">
        <f t="shared" si="399"/>
        <v>0</v>
      </c>
      <c r="K891" s="130">
        <f t="shared" si="399"/>
        <v>0</v>
      </c>
      <c r="L891" s="130">
        <f t="shared" si="399"/>
        <v>0</v>
      </c>
      <c r="M891" s="130">
        <f t="shared" si="399"/>
        <v>0</v>
      </c>
      <c r="N891" s="130">
        <f t="shared" si="399"/>
        <v>0</v>
      </c>
      <c r="O891" s="93">
        <f t="shared" si="375"/>
        <v>0</v>
      </c>
      <c r="P891" s="67"/>
      <c r="Q891" s="108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  <c r="AK891" s="67"/>
      <c r="AL891" s="67"/>
      <c r="AM891" s="67"/>
      <c r="AN891" s="67"/>
      <c r="AO891" s="67"/>
      <c r="AP891" s="67"/>
      <c r="AQ891" s="67"/>
      <c r="AR891" s="67"/>
      <c r="AS891" s="67"/>
      <c r="AT891" s="67"/>
      <c r="AU891" s="67"/>
      <c r="AV891" s="67"/>
      <c r="AW891" s="67"/>
      <c r="AX891" s="67"/>
      <c r="AY891" s="67"/>
      <c r="AZ891" s="67"/>
      <c r="BA891" s="67"/>
      <c r="BB891" s="67"/>
      <c r="BC891" s="67"/>
      <c r="BD891" s="67"/>
      <c r="BE891" s="67"/>
      <c r="BF891" s="67"/>
      <c r="BG891" s="67"/>
      <c r="BH891" s="67"/>
      <c r="BI891" s="67"/>
      <c r="BJ891" s="67"/>
      <c r="BK891" s="67"/>
      <c r="BL891" s="67"/>
      <c r="BM891" s="67"/>
      <c r="BN891" s="67"/>
      <c r="BO891" s="67"/>
      <c r="BP891" s="67"/>
      <c r="BQ891" s="67"/>
      <c r="BR891" s="67"/>
      <c r="BS891" s="67"/>
      <c r="BT891" s="67"/>
      <c r="BU891" s="67"/>
      <c r="BV891" s="67"/>
    </row>
    <row r="892" spans="1:74" s="68" customFormat="1" ht="47.25" x14ac:dyDescent="0.2">
      <c r="A892" s="81" t="s">
        <v>712</v>
      </c>
      <c r="B892" s="79" t="s">
        <v>1087</v>
      </c>
      <c r="C892" s="130">
        <f t="shared" ref="C892:N892" si="400">SUM(C893:C894)</f>
        <v>0</v>
      </c>
      <c r="D892" s="130">
        <f t="shared" si="400"/>
        <v>0</v>
      </c>
      <c r="E892" s="130">
        <f t="shared" si="400"/>
        <v>0</v>
      </c>
      <c r="F892" s="130">
        <f t="shared" si="400"/>
        <v>0</v>
      </c>
      <c r="G892" s="130">
        <f t="shared" si="400"/>
        <v>0</v>
      </c>
      <c r="H892" s="130">
        <f t="shared" si="400"/>
        <v>0</v>
      </c>
      <c r="I892" s="130">
        <f t="shared" si="400"/>
        <v>0</v>
      </c>
      <c r="J892" s="130">
        <f t="shared" si="400"/>
        <v>0</v>
      </c>
      <c r="K892" s="130">
        <f t="shared" si="400"/>
        <v>0</v>
      </c>
      <c r="L892" s="130">
        <f t="shared" si="400"/>
        <v>0</v>
      </c>
      <c r="M892" s="130">
        <f t="shared" si="400"/>
        <v>0</v>
      </c>
      <c r="N892" s="130">
        <f t="shared" si="400"/>
        <v>0</v>
      </c>
      <c r="O892" s="93">
        <f t="shared" si="375"/>
        <v>0</v>
      </c>
      <c r="P892" s="67"/>
      <c r="Q892" s="108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7"/>
      <c r="AL892" s="67"/>
      <c r="AM892" s="67"/>
      <c r="AN892" s="67"/>
      <c r="AO892" s="67"/>
      <c r="AP892" s="67"/>
      <c r="AQ892" s="67"/>
      <c r="AR892" s="67"/>
      <c r="AS892" s="67"/>
      <c r="AT892" s="67"/>
      <c r="AU892" s="67"/>
      <c r="AV892" s="67"/>
      <c r="AW892" s="67"/>
      <c r="AX892" s="67"/>
      <c r="AY892" s="67"/>
      <c r="AZ892" s="67"/>
      <c r="BA892" s="67"/>
      <c r="BB892" s="67"/>
      <c r="BC892" s="67"/>
      <c r="BD892" s="67"/>
      <c r="BE892" s="67"/>
      <c r="BF892" s="67"/>
      <c r="BG892" s="67"/>
      <c r="BH892" s="67"/>
      <c r="BI892" s="67"/>
      <c r="BJ892" s="67"/>
      <c r="BK892" s="67"/>
      <c r="BL892" s="67"/>
      <c r="BM892" s="67"/>
      <c r="BN892" s="67"/>
      <c r="BO892" s="67"/>
      <c r="BP892" s="67"/>
      <c r="BQ892" s="67"/>
      <c r="BR892" s="67"/>
      <c r="BS892" s="67"/>
      <c r="BT892" s="67"/>
      <c r="BU892" s="67"/>
      <c r="BV892" s="67"/>
    </row>
    <row r="893" spans="1:74" s="68" customFormat="1" ht="42.75" x14ac:dyDescent="0.2">
      <c r="A893" s="76" t="s">
        <v>1088</v>
      </c>
      <c r="B893" s="77" t="s">
        <v>1089</v>
      </c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93">
        <f t="shared" si="375"/>
        <v>0</v>
      </c>
      <c r="P893" s="67"/>
      <c r="Q893" s="108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  <c r="AK893" s="67"/>
      <c r="AL893" s="67"/>
      <c r="AM893" s="67"/>
      <c r="AN893" s="67"/>
      <c r="AO893" s="67"/>
      <c r="AP893" s="67"/>
      <c r="AQ893" s="67"/>
      <c r="AR893" s="67"/>
      <c r="AS893" s="67"/>
      <c r="AT893" s="67"/>
      <c r="AU893" s="67"/>
      <c r="AV893" s="67"/>
      <c r="AW893" s="67"/>
      <c r="AX893" s="67"/>
      <c r="AY893" s="67"/>
      <c r="AZ893" s="67"/>
      <c r="BA893" s="67"/>
      <c r="BB893" s="67"/>
      <c r="BC893" s="67"/>
      <c r="BD893" s="67"/>
      <c r="BE893" s="67"/>
      <c r="BF893" s="67"/>
      <c r="BG893" s="67"/>
      <c r="BH893" s="67"/>
      <c r="BI893" s="67"/>
      <c r="BJ893" s="67"/>
      <c r="BK893" s="67"/>
      <c r="BL893" s="67"/>
      <c r="BM893" s="67"/>
      <c r="BN893" s="67"/>
      <c r="BO893" s="67"/>
      <c r="BP893" s="67"/>
      <c r="BQ893" s="67"/>
      <c r="BR893" s="67"/>
      <c r="BS893" s="67"/>
      <c r="BT893" s="67"/>
      <c r="BU893" s="67"/>
      <c r="BV893" s="67"/>
    </row>
    <row r="894" spans="1:74" s="68" customFormat="1" ht="42.75" x14ac:dyDescent="0.2">
      <c r="A894" s="76" t="s">
        <v>1088</v>
      </c>
      <c r="B894" s="77" t="s">
        <v>1089</v>
      </c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93">
        <f t="shared" si="375"/>
        <v>0</v>
      </c>
      <c r="P894" s="67"/>
      <c r="Q894" s="108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  <c r="AK894" s="67"/>
      <c r="AL894" s="67"/>
      <c r="AM894" s="67"/>
      <c r="AN894" s="67"/>
      <c r="AO894" s="67"/>
      <c r="AP894" s="67"/>
      <c r="AQ894" s="67"/>
      <c r="AR894" s="67"/>
      <c r="AS894" s="67"/>
      <c r="AT894" s="67"/>
      <c r="AU894" s="67"/>
      <c r="AV894" s="67"/>
      <c r="AW894" s="67"/>
      <c r="AX894" s="67"/>
      <c r="AY894" s="67"/>
      <c r="AZ894" s="67"/>
      <c r="BA894" s="67"/>
      <c r="BB894" s="67"/>
      <c r="BC894" s="67"/>
      <c r="BD894" s="67"/>
      <c r="BE894" s="67"/>
      <c r="BF894" s="67"/>
      <c r="BG894" s="67"/>
      <c r="BH894" s="67"/>
      <c r="BI894" s="67"/>
      <c r="BJ894" s="67"/>
      <c r="BK894" s="67"/>
      <c r="BL894" s="67"/>
      <c r="BM894" s="67"/>
      <c r="BN894" s="67"/>
      <c r="BO894" s="67"/>
      <c r="BP894" s="67"/>
      <c r="BQ894" s="67"/>
      <c r="BR894" s="67"/>
      <c r="BS894" s="67"/>
      <c r="BT894" s="67"/>
      <c r="BU894" s="67"/>
      <c r="BV894" s="67"/>
    </row>
    <row r="895" spans="1:74" s="68" customFormat="1" ht="31.5" x14ac:dyDescent="0.2">
      <c r="A895" s="81" t="s">
        <v>713</v>
      </c>
      <c r="B895" s="79" t="s">
        <v>377</v>
      </c>
      <c r="C895" s="130">
        <f t="shared" ref="C895:N895" si="401">SUM(C896:C898)</f>
        <v>0</v>
      </c>
      <c r="D895" s="130">
        <f t="shared" si="401"/>
        <v>0</v>
      </c>
      <c r="E895" s="130">
        <f t="shared" si="401"/>
        <v>0</v>
      </c>
      <c r="F895" s="130">
        <f t="shared" si="401"/>
        <v>0</v>
      </c>
      <c r="G895" s="130">
        <f t="shared" si="401"/>
        <v>0</v>
      </c>
      <c r="H895" s="130">
        <f t="shared" si="401"/>
        <v>0</v>
      </c>
      <c r="I895" s="130">
        <f t="shared" si="401"/>
        <v>0</v>
      </c>
      <c r="J895" s="130">
        <f t="shared" si="401"/>
        <v>0</v>
      </c>
      <c r="K895" s="130">
        <f t="shared" si="401"/>
        <v>0</v>
      </c>
      <c r="L895" s="130">
        <f t="shared" si="401"/>
        <v>0</v>
      </c>
      <c r="M895" s="130">
        <f t="shared" si="401"/>
        <v>0</v>
      </c>
      <c r="N895" s="130">
        <f t="shared" si="401"/>
        <v>0</v>
      </c>
      <c r="O895" s="93">
        <f t="shared" si="375"/>
        <v>0</v>
      </c>
      <c r="P895" s="67"/>
      <c r="Q895" s="108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  <c r="AK895" s="67"/>
      <c r="AL895" s="67"/>
      <c r="AM895" s="67"/>
      <c r="AN895" s="67"/>
      <c r="AO895" s="67"/>
      <c r="AP895" s="67"/>
      <c r="AQ895" s="67"/>
      <c r="AR895" s="67"/>
      <c r="AS895" s="67"/>
      <c r="AT895" s="67"/>
      <c r="AU895" s="67"/>
      <c r="AV895" s="67"/>
      <c r="AW895" s="67"/>
      <c r="AX895" s="67"/>
      <c r="AY895" s="67"/>
      <c r="AZ895" s="67"/>
      <c r="BA895" s="67"/>
      <c r="BB895" s="67"/>
      <c r="BC895" s="67"/>
      <c r="BD895" s="67"/>
      <c r="BE895" s="67"/>
      <c r="BF895" s="67"/>
      <c r="BG895" s="67"/>
      <c r="BH895" s="67"/>
      <c r="BI895" s="67"/>
      <c r="BJ895" s="67"/>
      <c r="BK895" s="67"/>
      <c r="BL895" s="67"/>
      <c r="BM895" s="67"/>
      <c r="BN895" s="67"/>
      <c r="BO895" s="67"/>
      <c r="BP895" s="67"/>
      <c r="BQ895" s="67"/>
      <c r="BR895" s="67"/>
      <c r="BS895" s="67"/>
      <c r="BT895" s="67"/>
      <c r="BU895" s="67"/>
      <c r="BV895" s="67"/>
    </row>
    <row r="896" spans="1:74" s="68" customFormat="1" ht="28.5" x14ac:dyDescent="0.2">
      <c r="A896" s="76" t="s">
        <v>1090</v>
      </c>
      <c r="B896" s="77" t="s">
        <v>1091</v>
      </c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93">
        <f t="shared" si="375"/>
        <v>0</v>
      </c>
      <c r="P896" s="67"/>
      <c r="Q896" s="108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  <c r="AK896" s="67"/>
      <c r="AL896" s="67"/>
      <c r="AM896" s="67"/>
      <c r="AN896" s="67"/>
      <c r="AO896" s="67"/>
      <c r="AP896" s="67"/>
      <c r="AQ896" s="67"/>
      <c r="AR896" s="67"/>
      <c r="AS896" s="67"/>
      <c r="AT896" s="67"/>
      <c r="AU896" s="67"/>
      <c r="AV896" s="67"/>
      <c r="AW896" s="67"/>
      <c r="AX896" s="67"/>
      <c r="AY896" s="67"/>
      <c r="AZ896" s="67"/>
      <c r="BA896" s="67"/>
      <c r="BB896" s="67"/>
      <c r="BC896" s="67"/>
      <c r="BD896" s="67"/>
      <c r="BE896" s="67"/>
      <c r="BF896" s="67"/>
      <c r="BG896" s="67"/>
      <c r="BH896" s="67"/>
      <c r="BI896" s="67"/>
      <c r="BJ896" s="67"/>
      <c r="BK896" s="67"/>
      <c r="BL896" s="67"/>
      <c r="BM896" s="67"/>
      <c r="BN896" s="67"/>
      <c r="BO896" s="67"/>
      <c r="BP896" s="67"/>
      <c r="BQ896" s="67"/>
      <c r="BR896" s="67"/>
      <c r="BS896" s="67"/>
      <c r="BT896" s="67"/>
      <c r="BU896" s="67"/>
      <c r="BV896" s="67"/>
    </row>
    <row r="897" spans="1:74" s="68" customFormat="1" ht="42.75" x14ac:dyDescent="0.2">
      <c r="A897" s="76" t="s">
        <v>1092</v>
      </c>
      <c r="B897" s="77" t="s">
        <v>1093</v>
      </c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93">
        <f t="shared" si="375"/>
        <v>0</v>
      </c>
      <c r="P897" s="67"/>
      <c r="Q897" s="108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  <c r="AK897" s="67"/>
      <c r="AL897" s="67"/>
      <c r="AM897" s="67"/>
      <c r="AN897" s="67"/>
      <c r="AO897" s="67"/>
      <c r="AP897" s="67"/>
      <c r="AQ897" s="67"/>
      <c r="AR897" s="67"/>
      <c r="AS897" s="67"/>
      <c r="AT897" s="67"/>
      <c r="AU897" s="67"/>
      <c r="AV897" s="67"/>
      <c r="AW897" s="67"/>
      <c r="AX897" s="67"/>
      <c r="AY897" s="67"/>
      <c r="AZ897" s="67"/>
      <c r="BA897" s="67"/>
      <c r="BB897" s="67"/>
      <c r="BC897" s="67"/>
      <c r="BD897" s="67"/>
      <c r="BE897" s="67"/>
      <c r="BF897" s="67"/>
      <c r="BG897" s="67"/>
      <c r="BH897" s="67"/>
      <c r="BI897" s="67"/>
      <c r="BJ897" s="67"/>
      <c r="BK897" s="67"/>
      <c r="BL897" s="67"/>
      <c r="BM897" s="67"/>
      <c r="BN897" s="67"/>
      <c r="BO897" s="67"/>
      <c r="BP897" s="67"/>
      <c r="BQ897" s="67"/>
      <c r="BR897" s="67"/>
      <c r="BS897" s="67"/>
      <c r="BT897" s="67"/>
      <c r="BU897" s="67"/>
      <c r="BV897" s="67"/>
    </row>
    <row r="898" spans="1:74" s="70" customFormat="1" ht="28.5" x14ac:dyDescent="0.2">
      <c r="A898" s="76" t="s">
        <v>1094</v>
      </c>
      <c r="B898" s="77" t="s">
        <v>1095</v>
      </c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93">
        <f t="shared" si="375"/>
        <v>0</v>
      </c>
      <c r="P898" s="69"/>
      <c r="Q898" s="108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  <c r="AV898" s="69"/>
      <c r="AW898" s="69"/>
      <c r="AX898" s="69"/>
      <c r="AY898" s="69"/>
      <c r="AZ898" s="69"/>
      <c r="BA898" s="69"/>
      <c r="BB898" s="69"/>
      <c r="BC898" s="69"/>
      <c r="BD898" s="69"/>
      <c r="BE898" s="69"/>
      <c r="BF898" s="69"/>
      <c r="BG898" s="69"/>
      <c r="BH898" s="69"/>
      <c r="BI898" s="69"/>
      <c r="BJ898" s="69"/>
      <c r="BK898" s="69"/>
      <c r="BL898" s="69"/>
      <c r="BM898" s="69"/>
      <c r="BN898" s="69"/>
      <c r="BO898" s="69"/>
      <c r="BP898" s="69"/>
      <c r="BQ898" s="69"/>
      <c r="BR898" s="69"/>
      <c r="BS898" s="69"/>
      <c r="BT898" s="69"/>
      <c r="BU898" s="69"/>
      <c r="BV898" s="69"/>
    </row>
    <row r="899" spans="1:74" s="112" customFormat="1" ht="31.5" x14ac:dyDescent="0.2">
      <c r="A899" s="81" t="s">
        <v>1261</v>
      </c>
      <c r="B899" s="79" t="s">
        <v>1267</v>
      </c>
      <c r="C899" s="130">
        <f>+C900</f>
        <v>0</v>
      </c>
      <c r="D899" s="130">
        <f t="shared" ref="D899:N900" si="402">+D900</f>
        <v>0</v>
      </c>
      <c r="E899" s="130">
        <f t="shared" si="402"/>
        <v>0</v>
      </c>
      <c r="F899" s="130">
        <f t="shared" si="402"/>
        <v>8465753196</v>
      </c>
      <c r="G899" s="130">
        <f t="shared" si="402"/>
        <v>1928835878</v>
      </c>
      <c r="H899" s="130">
        <f t="shared" si="402"/>
        <v>0</v>
      </c>
      <c r="I899" s="130">
        <f t="shared" si="402"/>
        <v>0</v>
      </c>
      <c r="J899" s="130">
        <f t="shared" si="402"/>
        <v>0</v>
      </c>
      <c r="K899" s="130">
        <f t="shared" si="402"/>
        <v>0</v>
      </c>
      <c r="L899" s="130">
        <f t="shared" si="402"/>
        <v>0</v>
      </c>
      <c r="M899" s="130">
        <f t="shared" si="402"/>
        <v>0</v>
      </c>
      <c r="N899" s="130">
        <f t="shared" si="402"/>
        <v>0</v>
      </c>
      <c r="O899" s="93">
        <f t="shared" si="375"/>
        <v>10394589074</v>
      </c>
      <c r="P899" s="111"/>
      <c r="Q899" s="108"/>
      <c r="R899" s="111"/>
      <c r="S899" s="111"/>
      <c r="T899" s="111"/>
      <c r="U899" s="111"/>
      <c r="V899" s="111"/>
      <c r="W899" s="111"/>
      <c r="X899" s="111"/>
      <c r="Y899" s="111"/>
      <c r="Z899" s="111"/>
      <c r="AA899" s="111"/>
      <c r="AB899" s="111"/>
      <c r="AC899" s="111"/>
      <c r="AD899" s="111"/>
      <c r="AE899" s="111"/>
      <c r="AF899" s="111"/>
      <c r="AG899" s="111"/>
      <c r="AH899" s="111"/>
      <c r="AI899" s="111"/>
      <c r="AJ899" s="111"/>
      <c r="AK899" s="111"/>
      <c r="AL899" s="111"/>
      <c r="AM899" s="111"/>
      <c r="AN899" s="111"/>
      <c r="AO899" s="111"/>
      <c r="AP899" s="111"/>
      <c r="AQ899" s="111"/>
      <c r="AR899" s="111"/>
      <c r="AS899" s="111"/>
      <c r="AT899" s="111"/>
      <c r="AU899" s="111"/>
      <c r="AV899" s="111"/>
      <c r="AW899" s="111"/>
      <c r="AX899" s="111"/>
      <c r="AY899" s="111"/>
      <c r="AZ899" s="111"/>
      <c r="BA899" s="111"/>
      <c r="BB899" s="111"/>
      <c r="BC899" s="111"/>
      <c r="BD899" s="111"/>
      <c r="BE899" s="111"/>
      <c r="BF899" s="111"/>
      <c r="BG899" s="111"/>
      <c r="BH899" s="111"/>
      <c r="BI899" s="111"/>
      <c r="BJ899" s="111"/>
      <c r="BK899" s="111"/>
      <c r="BL899" s="111"/>
      <c r="BM899" s="111"/>
      <c r="BN899" s="111"/>
      <c r="BO899" s="111"/>
      <c r="BP899" s="111"/>
      <c r="BQ899" s="111"/>
      <c r="BR899" s="111"/>
      <c r="BS899" s="111"/>
      <c r="BT899" s="111"/>
      <c r="BU899" s="111"/>
      <c r="BV899" s="111"/>
    </row>
    <row r="900" spans="1:74" s="112" customFormat="1" ht="31.5" x14ac:dyDescent="0.2">
      <c r="A900" s="81" t="s">
        <v>1263</v>
      </c>
      <c r="B900" s="79" t="s">
        <v>1264</v>
      </c>
      <c r="C900" s="130">
        <f>+C901</f>
        <v>0</v>
      </c>
      <c r="D900" s="130">
        <f t="shared" si="402"/>
        <v>0</v>
      </c>
      <c r="E900" s="130">
        <f t="shared" si="402"/>
        <v>0</v>
      </c>
      <c r="F900" s="130">
        <f t="shared" si="402"/>
        <v>8465753196</v>
      </c>
      <c r="G900" s="130">
        <f t="shared" si="402"/>
        <v>1928835878</v>
      </c>
      <c r="H900" s="130">
        <f t="shared" si="402"/>
        <v>0</v>
      </c>
      <c r="I900" s="130">
        <f t="shared" si="402"/>
        <v>0</v>
      </c>
      <c r="J900" s="130">
        <f t="shared" si="402"/>
        <v>0</v>
      </c>
      <c r="K900" s="130">
        <f t="shared" si="402"/>
        <v>0</v>
      </c>
      <c r="L900" s="130">
        <f t="shared" si="402"/>
        <v>0</v>
      </c>
      <c r="M900" s="130">
        <f t="shared" si="402"/>
        <v>0</v>
      </c>
      <c r="N900" s="130">
        <f t="shared" si="402"/>
        <v>0</v>
      </c>
      <c r="O900" s="93">
        <f t="shared" si="375"/>
        <v>10394589074</v>
      </c>
      <c r="P900" s="111"/>
      <c r="Q900" s="108"/>
      <c r="R900" s="111"/>
      <c r="S900" s="111"/>
      <c r="T900" s="111"/>
      <c r="U900" s="111"/>
      <c r="V900" s="111"/>
      <c r="W900" s="111"/>
      <c r="X900" s="111"/>
      <c r="Y900" s="111"/>
      <c r="Z900" s="111"/>
      <c r="AA900" s="111"/>
      <c r="AB900" s="111"/>
      <c r="AC900" s="111"/>
      <c r="AD900" s="111"/>
      <c r="AE900" s="111"/>
      <c r="AF900" s="111"/>
      <c r="AG900" s="111"/>
      <c r="AH900" s="111"/>
      <c r="AI900" s="111"/>
      <c r="AJ900" s="111"/>
      <c r="AK900" s="111"/>
      <c r="AL900" s="111"/>
      <c r="AM900" s="111"/>
      <c r="AN900" s="111"/>
      <c r="AO900" s="111"/>
      <c r="AP900" s="111"/>
      <c r="AQ900" s="111"/>
      <c r="AR900" s="111"/>
      <c r="AS900" s="111"/>
      <c r="AT900" s="111"/>
      <c r="AU900" s="111"/>
      <c r="AV900" s="111"/>
      <c r="AW900" s="111"/>
      <c r="AX900" s="111"/>
      <c r="AY900" s="111"/>
      <c r="AZ900" s="111"/>
      <c r="BA900" s="111"/>
      <c r="BB900" s="111"/>
      <c r="BC900" s="111"/>
      <c r="BD900" s="111"/>
      <c r="BE900" s="111"/>
      <c r="BF900" s="111"/>
      <c r="BG900" s="111"/>
      <c r="BH900" s="111"/>
      <c r="BI900" s="111"/>
      <c r="BJ900" s="111"/>
      <c r="BK900" s="111"/>
      <c r="BL900" s="111"/>
      <c r="BM900" s="111"/>
      <c r="BN900" s="111"/>
      <c r="BO900" s="111"/>
      <c r="BP900" s="111"/>
      <c r="BQ900" s="111"/>
      <c r="BR900" s="111"/>
      <c r="BS900" s="111"/>
      <c r="BT900" s="111"/>
      <c r="BU900" s="111"/>
      <c r="BV900" s="111"/>
    </row>
    <row r="901" spans="1:74" s="112" customFormat="1" ht="15.75" x14ac:dyDescent="0.2">
      <c r="A901" s="81" t="s">
        <v>1265</v>
      </c>
      <c r="B901" s="79" t="s">
        <v>1268</v>
      </c>
      <c r="C901" s="130">
        <f>+C902+C903</f>
        <v>0</v>
      </c>
      <c r="D901" s="130">
        <f t="shared" ref="D901:N901" si="403">+D902+D903</f>
        <v>0</v>
      </c>
      <c r="E901" s="130">
        <f t="shared" si="403"/>
        <v>0</v>
      </c>
      <c r="F901" s="130">
        <f t="shared" si="403"/>
        <v>8465753196</v>
      </c>
      <c r="G901" s="130">
        <f t="shared" si="403"/>
        <v>1928835878</v>
      </c>
      <c r="H901" s="130">
        <f t="shared" si="403"/>
        <v>0</v>
      </c>
      <c r="I901" s="130">
        <f t="shared" si="403"/>
        <v>0</v>
      </c>
      <c r="J901" s="130">
        <f t="shared" si="403"/>
        <v>0</v>
      </c>
      <c r="K901" s="130">
        <f t="shared" si="403"/>
        <v>0</v>
      </c>
      <c r="L901" s="130">
        <f t="shared" si="403"/>
        <v>0</v>
      </c>
      <c r="M901" s="130">
        <f t="shared" si="403"/>
        <v>0</v>
      </c>
      <c r="N901" s="130">
        <f t="shared" si="403"/>
        <v>0</v>
      </c>
      <c r="O901" s="93">
        <f t="shared" si="375"/>
        <v>10394589074</v>
      </c>
      <c r="P901" s="111"/>
      <c r="Q901" s="108"/>
      <c r="R901" s="111"/>
      <c r="S901" s="111"/>
      <c r="T901" s="111"/>
      <c r="U901" s="111"/>
      <c r="V901" s="111"/>
      <c r="W901" s="111"/>
      <c r="X901" s="111"/>
      <c r="Y901" s="111"/>
      <c r="Z901" s="111"/>
      <c r="AA901" s="111"/>
      <c r="AB901" s="111"/>
      <c r="AC901" s="111"/>
      <c r="AD901" s="111"/>
      <c r="AE901" s="111"/>
      <c r="AF901" s="111"/>
      <c r="AG901" s="111"/>
      <c r="AH901" s="111"/>
      <c r="AI901" s="111"/>
      <c r="AJ901" s="111"/>
      <c r="AK901" s="111"/>
      <c r="AL901" s="111"/>
      <c r="AM901" s="111"/>
      <c r="AN901" s="111"/>
      <c r="AO901" s="111"/>
      <c r="AP901" s="111"/>
      <c r="AQ901" s="111"/>
      <c r="AR901" s="111"/>
      <c r="AS901" s="111"/>
      <c r="AT901" s="111"/>
      <c r="AU901" s="111"/>
      <c r="AV901" s="111"/>
      <c r="AW901" s="111"/>
      <c r="AX901" s="111"/>
      <c r="AY901" s="111"/>
      <c r="AZ901" s="111"/>
      <c r="BA901" s="111"/>
      <c r="BB901" s="111"/>
      <c r="BC901" s="111"/>
      <c r="BD901" s="111"/>
      <c r="BE901" s="111"/>
      <c r="BF901" s="111"/>
      <c r="BG901" s="111"/>
      <c r="BH901" s="111"/>
      <c r="BI901" s="111"/>
      <c r="BJ901" s="111"/>
      <c r="BK901" s="111"/>
      <c r="BL901" s="111"/>
      <c r="BM901" s="111"/>
      <c r="BN901" s="111"/>
      <c r="BO901" s="111"/>
      <c r="BP901" s="111"/>
      <c r="BQ901" s="111"/>
      <c r="BR901" s="111"/>
      <c r="BS901" s="111"/>
      <c r="BT901" s="111"/>
      <c r="BU901" s="111"/>
      <c r="BV901" s="111"/>
    </row>
    <row r="902" spans="1:74" s="70" customFormat="1" ht="28.5" x14ac:dyDescent="0.2">
      <c r="A902" s="76" t="s">
        <v>1259</v>
      </c>
      <c r="B902" s="77" t="s">
        <v>1260</v>
      </c>
      <c r="C902" s="131"/>
      <c r="D902" s="131"/>
      <c r="E902" s="131"/>
      <c r="F902" s="131">
        <v>8465753196</v>
      </c>
      <c r="G902" s="131"/>
      <c r="H902" s="131"/>
      <c r="I902" s="131"/>
      <c r="J902" s="131"/>
      <c r="K902" s="131"/>
      <c r="L902" s="131"/>
      <c r="M902" s="131"/>
      <c r="N902" s="131"/>
      <c r="O902" s="93">
        <f t="shared" si="375"/>
        <v>8465753196</v>
      </c>
      <c r="P902" s="69"/>
      <c r="Q902" s="108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  <c r="AV902" s="69"/>
      <c r="AW902" s="69"/>
      <c r="AX902" s="69"/>
      <c r="AY902" s="69"/>
      <c r="AZ902" s="69"/>
      <c r="BA902" s="69"/>
      <c r="BB902" s="69"/>
      <c r="BC902" s="69"/>
      <c r="BD902" s="69"/>
      <c r="BE902" s="69"/>
      <c r="BF902" s="69"/>
      <c r="BG902" s="69"/>
      <c r="BH902" s="69"/>
      <c r="BI902" s="69"/>
      <c r="BJ902" s="69"/>
      <c r="BK902" s="69"/>
      <c r="BL902" s="69"/>
      <c r="BM902" s="69"/>
      <c r="BN902" s="69"/>
      <c r="BO902" s="69"/>
      <c r="BP902" s="69"/>
      <c r="BQ902" s="69"/>
      <c r="BR902" s="69"/>
      <c r="BS902" s="69"/>
      <c r="BT902" s="69"/>
      <c r="BU902" s="69"/>
      <c r="BV902" s="69"/>
    </row>
    <row r="903" spans="1:74" s="70" customFormat="1" ht="28.5" x14ac:dyDescent="0.2">
      <c r="A903" s="76" t="s">
        <v>1861</v>
      </c>
      <c r="B903" s="77" t="s">
        <v>1862</v>
      </c>
      <c r="C903" s="131"/>
      <c r="D903" s="131"/>
      <c r="E903" s="131"/>
      <c r="F903" s="131"/>
      <c r="G903" s="131">
        <v>1928835878</v>
      </c>
      <c r="H903" s="131"/>
      <c r="I903" s="131"/>
      <c r="J903" s="131"/>
      <c r="K903" s="131"/>
      <c r="L903" s="131"/>
      <c r="M903" s="131"/>
      <c r="N903" s="131"/>
      <c r="O903" s="93">
        <f t="shared" si="375"/>
        <v>1928835878</v>
      </c>
      <c r="P903" s="69"/>
      <c r="Q903" s="108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  <c r="AV903" s="69"/>
      <c r="AW903" s="69"/>
      <c r="AX903" s="69"/>
      <c r="AY903" s="69"/>
      <c r="AZ903" s="69"/>
      <c r="BA903" s="69"/>
      <c r="BB903" s="69"/>
      <c r="BC903" s="69"/>
      <c r="BD903" s="69"/>
      <c r="BE903" s="69"/>
      <c r="BF903" s="69"/>
      <c r="BG903" s="69"/>
      <c r="BH903" s="69"/>
      <c r="BI903" s="69"/>
      <c r="BJ903" s="69"/>
      <c r="BK903" s="69"/>
      <c r="BL903" s="69"/>
      <c r="BM903" s="69"/>
      <c r="BN903" s="69"/>
      <c r="BO903" s="69"/>
      <c r="BP903" s="69"/>
      <c r="BQ903" s="69"/>
      <c r="BR903" s="69"/>
      <c r="BS903" s="69"/>
      <c r="BT903" s="69"/>
      <c r="BU903" s="69"/>
      <c r="BV903" s="69"/>
    </row>
    <row r="904" spans="1:74" s="68" customFormat="1" ht="31.5" x14ac:dyDescent="0.2">
      <c r="A904" s="81" t="s">
        <v>813</v>
      </c>
      <c r="B904" s="79" t="s">
        <v>1096</v>
      </c>
      <c r="C904" s="130">
        <f t="shared" ref="C904:N904" si="404">+C905</f>
        <v>0</v>
      </c>
      <c r="D904" s="130">
        <f t="shared" si="404"/>
        <v>0</v>
      </c>
      <c r="E904" s="130">
        <f t="shared" si="404"/>
        <v>0</v>
      </c>
      <c r="F904" s="130">
        <f t="shared" si="404"/>
        <v>0</v>
      </c>
      <c r="G904" s="130">
        <f t="shared" si="404"/>
        <v>0</v>
      </c>
      <c r="H904" s="130">
        <f t="shared" si="404"/>
        <v>0</v>
      </c>
      <c r="I904" s="130">
        <f t="shared" si="404"/>
        <v>0</v>
      </c>
      <c r="J904" s="130">
        <f t="shared" si="404"/>
        <v>0</v>
      </c>
      <c r="K904" s="130">
        <f t="shared" si="404"/>
        <v>0</v>
      </c>
      <c r="L904" s="130">
        <f t="shared" si="404"/>
        <v>0</v>
      </c>
      <c r="M904" s="130">
        <f t="shared" si="404"/>
        <v>0</v>
      </c>
      <c r="N904" s="130">
        <f t="shared" si="404"/>
        <v>0</v>
      </c>
      <c r="O904" s="93">
        <f t="shared" si="375"/>
        <v>0</v>
      </c>
      <c r="P904" s="67"/>
      <c r="Q904" s="108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  <c r="AK904" s="67"/>
      <c r="AL904" s="67"/>
      <c r="AM904" s="67"/>
      <c r="AN904" s="67"/>
      <c r="AO904" s="67"/>
      <c r="AP904" s="67"/>
      <c r="AQ904" s="67"/>
      <c r="AR904" s="67"/>
      <c r="AS904" s="67"/>
      <c r="AT904" s="67"/>
      <c r="AU904" s="67"/>
      <c r="AV904" s="67"/>
      <c r="AW904" s="67"/>
      <c r="AX904" s="67"/>
      <c r="AY904" s="67"/>
      <c r="AZ904" s="67"/>
      <c r="BA904" s="67"/>
      <c r="BB904" s="67"/>
      <c r="BC904" s="67"/>
      <c r="BD904" s="67"/>
      <c r="BE904" s="67"/>
      <c r="BF904" s="67"/>
      <c r="BG904" s="67"/>
      <c r="BH904" s="67"/>
      <c r="BI904" s="67"/>
      <c r="BJ904" s="67"/>
      <c r="BK904" s="67"/>
      <c r="BL904" s="67"/>
      <c r="BM904" s="67"/>
      <c r="BN904" s="67"/>
      <c r="BO904" s="67"/>
      <c r="BP904" s="67"/>
      <c r="BQ904" s="67"/>
      <c r="BR904" s="67"/>
      <c r="BS904" s="67"/>
      <c r="BT904" s="67"/>
      <c r="BU904" s="67"/>
      <c r="BV904" s="67"/>
    </row>
    <row r="905" spans="1:74" s="68" customFormat="1" ht="15.75" x14ac:dyDescent="0.2">
      <c r="A905" s="81" t="s">
        <v>1097</v>
      </c>
      <c r="B905" s="79" t="s">
        <v>1098</v>
      </c>
      <c r="C905" s="130">
        <f t="shared" ref="C905:N905" si="405">+C906+C909</f>
        <v>0</v>
      </c>
      <c r="D905" s="130">
        <f t="shared" si="405"/>
        <v>0</v>
      </c>
      <c r="E905" s="130">
        <f t="shared" si="405"/>
        <v>0</v>
      </c>
      <c r="F905" s="130">
        <f t="shared" si="405"/>
        <v>0</v>
      </c>
      <c r="G905" s="130">
        <f t="shared" si="405"/>
        <v>0</v>
      </c>
      <c r="H905" s="130">
        <f t="shared" si="405"/>
        <v>0</v>
      </c>
      <c r="I905" s="130">
        <f t="shared" si="405"/>
        <v>0</v>
      </c>
      <c r="J905" s="130">
        <f t="shared" si="405"/>
        <v>0</v>
      </c>
      <c r="K905" s="130">
        <f t="shared" si="405"/>
        <v>0</v>
      </c>
      <c r="L905" s="130">
        <f t="shared" si="405"/>
        <v>0</v>
      </c>
      <c r="M905" s="130">
        <f t="shared" si="405"/>
        <v>0</v>
      </c>
      <c r="N905" s="130">
        <f t="shared" si="405"/>
        <v>0</v>
      </c>
      <c r="O905" s="93">
        <f t="shared" si="375"/>
        <v>0</v>
      </c>
      <c r="P905" s="67"/>
      <c r="Q905" s="108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  <c r="AK905" s="67"/>
      <c r="AL905" s="67"/>
      <c r="AM905" s="67"/>
      <c r="AN905" s="67"/>
      <c r="AO905" s="67"/>
      <c r="AP905" s="67"/>
      <c r="AQ905" s="67"/>
      <c r="AR905" s="67"/>
      <c r="AS905" s="67"/>
      <c r="AT905" s="67"/>
      <c r="AU905" s="67"/>
      <c r="AV905" s="67"/>
      <c r="AW905" s="67"/>
      <c r="AX905" s="67"/>
      <c r="AY905" s="67"/>
      <c r="AZ905" s="67"/>
      <c r="BA905" s="67"/>
      <c r="BB905" s="67"/>
      <c r="BC905" s="67"/>
      <c r="BD905" s="67"/>
      <c r="BE905" s="67"/>
      <c r="BF905" s="67"/>
      <c r="BG905" s="67"/>
      <c r="BH905" s="67"/>
      <c r="BI905" s="67"/>
      <c r="BJ905" s="67"/>
      <c r="BK905" s="67"/>
      <c r="BL905" s="67"/>
      <c r="BM905" s="67"/>
      <c r="BN905" s="67"/>
      <c r="BO905" s="67"/>
      <c r="BP905" s="67"/>
      <c r="BQ905" s="67"/>
      <c r="BR905" s="67"/>
      <c r="BS905" s="67"/>
      <c r="BT905" s="67"/>
      <c r="BU905" s="67"/>
      <c r="BV905" s="67"/>
    </row>
    <row r="906" spans="1:74" s="68" customFormat="1" ht="15.75" x14ac:dyDescent="0.2">
      <c r="A906" s="81" t="s">
        <v>1099</v>
      </c>
      <c r="B906" s="79" t="s">
        <v>1100</v>
      </c>
      <c r="C906" s="130">
        <f t="shared" ref="C906:N907" si="406">+C907</f>
        <v>0</v>
      </c>
      <c r="D906" s="130">
        <f t="shared" si="406"/>
        <v>0</v>
      </c>
      <c r="E906" s="130">
        <f t="shared" si="406"/>
        <v>0</v>
      </c>
      <c r="F906" s="130">
        <f t="shared" si="406"/>
        <v>0</v>
      </c>
      <c r="G906" s="130">
        <f t="shared" si="406"/>
        <v>0</v>
      </c>
      <c r="H906" s="130">
        <f t="shared" si="406"/>
        <v>0</v>
      </c>
      <c r="I906" s="130">
        <f t="shared" si="406"/>
        <v>0</v>
      </c>
      <c r="J906" s="130">
        <f t="shared" si="406"/>
        <v>0</v>
      </c>
      <c r="K906" s="130">
        <f t="shared" si="406"/>
        <v>0</v>
      </c>
      <c r="L906" s="130">
        <f t="shared" si="406"/>
        <v>0</v>
      </c>
      <c r="M906" s="130">
        <f t="shared" si="406"/>
        <v>0</v>
      </c>
      <c r="N906" s="130">
        <f t="shared" si="406"/>
        <v>0</v>
      </c>
      <c r="O906" s="93">
        <f t="shared" si="375"/>
        <v>0</v>
      </c>
      <c r="P906" s="67"/>
      <c r="Q906" s="108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  <c r="AK906" s="67"/>
      <c r="AL906" s="67"/>
      <c r="AM906" s="67"/>
      <c r="AN906" s="67"/>
      <c r="AO906" s="67"/>
      <c r="AP906" s="67"/>
      <c r="AQ906" s="67"/>
      <c r="AR906" s="67"/>
      <c r="AS906" s="67"/>
      <c r="AT906" s="67"/>
      <c r="AU906" s="67"/>
      <c r="AV906" s="67"/>
      <c r="AW906" s="67"/>
      <c r="AX906" s="67"/>
      <c r="AY906" s="67"/>
      <c r="AZ906" s="67"/>
      <c r="BA906" s="67"/>
      <c r="BB906" s="67"/>
      <c r="BC906" s="67"/>
      <c r="BD906" s="67"/>
      <c r="BE906" s="67"/>
      <c r="BF906" s="67"/>
      <c r="BG906" s="67"/>
      <c r="BH906" s="67"/>
      <c r="BI906" s="67"/>
      <c r="BJ906" s="67"/>
      <c r="BK906" s="67"/>
      <c r="BL906" s="67"/>
      <c r="BM906" s="67"/>
      <c r="BN906" s="67"/>
      <c r="BO906" s="67"/>
      <c r="BP906" s="67"/>
      <c r="BQ906" s="67"/>
      <c r="BR906" s="67"/>
      <c r="BS906" s="67"/>
      <c r="BT906" s="67"/>
      <c r="BU906" s="67"/>
      <c r="BV906" s="67"/>
    </row>
    <row r="907" spans="1:74" s="68" customFormat="1" ht="31.5" x14ac:dyDescent="0.2">
      <c r="A907" s="81" t="s">
        <v>1101</v>
      </c>
      <c r="B907" s="79" t="s">
        <v>1102</v>
      </c>
      <c r="C907" s="130">
        <f t="shared" si="406"/>
        <v>0</v>
      </c>
      <c r="D907" s="130">
        <f t="shared" si="406"/>
        <v>0</v>
      </c>
      <c r="E907" s="130">
        <f t="shared" si="406"/>
        <v>0</v>
      </c>
      <c r="F907" s="130">
        <f t="shared" si="406"/>
        <v>0</v>
      </c>
      <c r="G907" s="130">
        <f t="shared" si="406"/>
        <v>0</v>
      </c>
      <c r="H907" s="130">
        <f t="shared" si="406"/>
        <v>0</v>
      </c>
      <c r="I907" s="130">
        <f t="shared" si="406"/>
        <v>0</v>
      </c>
      <c r="J907" s="130">
        <f t="shared" si="406"/>
        <v>0</v>
      </c>
      <c r="K907" s="130">
        <f t="shared" si="406"/>
        <v>0</v>
      </c>
      <c r="L907" s="130">
        <f t="shared" si="406"/>
        <v>0</v>
      </c>
      <c r="M907" s="130">
        <f t="shared" si="406"/>
        <v>0</v>
      </c>
      <c r="N907" s="130">
        <f t="shared" si="406"/>
        <v>0</v>
      </c>
      <c r="O907" s="93">
        <f t="shared" si="375"/>
        <v>0</v>
      </c>
      <c r="P907" s="67"/>
      <c r="Q907" s="108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  <c r="AK907" s="67"/>
      <c r="AL907" s="67"/>
      <c r="AM907" s="67"/>
      <c r="AN907" s="67"/>
      <c r="AO907" s="67"/>
      <c r="AP907" s="67"/>
      <c r="AQ907" s="67"/>
      <c r="AR907" s="67"/>
      <c r="AS907" s="67"/>
      <c r="AT907" s="67"/>
      <c r="AU907" s="67"/>
      <c r="AV907" s="67"/>
      <c r="AW907" s="67"/>
      <c r="AX907" s="67"/>
      <c r="AY907" s="67"/>
      <c r="AZ907" s="67"/>
      <c r="BA907" s="67"/>
      <c r="BB907" s="67"/>
      <c r="BC907" s="67"/>
      <c r="BD907" s="67"/>
      <c r="BE907" s="67"/>
      <c r="BF907" s="67"/>
      <c r="BG907" s="67"/>
      <c r="BH907" s="67"/>
      <c r="BI907" s="67"/>
      <c r="BJ907" s="67"/>
      <c r="BK907" s="67"/>
      <c r="BL907" s="67"/>
      <c r="BM907" s="67"/>
      <c r="BN907" s="67"/>
      <c r="BO907" s="67"/>
      <c r="BP907" s="67"/>
      <c r="BQ907" s="67"/>
      <c r="BR907" s="67"/>
      <c r="BS907" s="67"/>
      <c r="BT907" s="67"/>
      <c r="BU907" s="67"/>
      <c r="BV907" s="67"/>
    </row>
    <row r="908" spans="1:74" s="68" customFormat="1" ht="28.5" x14ac:dyDescent="0.2">
      <c r="A908" s="76" t="s">
        <v>1103</v>
      </c>
      <c r="B908" s="77" t="s">
        <v>378</v>
      </c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93">
        <f t="shared" si="375"/>
        <v>0</v>
      </c>
      <c r="P908" s="67"/>
      <c r="Q908" s="108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O908" s="67"/>
      <c r="AP908" s="67"/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  <c r="BI908" s="67"/>
      <c r="BJ908" s="67"/>
      <c r="BK908" s="67"/>
      <c r="BL908" s="67"/>
      <c r="BM908" s="67"/>
      <c r="BN908" s="67"/>
      <c r="BO908" s="67"/>
      <c r="BP908" s="67"/>
      <c r="BQ908" s="67"/>
      <c r="BR908" s="67"/>
      <c r="BS908" s="67"/>
      <c r="BT908" s="67"/>
      <c r="BU908" s="67"/>
      <c r="BV908" s="67"/>
    </row>
    <row r="909" spans="1:74" s="68" customFormat="1" ht="31.5" x14ac:dyDescent="0.2">
      <c r="A909" s="81" t="s">
        <v>1104</v>
      </c>
      <c r="B909" s="79" t="s">
        <v>1105</v>
      </c>
      <c r="C909" s="130">
        <f t="shared" ref="C909:N910" si="407">+C910</f>
        <v>0</v>
      </c>
      <c r="D909" s="130">
        <f t="shared" si="407"/>
        <v>0</v>
      </c>
      <c r="E909" s="130">
        <f t="shared" si="407"/>
        <v>0</v>
      </c>
      <c r="F909" s="130">
        <f t="shared" si="407"/>
        <v>0</v>
      </c>
      <c r="G909" s="130">
        <f t="shared" si="407"/>
        <v>0</v>
      </c>
      <c r="H909" s="130">
        <f t="shared" si="407"/>
        <v>0</v>
      </c>
      <c r="I909" s="130">
        <f t="shared" si="407"/>
        <v>0</v>
      </c>
      <c r="J909" s="130">
        <f t="shared" si="407"/>
        <v>0</v>
      </c>
      <c r="K909" s="130">
        <f t="shared" si="407"/>
        <v>0</v>
      </c>
      <c r="L909" s="130">
        <f t="shared" si="407"/>
        <v>0</v>
      </c>
      <c r="M909" s="130">
        <f t="shared" si="407"/>
        <v>0</v>
      </c>
      <c r="N909" s="130">
        <f t="shared" si="407"/>
        <v>0</v>
      </c>
      <c r="O909" s="93">
        <f t="shared" si="375"/>
        <v>0</v>
      </c>
      <c r="P909" s="67"/>
      <c r="Q909" s="108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O909" s="67"/>
      <c r="AP909" s="67"/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  <c r="BI909" s="67"/>
      <c r="BJ909" s="67"/>
      <c r="BK909" s="67"/>
      <c r="BL909" s="67"/>
      <c r="BM909" s="67"/>
      <c r="BN909" s="67"/>
      <c r="BO909" s="67"/>
      <c r="BP909" s="67"/>
      <c r="BQ909" s="67"/>
      <c r="BR909" s="67"/>
      <c r="BS909" s="67"/>
      <c r="BT909" s="67"/>
      <c r="BU909" s="67"/>
      <c r="BV909" s="67"/>
    </row>
    <row r="910" spans="1:74" s="68" customFormat="1" ht="31.5" x14ac:dyDescent="0.2">
      <c r="A910" s="81" t="s">
        <v>1106</v>
      </c>
      <c r="B910" s="79" t="s">
        <v>1107</v>
      </c>
      <c r="C910" s="130">
        <f t="shared" si="407"/>
        <v>0</v>
      </c>
      <c r="D910" s="130">
        <f t="shared" si="407"/>
        <v>0</v>
      </c>
      <c r="E910" s="130">
        <f t="shared" si="407"/>
        <v>0</v>
      </c>
      <c r="F910" s="130">
        <f t="shared" si="407"/>
        <v>0</v>
      </c>
      <c r="G910" s="130">
        <f t="shared" si="407"/>
        <v>0</v>
      </c>
      <c r="H910" s="130">
        <f t="shared" si="407"/>
        <v>0</v>
      </c>
      <c r="I910" s="130">
        <f t="shared" si="407"/>
        <v>0</v>
      </c>
      <c r="J910" s="130">
        <f t="shared" si="407"/>
        <v>0</v>
      </c>
      <c r="K910" s="130">
        <f t="shared" si="407"/>
        <v>0</v>
      </c>
      <c r="L910" s="130">
        <f t="shared" si="407"/>
        <v>0</v>
      </c>
      <c r="M910" s="130">
        <f t="shared" si="407"/>
        <v>0</v>
      </c>
      <c r="N910" s="130">
        <f t="shared" si="407"/>
        <v>0</v>
      </c>
      <c r="O910" s="93">
        <f t="shared" si="375"/>
        <v>0</v>
      </c>
      <c r="P910" s="67"/>
      <c r="Q910" s="108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  <c r="AK910" s="67"/>
      <c r="AL910" s="67"/>
      <c r="AM910" s="67"/>
      <c r="AN910" s="67"/>
      <c r="AO910" s="67"/>
      <c r="AP910" s="67"/>
      <c r="AQ910" s="67"/>
      <c r="AR910" s="67"/>
      <c r="AS910" s="67"/>
      <c r="AT910" s="67"/>
      <c r="AU910" s="67"/>
      <c r="AV910" s="67"/>
      <c r="AW910" s="67"/>
      <c r="AX910" s="67"/>
      <c r="AY910" s="67"/>
      <c r="AZ910" s="67"/>
      <c r="BA910" s="67"/>
      <c r="BB910" s="67"/>
      <c r="BC910" s="67"/>
      <c r="BD910" s="67"/>
      <c r="BE910" s="67"/>
      <c r="BF910" s="67"/>
      <c r="BG910" s="67"/>
      <c r="BH910" s="67"/>
      <c r="BI910" s="67"/>
      <c r="BJ910" s="67"/>
      <c r="BK910" s="67"/>
      <c r="BL910" s="67"/>
      <c r="BM910" s="67"/>
      <c r="BN910" s="67"/>
      <c r="BO910" s="67"/>
      <c r="BP910" s="67"/>
      <c r="BQ910" s="67"/>
      <c r="BR910" s="67"/>
      <c r="BS910" s="67"/>
      <c r="BT910" s="67"/>
      <c r="BU910" s="67"/>
      <c r="BV910" s="67"/>
    </row>
    <row r="911" spans="1:74" s="68" customFormat="1" ht="28.5" x14ac:dyDescent="0.2">
      <c r="A911" s="76" t="s">
        <v>1108</v>
      </c>
      <c r="B911" s="77" t="s">
        <v>1109</v>
      </c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93">
        <f t="shared" si="375"/>
        <v>0</v>
      </c>
      <c r="P911" s="67"/>
      <c r="Q911" s="108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7"/>
      <c r="AL911" s="67"/>
      <c r="AM911" s="67"/>
      <c r="AN911" s="67"/>
      <c r="AO911" s="67"/>
      <c r="AP911" s="67"/>
      <c r="AQ911" s="67"/>
      <c r="AR911" s="67"/>
      <c r="AS911" s="67"/>
      <c r="AT911" s="67"/>
      <c r="AU911" s="67"/>
      <c r="AV911" s="67"/>
      <c r="AW911" s="67"/>
      <c r="AX911" s="67"/>
      <c r="AY911" s="67"/>
      <c r="AZ911" s="67"/>
      <c r="BA911" s="67"/>
      <c r="BB911" s="67"/>
      <c r="BC911" s="67"/>
      <c r="BD911" s="67"/>
      <c r="BE911" s="67"/>
      <c r="BF911" s="67"/>
      <c r="BG911" s="67"/>
      <c r="BH911" s="67"/>
      <c r="BI911" s="67"/>
      <c r="BJ911" s="67"/>
      <c r="BK911" s="67"/>
      <c r="BL911" s="67"/>
      <c r="BM911" s="67"/>
      <c r="BN911" s="67"/>
      <c r="BO911" s="67"/>
      <c r="BP911" s="67"/>
      <c r="BQ911" s="67"/>
      <c r="BR911" s="67"/>
      <c r="BS911" s="67"/>
      <c r="BT911" s="67"/>
      <c r="BU911" s="67"/>
      <c r="BV911" s="67"/>
    </row>
    <row r="912" spans="1:74" s="68" customFormat="1" ht="15.75" x14ac:dyDescent="0.2">
      <c r="A912" s="81" t="s">
        <v>822</v>
      </c>
      <c r="B912" s="79" t="s">
        <v>1242</v>
      </c>
      <c r="C912" s="130">
        <f>+C913</f>
        <v>0</v>
      </c>
      <c r="D912" s="130">
        <f t="shared" ref="D912:N913" si="408">+D913</f>
        <v>0</v>
      </c>
      <c r="E912" s="130">
        <f t="shared" si="408"/>
        <v>288000000</v>
      </c>
      <c r="F912" s="130">
        <f t="shared" si="408"/>
        <v>0</v>
      </c>
      <c r="G912" s="130">
        <f t="shared" si="408"/>
        <v>20941094602.32</v>
      </c>
      <c r="H912" s="130">
        <f t="shared" si="408"/>
        <v>0</v>
      </c>
      <c r="I912" s="130">
        <f t="shared" si="408"/>
        <v>0</v>
      </c>
      <c r="J912" s="130">
        <f t="shared" si="408"/>
        <v>0</v>
      </c>
      <c r="K912" s="130">
        <f t="shared" si="408"/>
        <v>0</v>
      </c>
      <c r="L912" s="130">
        <f t="shared" si="408"/>
        <v>0</v>
      </c>
      <c r="M912" s="130">
        <f t="shared" si="408"/>
        <v>0</v>
      </c>
      <c r="N912" s="130">
        <f t="shared" si="408"/>
        <v>0</v>
      </c>
      <c r="O912" s="93">
        <f t="shared" si="375"/>
        <v>21229094602.32</v>
      </c>
      <c r="P912" s="67"/>
      <c r="Q912" s="108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  <c r="AK912" s="67"/>
      <c r="AL912" s="67"/>
      <c r="AM912" s="67"/>
      <c r="AN912" s="67"/>
      <c r="AO912" s="67"/>
      <c r="AP912" s="67"/>
      <c r="AQ912" s="67"/>
      <c r="AR912" s="67"/>
      <c r="AS912" s="67"/>
      <c r="AT912" s="67"/>
      <c r="AU912" s="67"/>
      <c r="AV912" s="67"/>
      <c r="AW912" s="67"/>
      <c r="AX912" s="67"/>
      <c r="AY912" s="67"/>
      <c r="AZ912" s="67"/>
      <c r="BA912" s="67"/>
      <c r="BB912" s="67"/>
      <c r="BC912" s="67"/>
      <c r="BD912" s="67"/>
      <c r="BE912" s="67"/>
      <c r="BF912" s="67"/>
      <c r="BG912" s="67"/>
      <c r="BH912" s="67"/>
      <c r="BI912" s="67"/>
      <c r="BJ912" s="67"/>
      <c r="BK912" s="67"/>
      <c r="BL912" s="67"/>
      <c r="BM912" s="67"/>
      <c r="BN912" s="67"/>
      <c r="BO912" s="67"/>
      <c r="BP912" s="67"/>
      <c r="BQ912" s="67"/>
      <c r="BR912" s="67"/>
      <c r="BS912" s="67"/>
      <c r="BT912" s="67"/>
      <c r="BU912" s="67"/>
      <c r="BV912" s="67"/>
    </row>
    <row r="913" spans="1:74" s="68" customFormat="1" ht="15.75" x14ac:dyDescent="0.2">
      <c r="A913" s="81" t="s">
        <v>823</v>
      </c>
      <c r="B913" s="79" t="s">
        <v>1243</v>
      </c>
      <c r="C913" s="130">
        <f>+C914</f>
        <v>0</v>
      </c>
      <c r="D913" s="130">
        <f t="shared" si="408"/>
        <v>0</v>
      </c>
      <c r="E913" s="130">
        <f t="shared" si="408"/>
        <v>288000000</v>
      </c>
      <c r="F913" s="130">
        <f t="shared" si="408"/>
        <v>0</v>
      </c>
      <c r="G913" s="130">
        <f t="shared" si="408"/>
        <v>20941094602.32</v>
      </c>
      <c r="H913" s="130">
        <f t="shared" si="408"/>
        <v>0</v>
      </c>
      <c r="I913" s="130">
        <f t="shared" si="408"/>
        <v>0</v>
      </c>
      <c r="J913" s="130">
        <f t="shared" si="408"/>
        <v>0</v>
      </c>
      <c r="K913" s="130">
        <f t="shared" si="408"/>
        <v>0</v>
      </c>
      <c r="L913" s="130">
        <f t="shared" si="408"/>
        <v>0</v>
      </c>
      <c r="M913" s="130">
        <f t="shared" si="408"/>
        <v>0</v>
      </c>
      <c r="N913" s="130">
        <f t="shared" si="408"/>
        <v>0</v>
      </c>
      <c r="O913" s="93">
        <f t="shared" si="375"/>
        <v>21229094602.32</v>
      </c>
      <c r="P913" s="67"/>
      <c r="Q913" s="108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  <c r="AK913" s="67"/>
      <c r="AL913" s="67"/>
      <c r="AM913" s="67"/>
      <c r="AN913" s="67"/>
      <c r="AO913" s="67"/>
      <c r="AP913" s="67"/>
      <c r="AQ913" s="67"/>
      <c r="AR913" s="67"/>
      <c r="AS913" s="67"/>
      <c r="AT913" s="67"/>
      <c r="AU913" s="67"/>
      <c r="AV913" s="67"/>
      <c r="AW913" s="67"/>
      <c r="AX913" s="67"/>
      <c r="AY913" s="67"/>
      <c r="AZ913" s="67"/>
      <c r="BA913" s="67"/>
      <c r="BB913" s="67"/>
      <c r="BC913" s="67"/>
      <c r="BD913" s="67"/>
      <c r="BE913" s="67"/>
      <c r="BF913" s="67"/>
      <c r="BG913" s="67"/>
      <c r="BH913" s="67"/>
      <c r="BI913" s="67"/>
      <c r="BJ913" s="67"/>
      <c r="BK913" s="67"/>
      <c r="BL913" s="67"/>
      <c r="BM913" s="67"/>
      <c r="BN913" s="67"/>
      <c r="BO913" s="67"/>
      <c r="BP913" s="67"/>
      <c r="BQ913" s="67"/>
      <c r="BR913" s="67"/>
      <c r="BS913" s="67"/>
      <c r="BT913" s="67"/>
      <c r="BU913" s="67"/>
      <c r="BV913" s="67"/>
    </row>
    <row r="914" spans="1:74" s="68" customFormat="1" ht="15.75" x14ac:dyDescent="0.2">
      <c r="A914" s="81" t="s">
        <v>1123</v>
      </c>
      <c r="B914" s="79" t="s">
        <v>1244</v>
      </c>
      <c r="C914" s="130">
        <f>SUM(C915:C962)</f>
        <v>0</v>
      </c>
      <c r="D914" s="130">
        <f t="shared" ref="D914:N914" si="409">SUM(D915:D962)</f>
        <v>0</v>
      </c>
      <c r="E914" s="130">
        <f t="shared" si="409"/>
        <v>288000000</v>
      </c>
      <c r="F914" s="130">
        <f t="shared" si="409"/>
        <v>0</v>
      </c>
      <c r="G914" s="130">
        <f t="shared" si="409"/>
        <v>20941094602.32</v>
      </c>
      <c r="H914" s="130">
        <f t="shared" si="409"/>
        <v>0</v>
      </c>
      <c r="I914" s="130">
        <f t="shared" si="409"/>
        <v>0</v>
      </c>
      <c r="J914" s="130">
        <f t="shared" si="409"/>
        <v>0</v>
      </c>
      <c r="K914" s="130">
        <f t="shared" si="409"/>
        <v>0</v>
      </c>
      <c r="L914" s="130">
        <f t="shared" si="409"/>
        <v>0</v>
      </c>
      <c r="M914" s="130">
        <f t="shared" si="409"/>
        <v>0</v>
      </c>
      <c r="N914" s="130">
        <f t="shared" si="409"/>
        <v>0</v>
      </c>
      <c r="O914" s="93">
        <f t="shared" si="375"/>
        <v>21229094602.32</v>
      </c>
      <c r="P914" s="67"/>
      <c r="Q914" s="108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7"/>
      <c r="AL914" s="67"/>
      <c r="AM914" s="67"/>
      <c r="AN914" s="67"/>
      <c r="AO914" s="67"/>
      <c r="AP914" s="67"/>
      <c r="AQ914" s="67"/>
      <c r="AR914" s="67"/>
      <c r="AS914" s="67"/>
      <c r="AT914" s="67"/>
      <c r="AU914" s="67"/>
      <c r="AV914" s="67"/>
      <c r="AW914" s="67"/>
      <c r="AX914" s="67"/>
      <c r="AY914" s="67"/>
      <c r="AZ914" s="67"/>
      <c r="BA914" s="67"/>
      <c r="BB914" s="67"/>
      <c r="BC914" s="67"/>
      <c r="BD914" s="67"/>
      <c r="BE914" s="67"/>
      <c r="BF914" s="67"/>
      <c r="BG914" s="67"/>
      <c r="BH914" s="67"/>
      <c r="BI914" s="67"/>
      <c r="BJ914" s="67"/>
      <c r="BK914" s="67"/>
      <c r="BL914" s="67"/>
      <c r="BM914" s="67"/>
      <c r="BN914" s="67"/>
      <c r="BO914" s="67"/>
      <c r="BP914" s="67"/>
      <c r="BQ914" s="67"/>
      <c r="BR914" s="67"/>
      <c r="BS914" s="67"/>
      <c r="BT914" s="67"/>
      <c r="BU914" s="67"/>
      <c r="BV914" s="67"/>
    </row>
    <row r="915" spans="1:74" s="68" customFormat="1" ht="15" x14ac:dyDescent="0.2">
      <c r="A915" s="76" t="s">
        <v>1245</v>
      </c>
      <c r="B915" s="77" t="s">
        <v>1844</v>
      </c>
      <c r="C915" s="132"/>
      <c r="D915" s="132"/>
      <c r="E915" s="132"/>
      <c r="F915" s="132"/>
      <c r="G915" s="132">
        <v>2077475000</v>
      </c>
      <c r="H915" s="132"/>
      <c r="I915" s="132"/>
      <c r="J915" s="132"/>
      <c r="K915" s="132"/>
      <c r="L915" s="132"/>
      <c r="M915" s="132"/>
      <c r="N915" s="132"/>
      <c r="O915" s="192">
        <f t="shared" si="375"/>
        <v>2077475000</v>
      </c>
      <c r="P915" s="67"/>
      <c r="Q915" s="105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  <c r="AK915" s="67"/>
      <c r="AL915" s="67"/>
      <c r="AM915" s="67"/>
      <c r="AN915" s="67"/>
      <c r="AO915" s="67"/>
      <c r="AP915" s="67"/>
      <c r="AQ915" s="67"/>
      <c r="AR915" s="67"/>
      <c r="AS915" s="67"/>
      <c r="AT915" s="67"/>
      <c r="AU915" s="67"/>
      <c r="AV915" s="67"/>
      <c r="AW915" s="67"/>
      <c r="AX915" s="67"/>
      <c r="AY915" s="67"/>
      <c r="AZ915" s="67"/>
      <c r="BA915" s="67"/>
      <c r="BB915" s="67"/>
      <c r="BC915" s="67"/>
      <c r="BD915" s="67"/>
      <c r="BE915" s="67"/>
      <c r="BF915" s="67"/>
      <c r="BG915" s="67"/>
      <c r="BH915" s="67"/>
      <c r="BI915" s="67"/>
      <c r="BJ915" s="67"/>
      <c r="BK915" s="67"/>
      <c r="BL915" s="67"/>
      <c r="BM915" s="67"/>
      <c r="BN915" s="67"/>
      <c r="BO915" s="67"/>
      <c r="BP915" s="67"/>
      <c r="BQ915" s="67"/>
      <c r="BR915" s="67"/>
      <c r="BS915" s="67"/>
      <c r="BT915" s="67"/>
      <c r="BU915" s="67"/>
      <c r="BV915" s="67"/>
    </row>
    <row r="916" spans="1:74" s="68" customFormat="1" ht="15" x14ac:dyDescent="0.2">
      <c r="A916" s="76" t="s">
        <v>1245</v>
      </c>
      <c r="B916" s="77" t="s">
        <v>1844</v>
      </c>
      <c r="C916" s="132"/>
      <c r="D916" s="132"/>
      <c r="E916" s="132"/>
      <c r="F916" s="132"/>
      <c r="G916" s="132">
        <v>31470991.93</v>
      </c>
      <c r="H916" s="132"/>
      <c r="I916" s="132"/>
      <c r="J916" s="132"/>
      <c r="K916" s="132"/>
      <c r="L916" s="132"/>
      <c r="M916" s="132"/>
      <c r="N916" s="132"/>
      <c r="O916" s="192">
        <f t="shared" ref="O916:O979" si="410">SUM(C916:N916)</f>
        <v>31470991.93</v>
      </c>
      <c r="P916" s="67"/>
      <c r="Q916" s="105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  <c r="AK916" s="67"/>
      <c r="AL916" s="67"/>
      <c r="AM916" s="67"/>
      <c r="AN916" s="67"/>
      <c r="AO916" s="67"/>
      <c r="AP916" s="67"/>
      <c r="AQ916" s="67"/>
      <c r="AR916" s="67"/>
      <c r="AS916" s="67"/>
      <c r="AT916" s="67"/>
      <c r="AU916" s="67"/>
      <c r="AV916" s="67"/>
      <c r="AW916" s="67"/>
      <c r="AX916" s="67"/>
      <c r="AY916" s="67"/>
      <c r="AZ916" s="67"/>
      <c r="BA916" s="67"/>
      <c r="BB916" s="67"/>
      <c r="BC916" s="67"/>
      <c r="BD916" s="67"/>
      <c r="BE916" s="67"/>
      <c r="BF916" s="67"/>
      <c r="BG916" s="67"/>
      <c r="BH916" s="67"/>
      <c r="BI916" s="67"/>
      <c r="BJ916" s="67"/>
      <c r="BK916" s="67"/>
      <c r="BL916" s="67"/>
      <c r="BM916" s="67"/>
      <c r="BN916" s="67"/>
      <c r="BO916" s="67"/>
      <c r="BP916" s="67"/>
      <c r="BQ916" s="67"/>
      <c r="BR916" s="67"/>
      <c r="BS916" s="67"/>
      <c r="BT916" s="67"/>
      <c r="BU916" s="67"/>
      <c r="BV916" s="67"/>
    </row>
    <row r="917" spans="1:74" s="68" customFormat="1" ht="15" x14ac:dyDescent="0.2">
      <c r="A917" s="76" t="s">
        <v>1245</v>
      </c>
      <c r="B917" s="77" t="s">
        <v>1246</v>
      </c>
      <c r="C917" s="132"/>
      <c r="D917" s="132"/>
      <c r="E917" s="132"/>
      <c r="F917" s="132"/>
      <c r="G917" s="132">
        <v>1759084388.54</v>
      </c>
      <c r="H917" s="132"/>
      <c r="I917" s="132"/>
      <c r="J917" s="132"/>
      <c r="K917" s="132"/>
      <c r="L917" s="132"/>
      <c r="M917" s="132"/>
      <c r="N917" s="132"/>
      <c r="O917" s="192">
        <f t="shared" si="410"/>
        <v>1759084388.54</v>
      </c>
      <c r="P917" s="67"/>
      <c r="Q917" s="105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  <c r="AK917" s="67"/>
      <c r="AL917" s="67"/>
      <c r="AM917" s="67"/>
      <c r="AN917" s="67"/>
      <c r="AO917" s="67"/>
      <c r="AP917" s="67"/>
      <c r="AQ917" s="67"/>
      <c r="AR917" s="67"/>
      <c r="AS917" s="67"/>
      <c r="AT917" s="67"/>
      <c r="AU917" s="67"/>
      <c r="AV917" s="67"/>
      <c r="AW917" s="67"/>
      <c r="AX917" s="67"/>
      <c r="AY917" s="67"/>
      <c r="AZ917" s="67"/>
      <c r="BA917" s="67"/>
      <c r="BB917" s="67"/>
      <c r="BC917" s="67"/>
      <c r="BD917" s="67"/>
      <c r="BE917" s="67"/>
      <c r="BF917" s="67"/>
      <c r="BG917" s="67"/>
      <c r="BH917" s="67"/>
      <c r="BI917" s="67"/>
      <c r="BJ917" s="67"/>
      <c r="BK917" s="67"/>
      <c r="BL917" s="67"/>
      <c r="BM917" s="67"/>
      <c r="BN917" s="67"/>
      <c r="BO917" s="67"/>
      <c r="BP917" s="67"/>
      <c r="BQ917" s="67"/>
      <c r="BR917" s="67"/>
      <c r="BS917" s="67"/>
      <c r="BT917" s="67"/>
      <c r="BU917" s="67"/>
      <c r="BV917" s="67"/>
    </row>
    <row r="918" spans="1:74" s="68" customFormat="1" ht="29.25" customHeight="1" x14ac:dyDescent="0.2">
      <c r="A918" s="76" t="s">
        <v>1245</v>
      </c>
      <c r="B918" s="77" t="s">
        <v>1246</v>
      </c>
      <c r="C918" s="131"/>
      <c r="D918" s="131"/>
      <c r="E918" s="131">
        <v>288000000</v>
      </c>
      <c r="F918" s="131"/>
      <c r="G918" s="131"/>
      <c r="H918" s="131"/>
      <c r="I918" s="131"/>
      <c r="J918" s="131"/>
      <c r="K918" s="131"/>
      <c r="L918" s="131"/>
      <c r="M918" s="131"/>
      <c r="N918" s="131"/>
      <c r="O918" s="192">
        <f t="shared" si="410"/>
        <v>288000000</v>
      </c>
      <c r="P918" s="67"/>
      <c r="Q918" s="105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  <c r="AK918" s="67"/>
      <c r="AL918" s="67"/>
      <c r="AM918" s="67"/>
      <c r="AN918" s="67"/>
      <c r="AO918" s="67"/>
      <c r="AP918" s="67"/>
      <c r="AQ918" s="67"/>
      <c r="AR918" s="67"/>
      <c r="AS918" s="67"/>
      <c r="AT918" s="67"/>
      <c r="AU918" s="67"/>
      <c r="AV918" s="67"/>
      <c r="AW918" s="67"/>
      <c r="AX918" s="67"/>
      <c r="AY918" s="67"/>
      <c r="AZ918" s="67"/>
      <c r="BA918" s="67"/>
      <c r="BB918" s="67"/>
      <c r="BC918" s="67"/>
      <c r="BD918" s="67"/>
      <c r="BE918" s="67"/>
      <c r="BF918" s="67"/>
      <c r="BG918" s="67"/>
      <c r="BH918" s="67"/>
      <c r="BI918" s="67"/>
      <c r="BJ918" s="67"/>
      <c r="BK918" s="67"/>
      <c r="BL918" s="67"/>
      <c r="BM918" s="67"/>
      <c r="BN918" s="67"/>
      <c r="BO918" s="67"/>
      <c r="BP918" s="67"/>
      <c r="BQ918" s="67"/>
      <c r="BR918" s="67"/>
      <c r="BS918" s="67"/>
      <c r="BT918" s="67"/>
      <c r="BU918" s="67"/>
      <c r="BV918" s="67"/>
    </row>
    <row r="919" spans="1:74" s="68" customFormat="1" ht="14.25" x14ac:dyDescent="0.2">
      <c r="A919" s="76" t="s">
        <v>1245</v>
      </c>
      <c r="B919" s="77" t="s">
        <v>1844</v>
      </c>
      <c r="C919" s="131"/>
      <c r="D919" s="131"/>
      <c r="E919" s="131"/>
      <c r="F919" s="131"/>
      <c r="G919" s="131">
        <v>92490395.019999996</v>
      </c>
      <c r="H919" s="131"/>
      <c r="I919" s="131"/>
      <c r="J919" s="131"/>
      <c r="K919" s="131"/>
      <c r="L919" s="131"/>
      <c r="M919" s="131"/>
      <c r="N919" s="131"/>
      <c r="O919" s="192">
        <f t="shared" si="410"/>
        <v>92490395.019999996</v>
      </c>
      <c r="P919" s="67"/>
      <c r="Q919" s="105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  <c r="AK919" s="67"/>
      <c r="AL919" s="67"/>
      <c r="AM919" s="67"/>
      <c r="AN919" s="67"/>
      <c r="AO919" s="67"/>
      <c r="AP919" s="67"/>
      <c r="AQ919" s="67"/>
      <c r="AR919" s="67"/>
      <c r="AS919" s="67"/>
      <c r="AT919" s="67"/>
      <c r="AU919" s="67"/>
      <c r="AV919" s="67"/>
      <c r="AW919" s="67"/>
      <c r="AX919" s="67"/>
      <c r="AY919" s="67"/>
      <c r="AZ919" s="67"/>
      <c r="BA919" s="67"/>
      <c r="BB919" s="67"/>
      <c r="BC919" s="67"/>
      <c r="BD919" s="67"/>
      <c r="BE919" s="67"/>
      <c r="BF919" s="67"/>
      <c r="BG919" s="67"/>
      <c r="BH919" s="67"/>
      <c r="BI919" s="67"/>
      <c r="BJ919" s="67"/>
      <c r="BK919" s="67"/>
      <c r="BL919" s="67"/>
      <c r="BM919" s="67"/>
      <c r="BN919" s="67"/>
      <c r="BO919" s="67"/>
      <c r="BP919" s="67"/>
      <c r="BQ919" s="67"/>
      <c r="BR919" s="67"/>
      <c r="BS919" s="67"/>
      <c r="BT919" s="67"/>
      <c r="BU919" s="67"/>
      <c r="BV919" s="67"/>
    </row>
    <row r="920" spans="1:74" s="68" customFormat="1" ht="14.25" x14ac:dyDescent="0.2">
      <c r="A920" s="76" t="s">
        <v>1245</v>
      </c>
      <c r="B920" s="77" t="s">
        <v>1844</v>
      </c>
      <c r="C920" s="131"/>
      <c r="D920" s="131"/>
      <c r="E920" s="131"/>
      <c r="F920" s="131"/>
      <c r="G920" s="131">
        <v>598205.68000000005</v>
      </c>
      <c r="H920" s="131"/>
      <c r="I920" s="131"/>
      <c r="J920" s="131"/>
      <c r="K920" s="131"/>
      <c r="L920" s="131"/>
      <c r="M920" s="131"/>
      <c r="N920" s="131"/>
      <c r="O920" s="192">
        <f t="shared" si="410"/>
        <v>598205.68000000005</v>
      </c>
      <c r="P920" s="67"/>
      <c r="Q920" s="105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  <c r="AK920" s="67"/>
      <c r="AL920" s="67"/>
      <c r="AM920" s="67"/>
      <c r="AN920" s="67"/>
      <c r="AO920" s="67"/>
      <c r="AP920" s="67"/>
      <c r="AQ920" s="67"/>
      <c r="AR920" s="67"/>
      <c r="AS920" s="67"/>
      <c r="AT920" s="67"/>
      <c r="AU920" s="67"/>
      <c r="AV920" s="67"/>
      <c r="AW920" s="67"/>
      <c r="AX920" s="67"/>
      <c r="AY920" s="67"/>
      <c r="AZ920" s="67"/>
      <c r="BA920" s="67"/>
      <c r="BB920" s="67"/>
      <c r="BC920" s="67"/>
      <c r="BD920" s="67"/>
      <c r="BE920" s="67"/>
      <c r="BF920" s="67"/>
      <c r="BG920" s="67"/>
      <c r="BH920" s="67"/>
      <c r="BI920" s="67"/>
      <c r="BJ920" s="67"/>
      <c r="BK920" s="67"/>
      <c r="BL920" s="67"/>
      <c r="BM920" s="67"/>
      <c r="BN920" s="67"/>
      <c r="BO920" s="67"/>
      <c r="BP920" s="67"/>
      <c r="BQ920" s="67"/>
      <c r="BR920" s="67"/>
      <c r="BS920" s="67"/>
      <c r="BT920" s="67"/>
      <c r="BU920" s="67"/>
      <c r="BV920" s="67"/>
    </row>
    <row r="921" spans="1:74" s="68" customFormat="1" ht="14.25" x14ac:dyDescent="0.2">
      <c r="A921" s="76" t="s">
        <v>1245</v>
      </c>
      <c r="B921" s="77" t="s">
        <v>1844</v>
      </c>
      <c r="C921" s="131"/>
      <c r="D921" s="131"/>
      <c r="E921" s="131"/>
      <c r="F921" s="131"/>
      <c r="G921" s="131">
        <v>29308033</v>
      </c>
      <c r="H921" s="131"/>
      <c r="I921" s="131"/>
      <c r="J921" s="131"/>
      <c r="K921" s="131"/>
      <c r="L921" s="131"/>
      <c r="M921" s="131"/>
      <c r="N921" s="131"/>
      <c r="O921" s="192">
        <f t="shared" si="410"/>
        <v>29308033</v>
      </c>
      <c r="P921" s="67"/>
      <c r="Q921" s="105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7"/>
      <c r="AL921" s="67"/>
      <c r="AM921" s="67"/>
      <c r="AN921" s="67"/>
      <c r="AO921" s="67"/>
      <c r="AP921" s="67"/>
      <c r="AQ921" s="67"/>
      <c r="AR921" s="67"/>
      <c r="AS921" s="67"/>
      <c r="AT921" s="67"/>
      <c r="AU921" s="67"/>
      <c r="AV921" s="67"/>
      <c r="AW921" s="67"/>
      <c r="AX921" s="67"/>
      <c r="AY921" s="67"/>
      <c r="AZ921" s="67"/>
      <c r="BA921" s="67"/>
      <c r="BB921" s="67"/>
      <c r="BC921" s="67"/>
      <c r="BD921" s="67"/>
      <c r="BE921" s="67"/>
      <c r="BF921" s="67"/>
      <c r="BG921" s="67"/>
      <c r="BH921" s="67"/>
      <c r="BI921" s="67"/>
      <c r="BJ921" s="67"/>
      <c r="BK921" s="67"/>
      <c r="BL921" s="67"/>
      <c r="BM921" s="67"/>
      <c r="BN921" s="67"/>
      <c r="BO921" s="67"/>
      <c r="BP921" s="67"/>
      <c r="BQ921" s="67"/>
      <c r="BR921" s="67"/>
      <c r="BS921" s="67"/>
      <c r="BT921" s="67"/>
      <c r="BU921" s="67"/>
      <c r="BV921" s="67"/>
    </row>
    <row r="922" spans="1:74" s="68" customFormat="1" ht="14.25" x14ac:dyDescent="0.2">
      <c r="A922" s="76" t="s">
        <v>1245</v>
      </c>
      <c r="B922" s="77" t="s">
        <v>1844</v>
      </c>
      <c r="C922" s="131"/>
      <c r="D922" s="131"/>
      <c r="E922" s="131"/>
      <c r="F922" s="131"/>
      <c r="G922" s="131">
        <v>153078510.40000001</v>
      </c>
      <c r="H922" s="131"/>
      <c r="I922" s="131"/>
      <c r="J922" s="131"/>
      <c r="K922" s="131"/>
      <c r="L922" s="131"/>
      <c r="M922" s="131"/>
      <c r="N922" s="131"/>
      <c r="O922" s="192">
        <f t="shared" si="410"/>
        <v>153078510.40000001</v>
      </c>
      <c r="P922" s="67"/>
      <c r="Q922" s="105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  <c r="AK922" s="67"/>
      <c r="AL922" s="67"/>
      <c r="AM922" s="67"/>
      <c r="AN922" s="67"/>
      <c r="AO922" s="67"/>
      <c r="AP922" s="67"/>
      <c r="AQ922" s="67"/>
      <c r="AR922" s="67"/>
      <c r="AS922" s="67"/>
      <c r="AT922" s="67"/>
      <c r="AU922" s="67"/>
      <c r="AV922" s="67"/>
      <c r="AW922" s="67"/>
      <c r="AX922" s="67"/>
      <c r="AY922" s="67"/>
      <c r="AZ922" s="67"/>
      <c r="BA922" s="67"/>
      <c r="BB922" s="67"/>
      <c r="BC922" s="67"/>
      <c r="BD922" s="67"/>
      <c r="BE922" s="67"/>
      <c r="BF922" s="67"/>
      <c r="BG922" s="67"/>
      <c r="BH922" s="67"/>
      <c r="BI922" s="67"/>
      <c r="BJ922" s="67"/>
      <c r="BK922" s="67"/>
      <c r="BL922" s="67"/>
      <c r="BM922" s="67"/>
      <c r="BN922" s="67"/>
      <c r="BO922" s="67"/>
      <c r="BP922" s="67"/>
      <c r="BQ922" s="67"/>
      <c r="BR922" s="67"/>
      <c r="BS922" s="67"/>
      <c r="BT922" s="67"/>
      <c r="BU922" s="67"/>
      <c r="BV922" s="67"/>
    </row>
    <row r="923" spans="1:74" s="68" customFormat="1" ht="42.75" x14ac:dyDescent="0.2">
      <c r="A923" s="76" t="s">
        <v>1845</v>
      </c>
      <c r="B923" s="77" t="s">
        <v>1846</v>
      </c>
      <c r="C923" s="131"/>
      <c r="D923" s="131"/>
      <c r="E923" s="131"/>
      <c r="F923" s="131"/>
      <c r="G923" s="131">
        <v>415910804.39999998</v>
      </c>
      <c r="H923" s="131"/>
      <c r="I923" s="131"/>
      <c r="J923" s="131"/>
      <c r="K923" s="131"/>
      <c r="L923" s="131"/>
      <c r="M923" s="131"/>
      <c r="N923" s="131"/>
      <c r="O923" s="192">
        <f t="shared" si="410"/>
        <v>415910804.39999998</v>
      </c>
      <c r="P923" s="67"/>
      <c r="Q923" s="105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  <c r="AK923" s="67"/>
      <c r="AL923" s="67"/>
      <c r="AM923" s="67"/>
      <c r="AN923" s="67"/>
      <c r="AO923" s="67"/>
      <c r="AP923" s="67"/>
      <c r="AQ923" s="67"/>
      <c r="AR923" s="67"/>
      <c r="AS923" s="67"/>
      <c r="AT923" s="67"/>
      <c r="AU923" s="67"/>
      <c r="AV923" s="67"/>
      <c r="AW923" s="67"/>
      <c r="AX923" s="67"/>
      <c r="AY923" s="67"/>
      <c r="AZ923" s="67"/>
      <c r="BA923" s="67"/>
      <c r="BB923" s="67"/>
      <c r="BC923" s="67"/>
      <c r="BD923" s="67"/>
      <c r="BE923" s="67"/>
      <c r="BF923" s="67"/>
      <c r="BG923" s="67"/>
      <c r="BH923" s="67"/>
      <c r="BI923" s="67"/>
      <c r="BJ923" s="67"/>
      <c r="BK923" s="67"/>
      <c r="BL923" s="67"/>
      <c r="BM923" s="67"/>
      <c r="BN923" s="67"/>
      <c r="BO923" s="67"/>
      <c r="BP923" s="67"/>
      <c r="BQ923" s="67"/>
      <c r="BR923" s="67"/>
      <c r="BS923" s="67"/>
      <c r="BT923" s="67"/>
      <c r="BU923" s="67"/>
      <c r="BV923" s="67"/>
    </row>
    <row r="924" spans="1:74" s="68" customFormat="1" ht="42.75" x14ac:dyDescent="0.2">
      <c r="A924" s="76" t="s">
        <v>1845</v>
      </c>
      <c r="B924" s="77" t="s">
        <v>1846</v>
      </c>
      <c r="C924" s="131"/>
      <c r="D924" s="131"/>
      <c r="E924" s="131"/>
      <c r="F924" s="131"/>
      <c r="G924" s="131">
        <v>500000</v>
      </c>
      <c r="H924" s="131"/>
      <c r="I924" s="131"/>
      <c r="J924" s="131"/>
      <c r="K924" s="131"/>
      <c r="L924" s="131"/>
      <c r="M924" s="131"/>
      <c r="N924" s="131"/>
      <c r="O924" s="192">
        <f t="shared" si="410"/>
        <v>500000</v>
      </c>
      <c r="P924" s="67"/>
      <c r="Q924" s="105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7"/>
      <c r="AL924" s="67"/>
      <c r="AM924" s="67"/>
      <c r="AN924" s="67"/>
      <c r="AO924" s="67"/>
      <c r="AP924" s="67"/>
      <c r="AQ924" s="67"/>
      <c r="AR924" s="67"/>
      <c r="AS924" s="67"/>
      <c r="AT924" s="67"/>
      <c r="AU924" s="67"/>
      <c r="AV924" s="67"/>
      <c r="AW924" s="67"/>
      <c r="AX924" s="67"/>
      <c r="AY924" s="67"/>
      <c r="AZ924" s="67"/>
      <c r="BA924" s="67"/>
      <c r="BB924" s="67"/>
      <c r="BC924" s="67"/>
      <c r="BD924" s="67"/>
      <c r="BE924" s="67"/>
      <c r="BF924" s="67"/>
      <c r="BG924" s="67"/>
      <c r="BH924" s="67"/>
      <c r="BI924" s="67"/>
      <c r="BJ924" s="67"/>
      <c r="BK924" s="67"/>
      <c r="BL924" s="67"/>
      <c r="BM924" s="67"/>
      <c r="BN924" s="67"/>
      <c r="BO924" s="67"/>
      <c r="BP924" s="67"/>
      <c r="BQ924" s="67"/>
      <c r="BR924" s="67"/>
      <c r="BS924" s="67"/>
      <c r="BT924" s="67"/>
      <c r="BU924" s="67"/>
      <c r="BV924" s="67"/>
    </row>
    <row r="925" spans="1:74" s="68" customFormat="1" ht="42.75" x14ac:dyDescent="0.2">
      <c r="A925" s="76" t="s">
        <v>1845</v>
      </c>
      <c r="B925" s="77" t="s">
        <v>1846</v>
      </c>
      <c r="C925" s="131"/>
      <c r="D925" s="131"/>
      <c r="E925" s="131"/>
      <c r="F925" s="131"/>
      <c r="G925" s="131">
        <v>1050628298</v>
      </c>
      <c r="H925" s="131"/>
      <c r="I925" s="131"/>
      <c r="J925" s="131"/>
      <c r="K925" s="131"/>
      <c r="L925" s="131"/>
      <c r="M925" s="131"/>
      <c r="N925" s="131"/>
      <c r="O925" s="192">
        <f t="shared" si="410"/>
        <v>1050628298</v>
      </c>
      <c r="P925" s="67"/>
      <c r="Q925" s="105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  <c r="AK925" s="67"/>
      <c r="AL925" s="67"/>
      <c r="AM925" s="67"/>
      <c r="AN925" s="67"/>
      <c r="AO925" s="67"/>
      <c r="AP925" s="67"/>
      <c r="AQ925" s="67"/>
      <c r="AR925" s="67"/>
      <c r="AS925" s="67"/>
      <c r="AT925" s="67"/>
      <c r="AU925" s="67"/>
      <c r="AV925" s="67"/>
      <c r="AW925" s="67"/>
      <c r="AX925" s="67"/>
      <c r="AY925" s="67"/>
      <c r="AZ925" s="67"/>
      <c r="BA925" s="67"/>
      <c r="BB925" s="67"/>
      <c r="BC925" s="67"/>
      <c r="BD925" s="67"/>
      <c r="BE925" s="67"/>
      <c r="BF925" s="67"/>
      <c r="BG925" s="67"/>
      <c r="BH925" s="67"/>
      <c r="BI925" s="67"/>
      <c r="BJ925" s="67"/>
      <c r="BK925" s="67"/>
      <c r="BL925" s="67"/>
      <c r="BM925" s="67"/>
      <c r="BN925" s="67"/>
      <c r="BO925" s="67"/>
      <c r="BP925" s="67"/>
      <c r="BQ925" s="67"/>
      <c r="BR925" s="67"/>
      <c r="BS925" s="67"/>
      <c r="BT925" s="67"/>
      <c r="BU925" s="67"/>
      <c r="BV925" s="67"/>
    </row>
    <row r="926" spans="1:74" s="68" customFormat="1" ht="42.75" x14ac:dyDescent="0.2">
      <c r="A926" s="76" t="s">
        <v>1845</v>
      </c>
      <c r="B926" s="77" t="s">
        <v>1846</v>
      </c>
      <c r="C926" s="131"/>
      <c r="D926" s="131"/>
      <c r="E926" s="131"/>
      <c r="F926" s="131"/>
      <c r="G926" s="131">
        <v>326231624</v>
      </c>
      <c r="H926" s="131"/>
      <c r="I926" s="131"/>
      <c r="J926" s="131"/>
      <c r="K926" s="131"/>
      <c r="L926" s="131"/>
      <c r="M926" s="131"/>
      <c r="N926" s="131"/>
      <c r="O926" s="192">
        <f t="shared" si="410"/>
        <v>326231624</v>
      </c>
      <c r="P926" s="67"/>
      <c r="Q926" s="105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  <c r="AK926" s="67"/>
      <c r="AL926" s="67"/>
      <c r="AM926" s="67"/>
      <c r="AN926" s="67"/>
      <c r="AO926" s="67"/>
      <c r="AP926" s="67"/>
      <c r="AQ926" s="67"/>
      <c r="AR926" s="67"/>
      <c r="AS926" s="67"/>
      <c r="AT926" s="67"/>
      <c r="AU926" s="67"/>
      <c r="AV926" s="67"/>
      <c r="AW926" s="67"/>
      <c r="AX926" s="67"/>
      <c r="AY926" s="67"/>
      <c r="AZ926" s="67"/>
      <c r="BA926" s="67"/>
      <c r="BB926" s="67"/>
      <c r="BC926" s="67"/>
      <c r="BD926" s="67"/>
      <c r="BE926" s="67"/>
      <c r="BF926" s="67"/>
      <c r="BG926" s="67"/>
      <c r="BH926" s="67"/>
      <c r="BI926" s="67"/>
      <c r="BJ926" s="67"/>
      <c r="BK926" s="67"/>
      <c r="BL926" s="67"/>
      <c r="BM926" s="67"/>
      <c r="BN926" s="67"/>
      <c r="BO926" s="67"/>
      <c r="BP926" s="67"/>
      <c r="BQ926" s="67"/>
      <c r="BR926" s="67"/>
      <c r="BS926" s="67"/>
      <c r="BT926" s="67"/>
      <c r="BU926" s="67"/>
      <c r="BV926" s="67"/>
    </row>
    <row r="927" spans="1:74" s="68" customFormat="1" ht="42.75" x14ac:dyDescent="0.2">
      <c r="A927" s="76" t="s">
        <v>1845</v>
      </c>
      <c r="B927" s="77" t="s">
        <v>1846</v>
      </c>
      <c r="C927" s="131"/>
      <c r="D927" s="131"/>
      <c r="E927" s="131"/>
      <c r="F927" s="131"/>
      <c r="G927" s="131">
        <v>217087307.66999999</v>
      </c>
      <c r="H927" s="131"/>
      <c r="I927" s="131"/>
      <c r="J927" s="131"/>
      <c r="K927" s="131"/>
      <c r="L927" s="131"/>
      <c r="M927" s="131"/>
      <c r="N927" s="131"/>
      <c r="O927" s="192">
        <f t="shared" si="410"/>
        <v>217087307.66999999</v>
      </c>
      <c r="P927" s="67"/>
      <c r="Q927" s="105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7"/>
      <c r="AL927" s="67"/>
      <c r="AM927" s="67"/>
      <c r="AN927" s="67"/>
      <c r="AO927" s="67"/>
      <c r="AP927" s="67"/>
      <c r="AQ927" s="67"/>
      <c r="AR927" s="67"/>
      <c r="AS927" s="67"/>
      <c r="AT927" s="67"/>
      <c r="AU927" s="67"/>
      <c r="AV927" s="67"/>
      <c r="AW927" s="67"/>
      <c r="AX927" s="67"/>
      <c r="AY927" s="67"/>
      <c r="AZ927" s="67"/>
      <c r="BA927" s="67"/>
      <c r="BB927" s="67"/>
      <c r="BC927" s="67"/>
      <c r="BD927" s="67"/>
      <c r="BE927" s="67"/>
      <c r="BF927" s="67"/>
      <c r="BG927" s="67"/>
      <c r="BH927" s="67"/>
      <c r="BI927" s="67"/>
      <c r="BJ927" s="67"/>
      <c r="BK927" s="67"/>
      <c r="BL927" s="67"/>
      <c r="BM927" s="67"/>
      <c r="BN927" s="67"/>
      <c r="BO927" s="67"/>
      <c r="BP927" s="67"/>
      <c r="BQ927" s="67"/>
      <c r="BR927" s="67"/>
      <c r="BS927" s="67"/>
      <c r="BT927" s="67"/>
      <c r="BU927" s="67"/>
      <c r="BV927" s="67"/>
    </row>
    <row r="928" spans="1:74" s="68" customFormat="1" ht="42.75" x14ac:dyDescent="0.2">
      <c r="A928" s="76" t="s">
        <v>1845</v>
      </c>
      <c r="B928" s="77" t="s">
        <v>1846</v>
      </c>
      <c r="C928" s="131"/>
      <c r="D928" s="131"/>
      <c r="E928" s="131"/>
      <c r="F928" s="131"/>
      <c r="G928" s="131">
        <v>300000000</v>
      </c>
      <c r="H928" s="131"/>
      <c r="I928" s="131"/>
      <c r="J928" s="131"/>
      <c r="K928" s="131"/>
      <c r="L928" s="131"/>
      <c r="M928" s="131"/>
      <c r="N928" s="131"/>
      <c r="O928" s="192">
        <f t="shared" si="410"/>
        <v>300000000</v>
      </c>
      <c r="P928" s="67"/>
      <c r="Q928" s="105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7"/>
      <c r="AL928" s="67"/>
      <c r="AM928" s="67"/>
      <c r="AN928" s="67"/>
      <c r="AO928" s="67"/>
      <c r="AP928" s="67"/>
      <c r="AQ928" s="67"/>
      <c r="AR928" s="67"/>
      <c r="AS928" s="67"/>
      <c r="AT928" s="67"/>
      <c r="AU928" s="67"/>
      <c r="AV928" s="67"/>
      <c r="AW928" s="67"/>
      <c r="AX928" s="67"/>
      <c r="AY928" s="67"/>
      <c r="AZ928" s="67"/>
      <c r="BA928" s="67"/>
      <c r="BB928" s="67"/>
      <c r="BC928" s="67"/>
      <c r="BD928" s="67"/>
      <c r="BE928" s="67"/>
      <c r="BF928" s="67"/>
      <c r="BG928" s="67"/>
      <c r="BH928" s="67"/>
      <c r="BI928" s="67"/>
      <c r="BJ928" s="67"/>
      <c r="BK928" s="67"/>
      <c r="BL928" s="67"/>
      <c r="BM928" s="67"/>
      <c r="BN928" s="67"/>
      <c r="BO928" s="67"/>
      <c r="BP928" s="67"/>
      <c r="BQ928" s="67"/>
      <c r="BR928" s="67"/>
      <c r="BS928" s="67"/>
      <c r="BT928" s="67"/>
      <c r="BU928" s="67"/>
      <c r="BV928" s="67"/>
    </row>
    <row r="929" spans="1:74" s="68" customFormat="1" ht="42.75" x14ac:dyDescent="0.2">
      <c r="A929" s="76" t="s">
        <v>1845</v>
      </c>
      <c r="B929" s="77" t="s">
        <v>1846</v>
      </c>
      <c r="C929" s="131"/>
      <c r="D929" s="131"/>
      <c r="E929" s="131"/>
      <c r="F929" s="131"/>
      <c r="G929" s="131">
        <v>112655921</v>
      </c>
      <c r="H929" s="131"/>
      <c r="I929" s="131"/>
      <c r="J929" s="131"/>
      <c r="K929" s="131"/>
      <c r="L929" s="131"/>
      <c r="M929" s="131"/>
      <c r="N929" s="131"/>
      <c r="O929" s="192">
        <f t="shared" si="410"/>
        <v>112655921</v>
      </c>
      <c r="P929" s="67"/>
      <c r="Q929" s="105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  <c r="AK929" s="67"/>
      <c r="AL929" s="67"/>
      <c r="AM929" s="67"/>
      <c r="AN929" s="67"/>
      <c r="AO929" s="67"/>
      <c r="AP929" s="67"/>
      <c r="AQ929" s="67"/>
      <c r="AR929" s="67"/>
      <c r="AS929" s="67"/>
      <c r="AT929" s="67"/>
      <c r="AU929" s="67"/>
      <c r="AV929" s="67"/>
      <c r="AW929" s="67"/>
      <c r="AX929" s="67"/>
      <c r="AY929" s="67"/>
      <c r="AZ929" s="67"/>
      <c r="BA929" s="67"/>
      <c r="BB929" s="67"/>
      <c r="BC929" s="67"/>
      <c r="BD929" s="67"/>
      <c r="BE929" s="67"/>
      <c r="BF929" s="67"/>
      <c r="BG929" s="67"/>
      <c r="BH929" s="67"/>
      <c r="BI929" s="67"/>
      <c r="BJ929" s="67"/>
      <c r="BK929" s="67"/>
      <c r="BL929" s="67"/>
      <c r="BM929" s="67"/>
      <c r="BN929" s="67"/>
      <c r="BO929" s="67"/>
      <c r="BP929" s="67"/>
      <c r="BQ929" s="67"/>
      <c r="BR929" s="67"/>
      <c r="BS929" s="67"/>
      <c r="BT929" s="67"/>
      <c r="BU929" s="67"/>
      <c r="BV929" s="67"/>
    </row>
    <row r="930" spans="1:74" s="68" customFormat="1" ht="42.75" x14ac:dyDescent="0.2">
      <c r="A930" s="76" t="s">
        <v>1845</v>
      </c>
      <c r="B930" s="77" t="s">
        <v>1846</v>
      </c>
      <c r="C930" s="131"/>
      <c r="D930" s="131"/>
      <c r="E930" s="131"/>
      <c r="F930" s="131"/>
      <c r="G930" s="131">
        <v>10937000</v>
      </c>
      <c r="H930" s="131"/>
      <c r="I930" s="131"/>
      <c r="J930" s="131"/>
      <c r="K930" s="131"/>
      <c r="L930" s="131"/>
      <c r="M930" s="131"/>
      <c r="N930" s="131"/>
      <c r="O930" s="192">
        <f t="shared" si="410"/>
        <v>10937000</v>
      </c>
      <c r="P930" s="67"/>
      <c r="Q930" s="105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  <c r="AK930" s="67"/>
      <c r="AL930" s="67"/>
      <c r="AM930" s="67"/>
      <c r="AN930" s="67"/>
      <c r="AO930" s="67"/>
      <c r="AP930" s="67"/>
      <c r="AQ930" s="67"/>
      <c r="AR930" s="67"/>
      <c r="AS930" s="67"/>
      <c r="AT930" s="67"/>
      <c r="AU930" s="67"/>
      <c r="AV930" s="67"/>
      <c r="AW930" s="67"/>
      <c r="AX930" s="67"/>
      <c r="AY930" s="67"/>
      <c r="AZ930" s="67"/>
      <c r="BA930" s="67"/>
      <c r="BB930" s="67"/>
      <c r="BC930" s="67"/>
      <c r="BD930" s="67"/>
      <c r="BE930" s="67"/>
      <c r="BF930" s="67"/>
      <c r="BG930" s="67"/>
      <c r="BH930" s="67"/>
      <c r="BI930" s="67"/>
      <c r="BJ930" s="67"/>
      <c r="BK930" s="67"/>
      <c r="BL930" s="67"/>
      <c r="BM930" s="67"/>
      <c r="BN930" s="67"/>
      <c r="BO930" s="67"/>
      <c r="BP930" s="67"/>
      <c r="BQ930" s="67"/>
      <c r="BR930" s="67"/>
      <c r="BS930" s="67"/>
      <c r="BT930" s="67"/>
      <c r="BU930" s="67"/>
      <c r="BV930" s="67"/>
    </row>
    <row r="931" spans="1:74" s="68" customFormat="1" ht="42.75" x14ac:dyDescent="0.2">
      <c r="A931" s="76" t="s">
        <v>1845</v>
      </c>
      <c r="B931" s="77" t="s">
        <v>1846</v>
      </c>
      <c r="C931" s="131"/>
      <c r="D931" s="131"/>
      <c r="E931" s="131"/>
      <c r="F931" s="131"/>
      <c r="G931" s="131">
        <v>1166036001</v>
      </c>
      <c r="H931" s="131"/>
      <c r="I931" s="131"/>
      <c r="J931" s="131"/>
      <c r="K931" s="131"/>
      <c r="L931" s="131"/>
      <c r="M931" s="131"/>
      <c r="N931" s="131"/>
      <c r="O931" s="192">
        <f t="shared" si="410"/>
        <v>1166036001</v>
      </c>
      <c r="P931" s="67"/>
      <c r="Q931" s="105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7"/>
      <c r="AL931" s="67"/>
      <c r="AM931" s="67"/>
      <c r="AN931" s="67"/>
      <c r="AO931" s="67"/>
      <c r="AP931" s="67"/>
      <c r="AQ931" s="67"/>
      <c r="AR931" s="67"/>
      <c r="AS931" s="67"/>
      <c r="AT931" s="67"/>
      <c r="AU931" s="67"/>
      <c r="AV931" s="67"/>
      <c r="AW931" s="67"/>
      <c r="AX931" s="67"/>
      <c r="AY931" s="67"/>
      <c r="AZ931" s="67"/>
      <c r="BA931" s="67"/>
      <c r="BB931" s="67"/>
      <c r="BC931" s="67"/>
      <c r="BD931" s="67"/>
      <c r="BE931" s="67"/>
      <c r="BF931" s="67"/>
      <c r="BG931" s="67"/>
      <c r="BH931" s="67"/>
      <c r="BI931" s="67"/>
      <c r="BJ931" s="67"/>
      <c r="BK931" s="67"/>
      <c r="BL931" s="67"/>
      <c r="BM931" s="67"/>
      <c r="BN931" s="67"/>
      <c r="BO931" s="67"/>
      <c r="BP931" s="67"/>
      <c r="BQ931" s="67"/>
      <c r="BR931" s="67"/>
      <c r="BS931" s="67"/>
      <c r="BT931" s="67"/>
      <c r="BU931" s="67"/>
      <c r="BV931" s="67"/>
    </row>
    <row r="932" spans="1:74" s="68" customFormat="1" ht="42.75" x14ac:dyDescent="0.2">
      <c r="A932" s="76" t="s">
        <v>1845</v>
      </c>
      <c r="B932" s="77" t="s">
        <v>1846</v>
      </c>
      <c r="C932" s="131"/>
      <c r="D932" s="131"/>
      <c r="E932" s="131"/>
      <c r="F932" s="131"/>
      <c r="G932" s="131">
        <v>920162986.5</v>
      </c>
      <c r="H932" s="131"/>
      <c r="I932" s="131"/>
      <c r="J932" s="131"/>
      <c r="K932" s="131"/>
      <c r="L932" s="131"/>
      <c r="M932" s="131"/>
      <c r="N932" s="131"/>
      <c r="O932" s="192">
        <f t="shared" si="410"/>
        <v>920162986.5</v>
      </c>
      <c r="P932" s="67"/>
      <c r="Q932" s="105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  <c r="AK932" s="67"/>
      <c r="AL932" s="67"/>
      <c r="AM932" s="67"/>
      <c r="AN932" s="67"/>
      <c r="AO932" s="67"/>
      <c r="AP932" s="67"/>
      <c r="AQ932" s="67"/>
      <c r="AR932" s="67"/>
      <c r="AS932" s="67"/>
      <c r="AT932" s="67"/>
      <c r="AU932" s="67"/>
      <c r="AV932" s="67"/>
      <c r="AW932" s="67"/>
      <c r="AX932" s="67"/>
      <c r="AY932" s="67"/>
      <c r="AZ932" s="67"/>
      <c r="BA932" s="67"/>
      <c r="BB932" s="67"/>
      <c r="BC932" s="67"/>
      <c r="BD932" s="67"/>
      <c r="BE932" s="67"/>
      <c r="BF932" s="67"/>
      <c r="BG932" s="67"/>
      <c r="BH932" s="67"/>
      <c r="BI932" s="67"/>
      <c r="BJ932" s="67"/>
      <c r="BK932" s="67"/>
      <c r="BL932" s="67"/>
      <c r="BM932" s="67"/>
      <c r="BN932" s="67"/>
      <c r="BO932" s="67"/>
      <c r="BP932" s="67"/>
      <c r="BQ932" s="67"/>
      <c r="BR932" s="67"/>
      <c r="BS932" s="67"/>
      <c r="BT932" s="67"/>
      <c r="BU932" s="67"/>
      <c r="BV932" s="67"/>
    </row>
    <row r="933" spans="1:74" s="68" customFormat="1" ht="28.5" x14ac:dyDescent="0.2">
      <c r="A933" s="76" t="s">
        <v>1847</v>
      </c>
      <c r="B933" s="77" t="s">
        <v>1848</v>
      </c>
      <c r="C933" s="131"/>
      <c r="D933" s="131"/>
      <c r="E933" s="131"/>
      <c r="F933" s="131"/>
      <c r="G933" s="131">
        <v>2695161841.1199999</v>
      </c>
      <c r="H933" s="131"/>
      <c r="I933" s="131"/>
      <c r="J933" s="131"/>
      <c r="K933" s="131"/>
      <c r="L933" s="131"/>
      <c r="M933" s="131"/>
      <c r="N933" s="131"/>
      <c r="O933" s="192">
        <f t="shared" si="410"/>
        <v>2695161841.1199999</v>
      </c>
      <c r="P933" s="67"/>
      <c r="Q933" s="105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  <c r="AK933" s="67"/>
      <c r="AL933" s="67"/>
      <c r="AM933" s="67"/>
      <c r="AN933" s="67"/>
      <c r="AO933" s="67"/>
      <c r="AP933" s="67"/>
      <c r="AQ933" s="67"/>
      <c r="AR933" s="67"/>
      <c r="AS933" s="67"/>
      <c r="AT933" s="67"/>
      <c r="AU933" s="67"/>
      <c r="AV933" s="67"/>
      <c r="AW933" s="67"/>
      <c r="AX933" s="67"/>
      <c r="AY933" s="67"/>
      <c r="AZ933" s="67"/>
      <c r="BA933" s="67"/>
      <c r="BB933" s="67"/>
      <c r="BC933" s="67"/>
      <c r="BD933" s="67"/>
      <c r="BE933" s="67"/>
      <c r="BF933" s="67"/>
      <c r="BG933" s="67"/>
      <c r="BH933" s="67"/>
      <c r="BI933" s="67"/>
      <c r="BJ933" s="67"/>
      <c r="BK933" s="67"/>
      <c r="BL933" s="67"/>
      <c r="BM933" s="67"/>
      <c r="BN933" s="67"/>
      <c r="BO933" s="67"/>
      <c r="BP933" s="67"/>
      <c r="BQ933" s="67"/>
      <c r="BR933" s="67"/>
      <c r="BS933" s="67"/>
      <c r="BT933" s="67"/>
      <c r="BU933" s="67"/>
      <c r="BV933" s="67"/>
    </row>
    <row r="934" spans="1:74" s="68" customFormat="1" ht="28.5" x14ac:dyDescent="0.2">
      <c r="A934" s="76" t="s">
        <v>1847</v>
      </c>
      <c r="B934" s="77" t="s">
        <v>1848</v>
      </c>
      <c r="C934" s="131"/>
      <c r="D934" s="131"/>
      <c r="E934" s="131"/>
      <c r="F934" s="131"/>
      <c r="G934" s="131">
        <v>13635000</v>
      </c>
      <c r="H934" s="131"/>
      <c r="I934" s="131"/>
      <c r="J934" s="131"/>
      <c r="K934" s="131"/>
      <c r="L934" s="131"/>
      <c r="M934" s="131"/>
      <c r="N934" s="131"/>
      <c r="O934" s="192">
        <f t="shared" si="410"/>
        <v>13635000</v>
      </c>
      <c r="P934" s="67"/>
      <c r="Q934" s="105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  <c r="AK934" s="67"/>
      <c r="AL934" s="67"/>
      <c r="AM934" s="67"/>
      <c r="AN934" s="67"/>
      <c r="AO934" s="67"/>
      <c r="AP934" s="67"/>
      <c r="AQ934" s="67"/>
      <c r="AR934" s="67"/>
      <c r="AS934" s="67"/>
      <c r="AT934" s="67"/>
      <c r="AU934" s="67"/>
      <c r="AV934" s="67"/>
      <c r="AW934" s="67"/>
      <c r="AX934" s="67"/>
      <c r="AY934" s="67"/>
      <c r="AZ934" s="67"/>
      <c r="BA934" s="67"/>
      <c r="BB934" s="67"/>
      <c r="BC934" s="67"/>
      <c r="BD934" s="67"/>
      <c r="BE934" s="67"/>
      <c r="BF934" s="67"/>
      <c r="BG934" s="67"/>
      <c r="BH934" s="67"/>
      <c r="BI934" s="67"/>
      <c r="BJ934" s="67"/>
      <c r="BK934" s="67"/>
      <c r="BL934" s="67"/>
      <c r="BM934" s="67"/>
      <c r="BN934" s="67"/>
      <c r="BO934" s="67"/>
      <c r="BP934" s="67"/>
      <c r="BQ934" s="67"/>
      <c r="BR934" s="67"/>
      <c r="BS934" s="67"/>
      <c r="BT934" s="67"/>
      <c r="BU934" s="67"/>
      <c r="BV934" s="67"/>
    </row>
    <row r="935" spans="1:74" s="68" customFormat="1" ht="28.5" x14ac:dyDescent="0.2">
      <c r="A935" s="76" t="s">
        <v>1847</v>
      </c>
      <c r="B935" s="77" t="s">
        <v>1848</v>
      </c>
      <c r="C935" s="131"/>
      <c r="D935" s="131"/>
      <c r="E935" s="131"/>
      <c r="F935" s="131"/>
      <c r="G935" s="131">
        <v>407273.67</v>
      </c>
      <c r="H935" s="131"/>
      <c r="I935" s="131"/>
      <c r="J935" s="131"/>
      <c r="K935" s="131"/>
      <c r="L935" s="131"/>
      <c r="M935" s="131"/>
      <c r="N935" s="131"/>
      <c r="O935" s="192">
        <f t="shared" si="410"/>
        <v>407273.67</v>
      </c>
      <c r="P935" s="67"/>
      <c r="Q935" s="105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  <c r="AK935" s="67"/>
      <c r="AL935" s="67"/>
      <c r="AM935" s="67"/>
      <c r="AN935" s="67"/>
      <c r="AO935" s="67"/>
      <c r="AP935" s="67"/>
      <c r="AQ935" s="67"/>
      <c r="AR935" s="67"/>
      <c r="AS935" s="67"/>
      <c r="AT935" s="67"/>
      <c r="AU935" s="67"/>
      <c r="AV935" s="67"/>
      <c r="AW935" s="67"/>
      <c r="AX935" s="67"/>
      <c r="AY935" s="67"/>
      <c r="AZ935" s="67"/>
      <c r="BA935" s="67"/>
      <c r="BB935" s="67"/>
      <c r="BC935" s="67"/>
      <c r="BD935" s="67"/>
      <c r="BE935" s="67"/>
      <c r="BF935" s="67"/>
      <c r="BG935" s="67"/>
      <c r="BH935" s="67"/>
      <c r="BI935" s="67"/>
      <c r="BJ935" s="67"/>
      <c r="BK935" s="67"/>
      <c r="BL935" s="67"/>
      <c r="BM935" s="67"/>
      <c r="BN935" s="67"/>
      <c r="BO935" s="67"/>
      <c r="BP935" s="67"/>
      <c r="BQ935" s="67"/>
      <c r="BR935" s="67"/>
      <c r="BS935" s="67"/>
      <c r="BT935" s="67"/>
      <c r="BU935" s="67"/>
      <c r="BV935" s="67"/>
    </row>
    <row r="936" spans="1:74" s="68" customFormat="1" ht="28.5" x14ac:dyDescent="0.2">
      <c r="A936" s="76" t="s">
        <v>1847</v>
      </c>
      <c r="B936" s="77" t="s">
        <v>1848</v>
      </c>
      <c r="C936" s="131"/>
      <c r="D936" s="131"/>
      <c r="E936" s="131"/>
      <c r="F936" s="131"/>
      <c r="G936" s="131">
        <v>73280168</v>
      </c>
      <c r="H936" s="131"/>
      <c r="I936" s="131"/>
      <c r="J936" s="131"/>
      <c r="K936" s="131"/>
      <c r="L936" s="131"/>
      <c r="M936" s="131"/>
      <c r="N936" s="131"/>
      <c r="O936" s="192">
        <f t="shared" si="410"/>
        <v>73280168</v>
      </c>
      <c r="P936" s="67"/>
      <c r="Q936" s="105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  <c r="AK936" s="67"/>
      <c r="AL936" s="67"/>
      <c r="AM936" s="67"/>
      <c r="AN936" s="67"/>
      <c r="AO936" s="67"/>
      <c r="AP936" s="67"/>
      <c r="AQ936" s="67"/>
      <c r="AR936" s="67"/>
      <c r="AS936" s="67"/>
      <c r="AT936" s="67"/>
      <c r="AU936" s="67"/>
      <c r="AV936" s="67"/>
      <c r="AW936" s="67"/>
      <c r="AX936" s="67"/>
      <c r="AY936" s="67"/>
      <c r="AZ936" s="67"/>
      <c r="BA936" s="67"/>
      <c r="BB936" s="67"/>
      <c r="BC936" s="67"/>
      <c r="BD936" s="67"/>
      <c r="BE936" s="67"/>
      <c r="BF936" s="67"/>
      <c r="BG936" s="67"/>
      <c r="BH936" s="67"/>
      <c r="BI936" s="67"/>
      <c r="BJ936" s="67"/>
      <c r="BK936" s="67"/>
      <c r="BL936" s="67"/>
      <c r="BM936" s="67"/>
      <c r="BN936" s="67"/>
      <c r="BO936" s="67"/>
      <c r="BP936" s="67"/>
      <c r="BQ936" s="67"/>
      <c r="BR936" s="67"/>
      <c r="BS936" s="67"/>
      <c r="BT936" s="67"/>
      <c r="BU936" s="67"/>
      <c r="BV936" s="67"/>
    </row>
    <row r="937" spans="1:74" s="68" customFormat="1" ht="28.5" x14ac:dyDescent="0.2">
      <c r="A937" s="76" t="s">
        <v>1847</v>
      </c>
      <c r="B937" s="77" t="s">
        <v>1848</v>
      </c>
      <c r="C937" s="131"/>
      <c r="D937" s="131"/>
      <c r="E937" s="131"/>
      <c r="F937" s="131"/>
      <c r="G937" s="131">
        <v>450200</v>
      </c>
      <c r="H937" s="131"/>
      <c r="I937" s="131"/>
      <c r="J937" s="131"/>
      <c r="K937" s="131"/>
      <c r="L937" s="131"/>
      <c r="M937" s="131"/>
      <c r="N937" s="131"/>
      <c r="O937" s="192">
        <f t="shared" si="410"/>
        <v>450200</v>
      </c>
      <c r="P937" s="67"/>
      <c r="Q937" s="105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  <c r="AK937" s="67"/>
      <c r="AL937" s="67"/>
      <c r="AM937" s="67"/>
      <c r="AN937" s="67"/>
      <c r="AO937" s="67"/>
      <c r="AP937" s="67"/>
      <c r="AQ937" s="67"/>
      <c r="AR937" s="67"/>
      <c r="AS937" s="67"/>
      <c r="AT937" s="67"/>
      <c r="AU937" s="67"/>
      <c r="AV937" s="67"/>
      <c r="AW937" s="67"/>
      <c r="AX937" s="67"/>
      <c r="AY937" s="67"/>
      <c r="AZ937" s="67"/>
      <c r="BA937" s="67"/>
      <c r="BB937" s="67"/>
      <c r="BC937" s="67"/>
      <c r="BD937" s="67"/>
      <c r="BE937" s="67"/>
      <c r="BF937" s="67"/>
      <c r="BG937" s="67"/>
      <c r="BH937" s="67"/>
      <c r="BI937" s="67"/>
      <c r="BJ937" s="67"/>
      <c r="BK937" s="67"/>
      <c r="BL937" s="67"/>
      <c r="BM937" s="67"/>
      <c r="BN937" s="67"/>
      <c r="BO937" s="67"/>
      <c r="BP937" s="67"/>
      <c r="BQ937" s="67"/>
      <c r="BR937" s="67"/>
      <c r="BS937" s="67"/>
      <c r="BT937" s="67"/>
      <c r="BU937" s="67"/>
      <c r="BV937" s="67"/>
    </row>
    <row r="938" spans="1:74" s="68" customFormat="1" ht="28.5" x14ac:dyDescent="0.2">
      <c r="A938" s="76" t="s">
        <v>1847</v>
      </c>
      <c r="B938" s="77" t="s">
        <v>1848</v>
      </c>
      <c r="C938" s="131"/>
      <c r="D938" s="131"/>
      <c r="E938" s="131"/>
      <c r="F938" s="131"/>
      <c r="G938" s="131">
        <v>153428321.09999999</v>
      </c>
      <c r="H938" s="131"/>
      <c r="I938" s="131"/>
      <c r="J938" s="131"/>
      <c r="K938" s="131"/>
      <c r="L938" s="131"/>
      <c r="M938" s="131"/>
      <c r="N938" s="131"/>
      <c r="O938" s="192">
        <f t="shared" si="410"/>
        <v>153428321.09999999</v>
      </c>
      <c r="P938" s="67"/>
      <c r="Q938" s="105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  <c r="AK938" s="67"/>
      <c r="AL938" s="67"/>
      <c r="AM938" s="67"/>
      <c r="AN938" s="67"/>
      <c r="AO938" s="67"/>
      <c r="AP938" s="67"/>
      <c r="AQ938" s="67"/>
      <c r="AR938" s="67"/>
      <c r="AS938" s="67"/>
      <c r="AT938" s="67"/>
      <c r="AU938" s="67"/>
      <c r="AV938" s="67"/>
      <c r="AW938" s="67"/>
      <c r="AX938" s="67"/>
      <c r="AY938" s="67"/>
      <c r="AZ938" s="67"/>
      <c r="BA938" s="67"/>
      <c r="BB938" s="67"/>
      <c r="BC938" s="67"/>
      <c r="BD938" s="67"/>
      <c r="BE938" s="67"/>
      <c r="BF938" s="67"/>
      <c r="BG938" s="67"/>
      <c r="BH938" s="67"/>
      <c r="BI938" s="67"/>
      <c r="BJ938" s="67"/>
      <c r="BK938" s="67"/>
      <c r="BL938" s="67"/>
      <c r="BM938" s="67"/>
      <c r="BN938" s="67"/>
      <c r="BO938" s="67"/>
      <c r="BP938" s="67"/>
      <c r="BQ938" s="67"/>
      <c r="BR938" s="67"/>
      <c r="BS938" s="67"/>
      <c r="BT938" s="67"/>
      <c r="BU938" s="67"/>
      <c r="BV938" s="67"/>
    </row>
    <row r="939" spans="1:74" s="68" customFormat="1" ht="28.5" x14ac:dyDescent="0.2">
      <c r="A939" s="76" t="s">
        <v>1847</v>
      </c>
      <c r="B939" s="77" t="s">
        <v>1848</v>
      </c>
      <c r="C939" s="131"/>
      <c r="D939" s="131"/>
      <c r="E939" s="131"/>
      <c r="F939" s="131"/>
      <c r="G939" s="131">
        <v>19900000</v>
      </c>
      <c r="H939" s="131"/>
      <c r="I939" s="131"/>
      <c r="J939" s="131"/>
      <c r="K939" s="131"/>
      <c r="L939" s="131"/>
      <c r="M939" s="131"/>
      <c r="N939" s="131"/>
      <c r="O939" s="192">
        <f t="shared" si="410"/>
        <v>19900000</v>
      </c>
      <c r="P939" s="67"/>
      <c r="Q939" s="105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  <c r="AK939" s="67"/>
      <c r="AL939" s="67"/>
      <c r="AM939" s="67"/>
      <c r="AN939" s="67"/>
      <c r="AO939" s="67"/>
      <c r="AP939" s="67"/>
      <c r="AQ939" s="67"/>
      <c r="AR939" s="67"/>
      <c r="AS939" s="67"/>
      <c r="AT939" s="67"/>
      <c r="AU939" s="67"/>
      <c r="AV939" s="67"/>
      <c r="AW939" s="67"/>
      <c r="AX939" s="67"/>
      <c r="AY939" s="67"/>
      <c r="AZ939" s="67"/>
      <c r="BA939" s="67"/>
      <c r="BB939" s="67"/>
      <c r="BC939" s="67"/>
      <c r="BD939" s="67"/>
      <c r="BE939" s="67"/>
      <c r="BF939" s="67"/>
      <c r="BG939" s="67"/>
      <c r="BH939" s="67"/>
      <c r="BI939" s="67"/>
      <c r="BJ939" s="67"/>
      <c r="BK939" s="67"/>
      <c r="BL939" s="67"/>
      <c r="BM939" s="67"/>
      <c r="BN939" s="67"/>
      <c r="BO939" s="67"/>
      <c r="BP939" s="67"/>
      <c r="BQ939" s="67"/>
      <c r="BR939" s="67"/>
      <c r="BS939" s="67"/>
      <c r="BT939" s="67"/>
      <c r="BU939" s="67"/>
      <c r="BV939" s="67"/>
    </row>
    <row r="940" spans="1:74" s="68" customFormat="1" ht="28.5" x14ac:dyDescent="0.2">
      <c r="A940" s="76" t="s">
        <v>1847</v>
      </c>
      <c r="B940" s="77" t="s">
        <v>1848</v>
      </c>
      <c r="C940" s="131"/>
      <c r="D940" s="131"/>
      <c r="E940" s="131"/>
      <c r="F940" s="131"/>
      <c r="G940" s="131">
        <v>71223068</v>
      </c>
      <c r="H940" s="131"/>
      <c r="I940" s="131"/>
      <c r="J940" s="131"/>
      <c r="K940" s="131"/>
      <c r="L940" s="131"/>
      <c r="M940" s="131"/>
      <c r="N940" s="131"/>
      <c r="O940" s="192">
        <f t="shared" si="410"/>
        <v>71223068</v>
      </c>
      <c r="P940" s="67"/>
      <c r="Q940" s="105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  <c r="AK940" s="67"/>
      <c r="AL940" s="67"/>
      <c r="AM940" s="67"/>
      <c r="AN940" s="67"/>
      <c r="AO940" s="67"/>
      <c r="AP940" s="67"/>
      <c r="AQ940" s="67"/>
      <c r="AR940" s="67"/>
      <c r="AS940" s="67"/>
      <c r="AT940" s="67"/>
      <c r="AU940" s="67"/>
      <c r="AV940" s="67"/>
      <c r="AW940" s="67"/>
      <c r="AX940" s="67"/>
      <c r="AY940" s="67"/>
      <c r="AZ940" s="67"/>
      <c r="BA940" s="67"/>
      <c r="BB940" s="67"/>
      <c r="BC940" s="67"/>
      <c r="BD940" s="67"/>
      <c r="BE940" s="67"/>
      <c r="BF940" s="67"/>
      <c r="BG940" s="67"/>
      <c r="BH940" s="67"/>
      <c r="BI940" s="67"/>
      <c r="BJ940" s="67"/>
      <c r="BK940" s="67"/>
      <c r="BL940" s="67"/>
      <c r="BM940" s="67"/>
      <c r="BN940" s="67"/>
      <c r="BO940" s="67"/>
      <c r="BP940" s="67"/>
      <c r="BQ940" s="67"/>
      <c r="BR940" s="67"/>
      <c r="BS940" s="67"/>
      <c r="BT940" s="67"/>
      <c r="BU940" s="67"/>
      <c r="BV940" s="67"/>
    </row>
    <row r="941" spans="1:74" s="68" customFormat="1" ht="28.5" x14ac:dyDescent="0.2">
      <c r="A941" s="76" t="s">
        <v>1847</v>
      </c>
      <c r="B941" s="77" t="s">
        <v>1848</v>
      </c>
      <c r="C941" s="131"/>
      <c r="D941" s="131"/>
      <c r="E941" s="131"/>
      <c r="F941" s="131"/>
      <c r="G941" s="131">
        <v>400000</v>
      </c>
      <c r="H941" s="131"/>
      <c r="I941" s="131"/>
      <c r="J941" s="131"/>
      <c r="K941" s="131"/>
      <c r="L941" s="131"/>
      <c r="M941" s="131"/>
      <c r="N941" s="131"/>
      <c r="O941" s="192">
        <f t="shared" si="410"/>
        <v>400000</v>
      </c>
      <c r="P941" s="67"/>
      <c r="Q941" s="105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  <c r="AK941" s="67"/>
      <c r="AL941" s="67"/>
      <c r="AM941" s="67"/>
      <c r="AN941" s="67"/>
      <c r="AO941" s="67"/>
      <c r="AP941" s="67"/>
      <c r="AQ941" s="67"/>
      <c r="AR941" s="67"/>
      <c r="AS941" s="67"/>
      <c r="AT941" s="67"/>
      <c r="AU941" s="67"/>
      <c r="AV941" s="67"/>
      <c r="AW941" s="67"/>
      <c r="AX941" s="67"/>
      <c r="AY941" s="67"/>
      <c r="AZ941" s="67"/>
      <c r="BA941" s="67"/>
      <c r="BB941" s="67"/>
      <c r="BC941" s="67"/>
      <c r="BD941" s="67"/>
      <c r="BE941" s="67"/>
      <c r="BF941" s="67"/>
      <c r="BG941" s="67"/>
      <c r="BH941" s="67"/>
      <c r="BI941" s="67"/>
      <c r="BJ941" s="67"/>
      <c r="BK941" s="67"/>
      <c r="BL941" s="67"/>
      <c r="BM941" s="67"/>
      <c r="BN941" s="67"/>
      <c r="BO941" s="67"/>
      <c r="BP941" s="67"/>
      <c r="BQ941" s="67"/>
      <c r="BR941" s="67"/>
      <c r="BS941" s="67"/>
      <c r="BT941" s="67"/>
      <c r="BU941" s="67"/>
      <c r="BV941" s="67"/>
    </row>
    <row r="942" spans="1:74" s="68" customFormat="1" ht="28.5" x14ac:dyDescent="0.2">
      <c r="A942" s="76" t="s">
        <v>1847</v>
      </c>
      <c r="B942" s="77" t="s">
        <v>1848</v>
      </c>
      <c r="C942" s="131"/>
      <c r="D942" s="131"/>
      <c r="E942" s="131"/>
      <c r="F942" s="131"/>
      <c r="G942" s="131">
        <v>476922002</v>
      </c>
      <c r="H942" s="131"/>
      <c r="I942" s="131"/>
      <c r="J942" s="131"/>
      <c r="K942" s="131"/>
      <c r="L942" s="131"/>
      <c r="M942" s="131"/>
      <c r="N942" s="131"/>
      <c r="O942" s="192">
        <f t="shared" si="410"/>
        <v>476922002</v>
      </c>
      <c r="P942" s="67"/>
      <c r="Q942" s="105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  <c r="AK942" s="67"/>
      <c r="AL942" s="67"/>
      <c r="AM942" s="67"/>
      <c r="AN942" s="67"/>
      <c r="AO942" s="67"/>
      <c r="AP942" s="67"/>
      <c r="AQ942" s="67"/>
      <c r="AR942" s="67"/>
      <c r="AS942" s="67"/>
      <c r="AT942" s="67"/>
      <c r="AU942" s="67"/>
      <c r="AV942" s="67"/>
      <c r="AW942" s="67"/>
      <c r="AX942" s="67"/>
      <c r="AY942" s="67"/>
      <c r="AZ942" s="67"/>
      <c r="BA942" s="67"/>
      <c r="BB942" s="67"/>
      <c r="BC942" s="67"/>
      <c r="BD942" s="67"/>
      <c r="BE942" s="67"/>
      <c r="BF942" s="67"/>
      <c r="BG942" s="67"/>
      <c r="BH942" s="67"/>
      <c r="BI942" s="67"/>
      <c r="BJ942" s="67"/>
      <c r="BK942" s="67"/>
      <c r="BL942" s="67"/>
      <c r="BM942" s="67"/>
      <c r="BN942" s="67"/>
      <c r="BO942" s="67"/>
      <c r="BP942" s="67"/>
      <c r="BQ942" s="67"/>
      <c r="BR942" s="67"/>
      <c r="BS942" s="67"/>
      <c r="BT942" s="67"/>
      <c r="BU942" s="67"/>
      <c r="BV942" s="67"/>
    </row>
    <row r="943" spans="1:74" s="68" customFormat="1" ht="28.5" x14ac:dyDescent="0.2">
      <c r="A943" s="76" t="s">
        <v>1847</v>
      </c>
      <c r="B943" s="77" t="s">
        <v>1848</v>
      </c>
      <c r="C943" s="131"/>
      <c r="D943" s="131"/>
      <c r="E943" s="131"/>
      <c r="F943" s="131"/>
      <c r="G943" s="131">
        <v>158465735.84</v>
      </c>
      <c r="H943" s="131"/>
      <c r="I943" s="131"/>
      <c r="J943" s="131"/>
      <c r="K943" s="131"/>
      <c r="L943" s="131"/>
      <c r="M943" s="131"/>
      <c r="N943" s="131"/>
      <c r="O943" s="192">
        <f t="shared" si="410"/>
        <v>158465735.84</v>
      </c>
      <c r="P943" s="67"/>
      <c r="Q943" s="105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  <c r="AK943" s="67"/>
      <c r="AL943" s="67"/>
      <c r="AM943" s="67"/>
      <c r="AN943" s="67"/>
      <c r="AO943" s="67"/>
      <c r="AP943" s="67"/>
      <c r="AQ943" s="67"/>
      <c r="AR943" s="67"/>
      <c r="AS943" s="67"/>
      <c r="AT943" s="67"/>
      <c r="AU943" s="67"/>
      <c r="AV943" s="67"/>
      <c r="AW943" s="67"/>
      <c r="AX943" s="67"/>
      <c r="AY943" s="67"/>
      <c r="AZ943" s="67"/>
      <c r="BA943" s="67"/>
      <c r="BB943" s="67"/>
      <c r="BC943" s="67"/>
      <c r="BD943" s="67"/>
      <c r="BE943" s="67"/>
      <c r="BF943" s="67"/>
      <c r="BG943" s="67"/>
      <c r="BH943" s="67"/>
      <c r="BI943" s="67"/>
      <c r="BJ943" s="67"/>
      <c r="BK943" s="67"/>
      <c r="BL943" s="67"/>
      <c r="BM943" s="67"/>
      <c r="BN943" s="67"/>
      <c r="BO943" s="67"/>
      <c r="BP943" s="67"/>
      <c r="BQ943" s="67"/>
      <c r="BR943" s="67"/>
      <c r="BS943" s="67"/>
      <c r="BT943" s="67"/>
      <c r="BU943" s="67"/>
      <c r="BV943" s="67"/>
    </row>
    <row r="944" spans="1:74" s="68" customFormat="1" ht="28.5" x14ac:dyDescent="0.2">
      <c r="A944" s="76" t="s">
        <v>1847</v>
      </c>
      <c r="B944" s="77" t="s">
        <v>1848</v>
      </c>
      <c r="C944" s="131"/>
      <c r="D944" s="131"/>
      <c r="E944" s="131"/>
      <c r="F944" s="131"/>
      <c r="G944" s="131">
        <v>567785.43999999994</v>
      </c>
      <c r="H944" s="131"/>
      <c r="I944" s="131"/>
      <c r="J944" s="131"/>
      <c r="K944" s="131"/>
      <c r="L944" s="131"/>
      <c r="M944" s="131"/>
      <c r="N944" s="131"/>
      <c r="O944" s="192">
        <f t="shared" si="410"/>
        <v>567785.43999999994</v>
      </c>
      <c r="P944" s="67"/>
      <c r="Q944" s="105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  <c r="AK944" s="67"/>
      <c r="AL944" s="67"/>
      <c r="AM944" s="67"/>
      <c r="AN944" s="67"/>
      <c r="AO944" s="67"/>
      <c r="AP944" s="67"/>
      <c r="AQ944" s="67"/>
      <c r="AR944" s="67"/>
      <c r="AS944" s="67"/>
      <c r="AT944" s="67"/>
      <c r="AU944" s="67"/>
      <c r="AV944" s="67"/>
      <c r="AW944" s="67"/>
      <c r="AX944" s="67"/>
      <c r="AY944" s="67"/>
      <c r="AZ944" s="67"/>
      <c r="BA944" s="67"/>
      <c r="BB944" s="67"/>
      <c r="BC944" s="67"/>
      <c r="BD944" s="67"/>
      <c r="BE944" s="67"/>
      <c r="BF944" s="67"/>
      <c r="BG944" s="67"/>
      <c r="BH944" s="67"/>
      <c r="BI944" s="67"/>
      <c r="BJ944" s="67"/>
      <c r="BK944" s="67"/>
      <c r="BL944" s="67"/>
      <c r="BM944" s="67"/>
      <c r="BN944" s="67"/>
      <c r="BO944" s="67"/>
      <c r="BP944" s="67"/>
      <c r="BQ944" s="67"/>
      <c r="BR944" s="67"/>
      <c r="BS944" s="67"/>
      <c r="BT944" s="67"/>
      <c r="BU944" s="67"/>
      <c r="BV944" s="67"/>
    </row>
    <row r="945" spans="1:74" s="68" customFormat="1" ht="28.5" x14ac:dyDescent="0.2">
      <c r="A945" s="76" t="s">
        <v>1847</v>
      </c>
      <c r="B945" s="77" t="s">
        <v>1848</v>
      </c>
      <c r="C945" s="131"/>
      <c r="D945" s="131"/>
      <c r="E945" s="131"/>
      <c r="F945" s="131"/>
      <c r="G945" s="131">
        <v>3921720000</v>
      </c>
      <c r="H945" s="131"/>
      <c r="I945" s="131"/>
      <c r="J945" s="131"/>
      <c r="K945" s="131"/>
      <c r="L945" s="131"/>
      <c r="M945" s="131"/>
      <c r="N945" s="131"/>
      <c r="O945" s="192">
        <f t="shared" si="410"/>
        <v>3921720000</v>
      </c>
      <c r="P945" s="67"/>
      <c r="Q945" s="105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  <c r="AK945" s="67"/>
      <c r="AL945" s="67"/>
      <c r="AM945" s="67"/>
      <c r="AN945" s="67"/>
      <c r="AO945" s="67"/>
      <c r="AP945" s="67"/>
      <c r="AQ945" s="67"/>
      <c r="AR945" s="67"/>
      <c r="AS945" s="67"/>
      <c r="AT945" s="67"/>
      <c r="AU945" s="67"/>
      <c r="AV945" s="67"/>
      <c r="AW945" s="67"/>
      <c r="AX945" s="67"/>
      <c r="AY945" s="67"/>
      <c r="AZ945" s="67"/>
      <c r="BA945" s="67"/>
      <c r="BB945" s="67"/>
      <c r="BC945" s="67"/>
      <c r="BD945" s="67"/>
      <c r="BE945" s="67"/>
      <c r="BF945" s="67"/>
      <c r="BG945" s="67"/>
      <c r="BH945" s="67"/>
      <c r="BI945" s="67"/>
      <c r="BJ945" s="67"/>
      <c r="BK945" s="67"/>
      <c r="BL945" s="67"/>
      <c r="BM945" s="67"/>
      <c r="BN945" s="67"/>
      <c r="BO945" s="67"/>
      <c r="BP945" s="67"/>
      <c r="BQ945" s="67"/>
      <c r="BR945" s="67"/>
      <c r="BS945" s="67"/>
      <c r="BT945" s="67"/>
      <c r="BU945" s="67"/>
      <c r="BV945" s="67"/>
    </row>
    <row r="946" spans="1:74" s="68" customFormat="1" ht="28.5" x14ac:dyDescent="0.2">
      <c r="A946" s="76" t="s">
        <v>1847</v>
      </c>
      <c r="B946" s="77" t="s">
        <v>1848</v>
      </c>
      <c r="C946" s="131"/>
      <c r="D946" s="131"/>
      <c r="E946" s="131"/>
      <c r="F946" s="131"/>
      <c r="G946" s="131">
        <v>12250741.050000001</v>
      </c>
      <c r="H946" s="131"/>
      <c r="I946" s="131"/>
      <c r="J946" s="131"/>
      <c r="K946" s="131"/>
      <c r="L946" s="131"/>
      <c r="M946" s="131"/>
      <c r="N946" s="131"/>
      <c r="O946" s="192">
        <f t="shared" si="410"/>
        <v>12250741.050000001</v>
      </c>
      <c r="P946" s="67"/>
      <c r="Q946" s="105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  <c r="AK946" s="67"/>
      <c r="AL946" s="67"/>
      <c r="AM946" s="67"/>
      <c r="AN946" s="67"/>
      <c r="AO946" s="67"/>
      <c r="AP946" s="67"/>
      <c r="AQ946" s="67"/>
      <c r="AR946" s="67"/>
      <c r="AS946" s="67"/>
      <c r="AT946" s="67"/>
      <c r="AU946" s="67"/>
      <c r="AV946" s="67"/>
      <c r="AW946" s="67"/>
      <c r="AX946" s="67"/>
      <c r="AY946" s="67"/>
      <c r="AZ946" s="67"/>
      <c r="BA946" s="67"/>
      <c r="BB946" s="67"/>
      <c r="BC946" s="67"/>
      <c r="BD946" s="67"/>
      <c r="BE946" s="67"/>
      <c r="BF946" s="67"/>
      <c r="BG946" s="67"/>
      <c r="BH946" s="67"/>
      <c r="BI946" s="67"/>
      <c r="BJ946" s="67"/>
      <c r="BK946" s="67"/>
      <c r="BL946" s="67"/>
      <c r="BM946" s="67"/>
      <c r="BN946" s="67"/>
      <c r="BO946" s="67"/>
      <c r="BP946" s="67"/>
      <c r="BQ946" s="67"/>
      <c r="BR946" s="67"/>
      <c r="BS946" s="67"/>
      <c r="BT946" s="67"/>
      <c r="BU946" s="67"/>
      <c r="BV946" s="67"/>
    </row>
    <row r="947" spans="1:74" s="68" customFormat="1" ht="28.5" x14ac:dyDescent="0.2">
      <c r="A947" s="76" t="s">
        <v>1847</v>
      </c>
      <c r="B947" s="77" t="s">
        <v>1848</v>
      </c>
      <c r="C947" s="131"/>
      <c r="D947" s="131"/>
      <c r="E947" s="131"/>
      <c r="F947" s="131"/>
      <c r="G947" s="131">
        <v>19934058.309999999</v>
      </c>
      <c r="H947" s="131"/>
      <c r="I947" s="131"/>
      <c r="J947" s="131"/>
      <c r="K947" s="131"/>
      <c r="L947" s="131"/>
      <c r="M947" s="131"/>
      <c r="N947" s="131"/>
      <c r="O947" s="192">
        <f t="shared" si="410"/>
        <v>19934058.309999999</v>
      </c>
      <c r="P947" s="67"/>
      <c r="Q947" s="105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  <c r="AK947" s="67"/>
      <c r="AL947" s="67"/>
      <c r="AM947" s="67"/>
      <c r="AN947" s="67"/>
      <c r="AO947" s="67"/>
      <c r="AP947" s="67"/>
      <c r="AQ947" s="67"/>
      <c r="AR947" s="67"/>
      <c r="AS947" s="67"/>
      <c r="AT947" s="67"/>
      <c r="AU947" s="67"/>
      <c r="AV947" s="67"/>
      <c r="AW947" s="67"/>
      <c r="AX947" s="67"/>
      <c r="AY947" s="67"/>
      <c r="AZ947" s="67"/>
      <c r="BA947" s="67"/>
      <c r="BB947" s="67"/>
      <c r="BC947" s="67"/>
      <c r="BD947" s="67"/>
      <c r="BE947" s="67"/>
      <c r="BF947" s="67"/>
      <c r="BG947" s="67"/>
      <c r="BH947" s="67"/>
      <c r="BI947" s="67"/>
      <c r="BJ947" s="67"/>
      <c r="BK947" s="67"/>
      <c r="BL947" s="67"/>
      <c r="BM947" s="67"/>
      <c r="BN947" s="67"/>
      <c r="BO947" s="67"/>
      <c r="BP947" s="67"/>
      <c r="BQ947" s="67"/>
      <c r="BR947" s="67"/>
      <c r="BS947" s="67"/>
      <c r="BT947" s="67"/>
      <c r="BU947" s="67"/>
      <c r="BV947" s="67"/>
    </row>
    <row r="948" spans="1:74" s="68" customFormat="1" ht="28.5" x14ac:dyDescent="0.2">
      <c r="A948" s="76" t="s">
        <v>1849</v>
      </c>
      <c r="B948" s="77" t="s">
        <v>1850</v>
      </c>
      <c r="C948" s="131"/>
      <c r="D948" s="131"/>
      <c r="E948" s="131"/>
      <c r="F948" s="131"/>
      <c r="G948" s="131">
        <v>19854946.030000001</v>
      </c>
      <c r="H948" s="131"/>
      <c r="I948" s="131"/>
      <c r="J948" s="131"/>
      <c r="K948" s="131"/>
      <c r="L948" s="131"/>
      <c r="M948" s="131"/>
      <c r="N948" s="131"/>
      <c r="O948" s="192">
        <f t="shared" si="410"/>
        <v>19854946.030000001</v>
      </c>
      <c r="P948" s="67"/>
      <c r="Q948" s="105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  <c r="AK948" s="67"/>
      <c r="AL948" s="67"/>
      <c r="AM948" s="67"/>
      <c r="AN948" s="67"/>
      <c r="AO948" s="67"/>
      <c r="AP948" s="67"/>
      <c r="AQ948" s="67"/>
      <c r="AR948" s="67"/>
      <c r="AS948" s="67"/>
      <c r="AT948" s="67"/>
      <c r="AU948" s="67"/>
      <c r="AV948" s="67"/>
      <c r="AW948" s="67"/>
      <c r="AX948" s="67"/>
      <c r="AY948" s="67"/>
      <c r="AZ948" s="67"/>
      <c r="BA948" s="67"/>
      <c r="BB948" s="67"/>
      <c r="BC948" s="67"/>
      <c r="BD948" s="67"/>
      <c r="BE948" s="67"/>
      <c r="BF948" s="67"/>
      <c r="BG948" s="67"/>
      <c r="BH948" s="67"/>
      <c r="BI948" s="67"/>
      <c r="BJ948" s="67"/>
      <c r="BK948" s="67"/>
      <c r="BL948" s="67"/>
      <c r="BM948" s="67"/>
      <c r="BN948" s="67"/>
      <c r="BO948" s="67"/>
      <c r="BP948" s="67"/>
      <c r="BQ948" s="67"/>
      <c r="BR948" s="67"/>
      <c r="BS948" s="67"/>
      <c r="BT948" s="67"/>
      <c r="BU948" s="67"/>
      <c r="BV948" s="67"/>
    </row>
    <row r="949" spans="1:74" s="68" customFormat="1" ht="28.5" x14ac:dyDescent="0.2">
      <c r="A949" s="76" t="s">
        <v>1849</v>
      </c>
      <c r="B949" s="77" t="s">
        <v>1850</v>
      </c>
      <c r="C949" s="131"/>
      <c r="D949" s="131"/>
      <c r="E949" s="131"/>
      <c r="F949" s="131"/>
      <c r="G949" s="131">
        <v>2072892085.22</v>
      </c>
      <c r="H949" s="131"/>
      <c r="I949" s="131"/>
      <c r="J949" s="131"/>
      <c r="K949" s="131"/>
      <c r="L949" s="131"/>
      <c r="M949" s="131"/>
      <c r="N949" s="131"/>
      <c r="O949" s="192">
        <f t="shared" si="410"/>
        <v>2072892085.22</v>
      </c>
      <c r="P949" s="67"/>
      <c r="Q949" s="105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  <c r="AK949" s="67"/>
      <c r="AL949" s="67"/>
      <c r="AM949" s="67"/>
      <c r="AN949" s="67"/>
      <c r="AO949" s="67"/>
      <c r="AP949" s="67"/>
      <c r="AQ949" s="67"/>
      <c r="AR949" s="67"/>
      <c r="AS949" s="67"/>
      <c r="AT949" s="67"/>
      <c r="AU949" s="67"/>
      <c r="AV949" s="67"/>
      <c r="AW949" s="67"/>
      <c r="AX949" s="67"/>
      <c r="AY949" s="67"/>
      <c r="AZ949" s="67"/>
      <c r="BA949" s="67"/>
      <c r="BB949" s="67"/>
      <c r="BC949" s="67"/>
      <c r="BD949" s="67"/>
      <c r="BE949" s="67"/>
      <c r="BF949" s="67"/>
      <c r="BG949" s="67"/>
      <c r="BH949" s="67"/>
      <c r="BI949" s="67"/>
      <c r="BJ949" s="67"/>
      <c r="BK949" s="67"/>
      <c r="BL949" s="67"/>
      <c r="BM949" s="67"/>
      <c r="BN949" s="67"/>
      <c r="BO949" s="67"/>
      <c r="BP949" s="67"/>
      <c r="BQ949" s="67"/>
      <c r="BR949" s="67"/>
      <c r="BS949" s="67"/>
      <c r="BT949" s="67"/>
      <c r="BU949" s="67"/>
      <c r="BV949" s="67"/>
    </row>
    <row r="950" spans="1:74" s="68" customFormat="1" ht="28.5" x14ac:dyDescent="0.2">
      <c r="A950" s="76" t="s">
        <v>1849</v>
      </c>
      <c r="B950" s="77" t="s">
        <v>1850</v>
      </c>
      <c r="C950" s="131"/>
      <c r="D950" s="131"/>
      <c r="E950" s="131"/>
      <c r="F950" s="131"/>
      <c r="G950" s="131">
        <v>5674288</v>
      </c>
      <c r="H950" s="131"/>
      <c r="I950" s="131"/>
      <c r="J950" s="131"/>
      <c r="K950" s="131"/>
      <c r="L950" s="131"/>
      <c r="M950" s="131"/>
      <c r="N950" s="131"/>
      <c r="O950" s="192">
        <f t="shared" si="410"/>
        <v>5674288</v>
      </c>
      <c r="P950" s="67"/>
      <c r="Q950" s="105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  <c r="AK950" s="67"/>
      <c r="AL950" s="67"/>
      <c r="AM950" s="67"/>
      <c r="AN950" s="67"/>
      <c r="AO950" s="67"/>
      <c r="AP950" s="67"/>
      <c r="AQ950" s="67"/>
      <c r="AR950" s="67"/>
      <c r="AS950" s="67"/>
      <c r="AT950" s="67"/>
      <c r="AU950" s="67"/>
      <c r="AV950" s="67"/>
      <c r="AW950" s="67"/>
      <c r="AX950" s="67"/>
      <c r="AY950" s="67"/>
      <c r="AZ950" s="67"/>
      <c r="BA950" s="67"/>
      <c r="BB950" s="67"/>
      <c r="BC950" s="67"/>
      <c r="BD950" s="67"/>
      <c r="BE950" s="67"/>
      <c r="BF950" s="67"/>
      <c r="BG950" s="67"/>
      <c r="BH950" s="67"/>
      <c r="BI950" s="67"/>
      <c r="BJ950" s="67"/>
      <c r="BK950" s="67"/>
      <c r="BL950" s="67"/>
      <c r="BM950" s="67"/>
      <c r="BN950" s="67"/>
      <c r="BO950" s="67"/>
      <c r="BP950" s="67"/>
      <c r="BQ950" s="67"/>
      <c r="BR950" s="67"/>
      <c r="BS950" s="67"/>
      <c r="BT950" s="67"/>
      <c r="BU950" s="67"/>
      <c r="BV950" s="67"/>
    </row>
    <row r="951" spans="1:74" s="68" customFormat="1" ht="28.5" x14ac:dyDescent="0.2">
      <c r="A951" s="76" t="s">
        <v>1849</v>
      </c>
      <c r="B951" s="77" t="s">
        <v>1850</v>
      </c>
      <c r="C951" s="131"/>
      <c r="D951" s="131"/>
      <c r="E951" s="131"/>
      <c r="F951" s="131"/>
      <c r="G951" s="131">
        <v>16782910.140000001</v>
      </c>
      <c r="H951" s="131"/>
      <c r="I951" s="131"/>
      <c r="J951" s="131"/>
      <c r="K951" s="131"/>
      <c r="L951" s="131"/>
      <c r="M951" s="131"/>
      <c r="N951" s="131"/>
      <c r="O951" s="192">
        <f t="shared" si="410"/>
        <v>16782910.140000001</v>
      </c>
      <c r="P951" s="67"/>
      <c r="Q951" s="105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  <c r="AK951" s="67"/>
      <c r="AL951" s="67"/>
      <c r="AM951" s="67"/>
      <c r="AN951" s="67"/>
      <c r="AO951" s="67"/>
      <c r="AP951" s="67"/>
      <c r="AQ951" s="67"/>
      <c r="AR951" s="67"/>
      <c r="AS951" s="67"/>
      <c r="AT951" s="67"/>
      <c r="AU951" s="67"/>
      <c r="AV951" s="67"/>
      <c r="AW951" s="67"/>
      <c r="AX951" s="67"/>
      <c r="AY951" s="67"/>
      <c r="AZ951" s="67"/>
      <c r="BA951" s="67"/>
      <c r="BB951" s="67"/>
      <c r="BC951" s="67"/>
      <c r="BD951" s="67"/>
      <c r="BE951" s="67"/>
      <c r="BF951" s="67"/>
      <c r="BG951" s="67"/>
      <c r="BH951" s="67"/>
      <c r="BI951" s="67"/>
      <c r="BJ951" s="67"/>
      <c r="BK951" s="67"/>
      <c r="BL951" s="67"/>
      <c r="BM951" s="67"/>
      <c r="BN951" s="67"/>
      <c r="BO951" s="67"/>
      <c r="BP951" s="67"/>
      <c r="BQ951" s="67"/>
      <c r="BR951" s="67"/>
      <c r="BS951" s="67"/>
      <c r="BT951" s="67"/>
      <c r="BU951" s="67"/>
      <c r="BV951" s="67"/>
    </row>
    <row r="952" spans="1:74" s="68" customFormat="1" ht="28.5" x14ac:dyDescent="0.2">
      <c r="A952" s="76" t="s">
        <v>1849</v>
      </c>
      <c r="B952" s="77" t="s">
        <v>1850</v>
      </c>
      <c r="C952" s="131"/>
      <c r="D952" s="131"/>
      <c r="E952" s="131"/>
      <c r="F952" s="131"/>
      <c r="G952" s="131">
        <v>11551551.130000001</v>
      </c>
      <c r="H952" s="131"/>
      <c r="I952" s="131"/>
      <c r="J952" s="131"/>
      <c r="K952" s="131"/>
      <c r="L952" s="131"/>
      <c r="M952" s="131"/>
      <c r="N952" s="131"/>
      <c r="O952" s="192">
        <f t="shared" si="410"/>
        <v>11551551.130000001</v>
      </c>
      <c r="P952" s="67"/>
      <c r="Q952" s="105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  <c r="AK952" s="67"/>
      <c r="AL952" s="67"/>
      <c r="AM952" s="67"/>
      <c r="AN952" s="67"/>
      <c r="AO952" s="67"/>
      <c r="AP952" s="67"/>
      <c r="AQ952" s="67"/>
      <c r="AR952" s="67"/>
      <c r="AS952" s="67"/>
      <c r="AT952" s="67"/>
      <c r="AU952" s="67"/>
      <c r="AV952" s="67"/>
      <c r="AW952" s="67"/>
      <c r="AX952" s="67"/>
      <c r="AY952" s="67"/>
      <c r="AZ952" s="67"/>
      <c r="BA952" s="67"/>
      <c r="BB952" s="67"/>
      <c r="BC952" s="67"/>
      <c r="BD952" s="67"/>
      <c r="BE952" s="67"/>
      <c r="BF952" s="67"/>
      <c r="BG952" s="67"/>
      <c r="BH952" s="67"/>
      <c r="BI952" s="67"/>
      <c r="BJ952" s="67"/>
      <c r="BK952" s="67"/>
      <c r="BL952" s="67"/>
      <c r="BM952" s="67"/>
      <c r="BN952" s="67"/>
      <c r="BO952" s="67"/>
      <c r="BP952" s="67"/>
      <c r="BQ952" s="67"/>
      <c r="BR952" s="67"/>
      <c r="BS952" s="67"/>
      <c r="BT952" s="67"/>
      <c r="BU952" s="67"/>
      <c r="BV952" s="67"/>
    </row>
    <row r="953" spans="1:74" s="68" customFormat="1" ht="28.5" x14ac:dyDescent="0.2">
      <c r="A953" s="76" t="s">
        <v>1849</v>
      </c>
      <c r="B953" s="77" t="s">
        <v>1850</v>
      </c>
      <c r="C953" s="131"/>
      <c r="D953" s="131"/>
      <c r="E953" s="131"/>
      <c r="F953" s="131"/>
      <c r="G953" s="131">
        <v>62000000</v>
      </c>
      <c r="H953" s="131"/>
      <c r="I953" s="131"/>
      <c r="J953" s="131"/>
      <c r="K953" s="131"/>
      <c r="L953" s="131"/>
      <c r="M953" s="131"/>
      <c r="N953" s="131"/>
      <c r="O953" s="192">
        <f t="shared" si="410"/>
        <v>62000000</v>
      </c>
      <c r="P953" s="67"/>
      <c r="Q953" s="105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  <c r="AK953" s="67"/>
      <c r="AL953" s="67"/>
      <c r="AM953" s="67"/>
      <c r="AN953" s="67"/>
      <c r="AO953" s="67"/>
      <c r="AP953" s="67"/>
      <c r="AQ953" s="67"/>
      <c r="AR953" s="67"/>
      <c r="AS953" s="67"/>
      <c r="AT953" s="67"/>
      <c r="AU953" s="67"/>
      <c r="AV953" s="67"/>
      <c r="AW953" s="67"/>
      <c r="AX953" s="67"/>
      <c r="AY953" s="67"/>
      <c r="AZ953" s="67"/>
      <c r="BA953" s="67"/>
      <c r="BB953" s="67"/>
      <c r="BC953" s="67"/>
      <c r="BD953" s="67"/>
      <c r="BE953" s="67"/>
      <c r="BF953" s="67"/>
      <c r="BG953" s="67"/>
      <c r="BH953" s="67"/>
      <c r="BI953" s="67"/>
      <c r="BJ953" s="67"/>
      <c r="BK953" s="67"/>
      <c r="BL953" s="67"/>
      <c r="BM953" s="67"/>
      <c r="BN953" s="67"/>
      <c r="BO953" s="67"/>
      <c r="BP953" s="67"/>
      <c r="BQ953" s="67"/>
      <c r="BR953" s="67"/>
      <c r="BS953" s="67"/>
      <c r="BT953" s="67"/>
      <c r="BU953" s="67"/>
      <c r="BV953" s="67"/>
    </row>
    <row r="954" spans="1:74" s="68" customFormat="1" ht="28.5" x14ac:dyDescent="0.2">
      <c r="A954" s="76" t="s">
        <v>1849</v>
      </c>
      <c r="B954" s="77" t="s">
        <v>1850</v>
      </c>
      <c r="C954" s="131"/>
      <c r="D954" s="131"/>
      <c r="E954" s="131"/>
      <c r="F954" s="131"/>
      <c r="G954" s="131">
        <v>1128419167.9200001</v>
      </c>
      <c r="H954" s="131"/>
      <c r="I954" s="131"/>
      <c r="J954" s="131"/>
      <c r="K954" s="131"/>
      <c r="L954" s="131"/>
      <c r="M954" s="131"/>
      <c r="N954" s="131"/>
      <c r="O954" s="192">
        <f t="shared" si="410"/>
        <v>1128419167.9200001</v>
      </c>
      <c r="P954" s="67"/>
      <c r="Q954" s="105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  <c r="AK954" s="67"/>
      <c r="AL954" s="67"/>
      <c r="AM954" s="67"/>
      <c r="AN954" s="67"/>
      <c r="AO954" s="67"/>
      <c r="AP954" s="67"/>
      <c r="AQ954" s="67"/>
      <c r="AR954" s="67"/>
      <c r="AS954" s="67"/>
      <c r="AT954" s="67"/>
      <c r="AU954" s="67"/>
      <c r="AV954" s="67"/>
      <c r="AW954" s="67"/>
      <c r="AX954" s="67"/>
      <c r="AY954" s="67"/>
      <c r="AZ954" s="67"/>
      <c r="BA954" s="67"/>
      <c r="BB954" s="67"/>
      <c r="BC954" s="67"/>
      <c r="BD954" s="67"/>
      <c r="BE954" s="67"/>
      <c r="BF954" s="67"/>
      <c r="BG954" s="67"/>
      <c r="BH954" s="67"/>
      <c r="BI954" s="67"/>
      <c r="BJ954" s="67"/>
      <c r="BK954" s="67"/>
      <c r="BL954" s="67"/>
      <c r="BM954" s="67"/>
      <c r="BN954" s="67"/>
      <c r="BO954" s="67"/>
      <c r="BP954" s="67"/>
      <c r="BQ954" s="67"/>
      <c r="BR954" s="67"/>
      <c r="BS954" s="67"/>
      <c r="BT954" s="67"/>
      <c r="BU954" s="67"/>
      <c r="BV954" s="67"/>
    </row>
    <row r="955" spans="1:74" s="68" customFormat="1" ht="28.5" x14ac:dyDescent="0.2">
      <c r="A955" s="76" t="s">
        <v>1849</v>
      </c>
      <c r="B955" s="77" t="s">
        <v>1850</v>
      </c>
      <c r="C955" s="131"/>
      <c r="D955" s="131"/>
      <c r="E955" s="131"/>
      <c r="F955" s="131"/>
      <c r="G955" s="131">
        <v>43017705</v>
      </c>
      <c r="H955" s="131"/>
      <c r="I955" s="131"/>
      <c r="J955" s="131"/>
      <c r="K955" s="131"/>
      <c r="L955" s="131"/>
      <c r="M955" s="131"/>
      <c r="N955" s="131"/>
      <c r="O955" s="192">
        <f t="shared" si="410"/>
        <v>43017705</v>
      </c>
      <c r="P955" s="67"/>
      <c r="Q955" s="105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  <c r="AK955" s="67"/>
      <c r="AL955" s="67"/>
      <c r="AM955" s="67"/>
      <c r="AN955" s="67"/>
      <c r="AO955" s="67"/>
      <c r="AP955" s="67"/>
      <c r="AQ955" s="67"/>
      <c r="AR955" s="67"/>
      <c r="AS955" s="67"/>
      <c r="AT955" s="67"/>
      <c r="AU955" s="67"/>
      <c r="AV955" s="67"/>
      <c r="AW955" s="67"/>
      <c r="AX955" s="67"/>
      <c r="AY955" s="67"/>
      <c r="AZ955" s="67"/>
      <c r="BA955" s="67"/>
      <c r="BB955" s="67"/>
      <c r="BC955" s="67"/>
      <c r="BD955" s="67"/>
      <c r="BE955" s="67"/>
      <c r="BF955" s="67"/>
      <c r="BG955" s="67"/>
      <c r="BH955" s="67"/>
      <c r="BI955" s="67"/>
      <c r="BJ955" s="67"/>
      <c r="BK955" s="67"/>
      <c r="BL955" s="67"/>
      <c r="BM955" s="67"/>
      <c r="BN955" s="67"/>
      <c r="BO955" s="67"/>
      <c r="BP955" s="67"/>
      <c r="BQ955" s="67"/>
      <c r="BR955" s="67"/>
      <c r="BS955" s="67"/>
      <c r="BT955" s="67"/>
      <c r="BU955" s="67"/>
      <c r="BV955" s="67"/>
    </row>
    <row r="956" spans="1:74" s="68" customFormat="1" ht="28.5" x14ac:dyDescent="0.2">
      <c r="A956" s="76" t="s">
        <v>1849</v>
      </c>
      <c r="B956" s="77" t="s">
        <v>1850</v>
      </c>
      <c r="C956" s="131"/>
      <c r="D956" s="131"/>
      <c r="E956" s="131"/>
      <c r="F956" s="131"/>
      <c r="G956" s="131">
        <v>18902012.960000001</v>
      </c>
      <c r="H956" s="131"/>
      <c r="I956" s="131"/>
      <c r="J956" s="131"/>
      <c r="K956" s="131"/>
      <c r="L956" s="131"/>
      <c r="M956" s="131"/>
      <c r="N956" s="131"/>
      <c r="O956" s="192">
        <f t="shared" si="410"/>
        <v>18902012.960000001</v>
      </c>
      <c r="P956" s="67"/>
      <c r="Q956" s="105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  <c r="AK956" s="67"/>
      <c r="AL956" s="67"/>
      <c r="AM956" s="67"/>
      <c r="AN956" s="67"/>
      <c r="AO956" s="67"/>
      <c r="AP956" s="67"/>
      <c r="AQ956" s="67"/>
      <c r="AR956" s="67"/>
      <c r="AS956" s="67"/>
      <c r="AT956" s="67"/>
      <c r="AU956" s="67"/>
      <c r="AV956" s="67"/>
      <c r="AW956" s="67"/>
      <c r="AX956" s="67"/>
      <c r="AY956" s="67"/>
      <c r="AZ956" s="67"/>
      <c r="BA956" s="67"/>
      <c r="BB956" s="67"/>
      <c r="BC956" s="67"/>
      <c r="BD956" s="67"/>
      <c r="BE956" s="67"/>
      <c r="BF956" s="67"/>
      <c r="BG956" s="67"/>
      <c r="BH956" s="67"/>
      <c r="BI956" s="67"/>
      <c r="BJ956" s="67"/>
      <c r="BK956" s="67"/>
      <c r="BL956" s="67"/>
      <c r="BM956" s="67"/>
      <c r="BN956" s="67"/>
      <c r="BO956" s="67"/>
      <c r="BP956" s="67"/>
      <c r="BQ956" s="67"/>
      <c r="BR956" s="67"/>
      <c r="BS956" s="67"/>
      <c r="BT956" s="67"/>
      <c r="BU956" s="67"/>
      <c r="BV956" s="67"/>
    </row>
    <row r="957" spans="1:74" s="68" customFormat="1" ht="28.5" x14ac:dyDescent="0.2">
      <c r="A957" s="76" t="s">
        <v>1849</v>
      </c>
      <c r="B957" s="77" t="s">
        <v>1850</v>
      </c>
      <c r="C957" s="131"/>
      <c r="D957" s="131"/>
      <c r="E957" s="131"/>
      <c r="F957" s="131"/>
      <c r="G957" s="131">
        <v>1120007430.79</v>
      </c>
      <c r="H957" s="131"/>
      <c r="I957" s="131"/>
      <c r="J957" s="131"/>
      <c r="K957" s="131"/>
      <c r="L957" s="131"/>
      <c r="M957" s="131"/>
      <c r="N957" s="131"/>
      <c r="O957" s="192">
        <f t="shared" si="410"/>
        <v>1120007430.79</v>
      </c>
      <c r="P957" s="67"/>
      <c r="Q957" s="105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  <c r="AK957" s="67"/>
      <c r="AL957" s="67"/>
      <c r="AM957" s="67"/>
      <c r="AN957" s="67"/>
      <c r="AO957" s="67"/>
      <c r="AP957" s="67"/>
      <c r="AQ957" s="67"/>
      <c r="AR957" s="67"/>
      <c r="AS957" s="67"/>
      <c r="AT957" s="67"/>
      <c r="AU957" s="67"/>
      <c r="AV957" s="67"/>
      <c r="AW957" s="67"/>
      <c r="AX957" s="67"/>
      <c r="AY957" s="67"/>
      <c r="AZ957" s="67"/>
      <c r="BA957" s="67"/>
      <c r="BB957" s="67"/>
      <c r="BC957" s="67"/>
      <c r="BD957" s="67"/>
      <c r="BE957" s="67"/>
      <c r="BF957" s="67"/>
      <c r="BG957" s="67"/>
      <c r="BH957" s="67"/>
      <c r="BI957" s="67"/>
      <c r="BJ957" s="67"/>
      <c r="BK957" s="67"/>
      <c r="BL957" s="67"/>
      <c r="BM957" s="67"/>
      <c r="BN957" s="67"/>
      <c r="BO957" s="67"/>
      <c r="BP957" s="67"/>
      <c r="BQ957" s="67"/>
      <c r="BR957" s="67"/>
      <c r="BS957" s="67"/>
      <c r="BT957" s="67"/>
      <c r="BU957" s="67"/>
      <c r="BV957" s="67"/>
    </row>
    <row r="958" spans="1:74" s="68" customFormat="1" ht="28.5" x14ac:dyDescent="0.2">
      <c r="A958" s="76" t="s">
        <v>1849</v>
      </c>
      <c r="B958" s="77" t="s">
        <v>1850</v>
      </c>
      <c r="C958" s="131"/>
      <c r="D958" s="131"/>
      <c r="E958" s="131"/>
      <c r="F958" s="131"/>
      <c r="G958" s="131">
        <v>132530138.45999999</v>
      </c>
      <c r="H958" s="131"/>
      <c r="I958" s="131"/>
      <c r="J958" s="131"/>
      <c r="K958" s="131"/>
      <c r="L958" s="131"/>
      <c r="M958" s="131"/>
      <c r="N958" s="131"/>
      <c r="O958" s="192">
        <f t="shared" si="410"/>
        <v>132530138.45999999</v>
      </c>
      <c r="P958" s="67"/>
      <c r="Q958" s="105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  <c r="AK958" s="67"/>
      <c r="AL958" s="67"/>
      <c r="AM958" s="67"/>
      <c r="AN958" s="67"/>
      <c r="AO958" s="67"/>
      <c r="AP958" s="67"/>
      <c r="AQ958" s="67"/>
      <c r="AR958" s="67"/>
      <c r="AS958" s="67"/>
      <c r="AT958" s="67"/>
      <c r="AU958" s="67"/>
      <c r="AV958" s="67"/>
      <c r="AW958" s="67"/>
      <c r="AX958" s="67"/>
      <c r="AY958" s="67"/>
      <c r="AZ958" s="67"/>
      <c r="BA958" s="67"/>
      <c r="BB958" s="67"/>
      <c r="BC958" s="67"/>
      <c r="BD958" s="67"/>
      <c r="BE958" s="67"/>
      <c r="BF958" s="67"/>
      <c r="BG958" s="67"/>
      <c r="BH958" s="67"/>
      <c r="BI958" s="67"/>
      <c r="BJ958" s="67"/>
      <c r="BK958" s="67"/>
      <c r="BL958" s="67"/>
      <c r="BM958" s="67"/>
      <c r="BN958" s="67"/>
      <c r="BO958" s="67"/>
      <c r="BP958" s="67"/>
      <c r="BQ958" s="67"/>
      <c r="BR958" s="67"/>
      <c r="BS958" s="67"/>
      <c r="BT958" s="67"/>
      <c r="BU958" s="67"/>
      <c r="BV958" s="67"/>
    </row>
    <row r="959" spans="1:74" s="68" customFormat="1" ht="28.5" x14ac:dyDescent="0.2">
      <c r="A959" s="76" t="s">
        <v>1849</v>
      </c>
      <c r="B959" s="77" t="s">
        <v>1850</v>
      </c>
      <c r="C959" s="131"/>
      <c r="D959" s="131"/>
      <c r="E959" s="131"/>
      <c r="F959" s="131"/>
      <c r="G959" s="131">
        <v>8035590</v>
      </c>
      <c r="H959" s="131"/>
      <c r="I959" s="131"/>
      <c r="J959" s="131"/>
      <c r="K959" s="131"/>
      <c r="L959" s="131"/>
      <c r="M959" s="131"/>
      <c r="N959" s="131"/>
      <c r="O959" s="192">
        <f t="shared" si="410"/>
        <v>8035590</v>
      </c>
      <c r="P959" s="67"/>
      <c r="Q959" s="105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  <c r="AK959" s="67"/>
      <c r="AL959" s="67"/>
      <c r="AM959" s="67"/>
      <c r="AN959" s="67"/>
      <c r="AO959" s="67"/>
      <c r="AP959" s="67"/>
      <c r="AQ959" s="67"/>
      <c r="AR959" s="67"/>
      <c r="AS959" s="67"/>
      <c r="AT959" s="67"/>
      <c r="AU959" s="67"/>
      <c r="AV959" s="67"/>
      <c r="AW959" s="67"/>
      <c r="AX959" s="67"/>
      <c r="AY959" s="67"/>
      <c r="AZ959" s="67"/>
      <c r="BA959" s="67"/>
      <c r="BB959" s="67"/>
      <c r="BC959" s="67"/>
      <c r="BD959" s="67"/>
      <c r="BE959" s="67"/>
      <c r="BF959" s="67"/>
      <c r="BG959" s="67"/>
      <c r="BH959" s="67"/>
      <c r="BI959" s="67"/>
      <c r="BJ959" s="67"/>
      <c r="BK959" s="67"/>
      <c r="BL959" s="67"/>
      <c r="BM959" s="67"/>
      <c r="BN959" s="67"/>
      <c r="BO959" s="67"/>
      <c r="BP959" s="67"/>
      <c r="BQ959" s="67"/>
      <c r="BR959" s="67"/>
      <c r="BS959" s="67"/>
      <c r="BT959" s="67"/>
      <c r="BU959" s="67"/>
      <c r="BV959" s="67"/>
    </row>
    <row r="960" spans="1:74" s="68" customFormat="1" ht="28.5" x14ac:dyDescent="0.2">
      <c r="A960" s="76" t="s">
        <v>1849</v>
      </c>
      <c r="B960" s="77" t="s">
        <v>1850</v>
      </c>
      <c r="C960" s="131"/>
      <c r="D960" s="131"/>
      <c r="E960" s="131"/>
      <c r="F960" s="131"/>
      <c r="G960" s="131">
        <v>8933370</v>
      </c>
      <c r="H960" s="131"/>
      <c r="I960" s="131"/>
      <c r="J960" s="131"/>
      <c r="K960" s="131"/>
      <c r="L960" s="131"/>
      <c r="M960" s="131"/>
      <c r="N960" s="131"/>
      <c r="O960" s="192">
        <f t="shared" si="410"/>
        <v>8933370</v>
      </c>
      <c r="P960" s="67"/>
      <c r="Q960" s="105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67"/>
      <c r="AH960" s="67"/>
      <c r="AI960" s="67"/>
      <c r="AJ960" s="67"/>
      <c r="AK960" s="67"/>
      <c r="AL960" s="67"/>
      <c r="AM960" s="67"/>
      <c r="AN960" s="67"/>
      <c r="AO960" s="67"/>
      <c r="AP960" s="67"/>
      <c r="AQ960" s="67"/>
      <c r="AR960" s="67"/>
      <c r="AS960" s="67"/>
      <c r="AT960" s="67"/>
      <c r="AU960" s="67"/>
      <c r="AV960" s="67"/>
      <c r="AW960" s="67"/>
      <c r="AX960" s="67"/>
      <c r="AY960" s="67"/>
      <c r="AZ960" s="67"/>
      <c r="BA960" s="67"/>
      <c r="BB960" s="67"/>
      <c r="BC960" s="67"/>
      <c r="BD960" s="67"/>
      <c r="BE960" s="67"/>
      <c r="BF960" s="67"/>
      <c r="BG960" s="67"/>
      <c r="BH960" s="67"/>
      <c r="BI960" s="67"/>
      <c r="BJ960" s="67"/>
      <c r="BK960" s="67"/>
      <c r="BL960" s="67"/>
      <c r="BM960" s="67"/>
      <c r="BN960" s="67"/>
      <c r="BO960" s="67"/>
      <c r="BP960" s="67"/>
      <c r="BQ960" s="67"/>
      <c r="BR960" s="67"/>
      <c r="BS960" s="67"/>
      <c r="BT960" s="67"/>
      <c r="BU960" s="67"/>
      <c r="BV960" s="67"/>
    </row>
    <row r="961" spans="1:74" s="68" customFormat="1" ht="28.5" x14ac:dyDescent="0.2">
      <c r="A961" s="76" t="s">
        <v>1849</v>
      </c>
      <c r="B961" s="77" t="s">
        <v>1850</v>
      </c>
      <c r="C961" s="131"/>
      <c r="D961" s="131"/>
      <c r="E961" s="131"/>
      <c r="F961" s="131"/>
      <c r="G961" s="131">
        <v>10453972</v>
      </c>
      <c r="H961" s="131"/>
      <c r="I961" s="131"/>
      <c r="J961" s="131"/>
      <c r="K961" s="131"/>
      <c r="L961" s="131"/>
      <c r="M961" s="131"/>
      <c r="N961" s="131"/>
      <c r="O961" s="192">
        <f t="shared" si="410"/>
        <v>10453972</v>
      </c>
      <c r="P961" s="67"/>
      <c r="Q961" s="105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  <c r="AK961" s="67"/>
      <c r="AL961" s="67"/>
      <c r="AM961" s="67"/>
      <c r="AN961" s="67"/>
      <c r="AO961" s="67"/>
      <c r="AP961" s="67"/>
      <c r="AQ961" s="67"/>
      <c r="AR961" s="67"/>
      <c r="AS961" s="67"/>
      <c r="AT961" s="67"/>
      <c r="AU961" s="67"/>
      <c r="AV961" s="67"/>
      <c r="AW961" s="67"/>
      <c r="AX961" s="67"/>
      <c r="AY961" s="67"/>
      <c r="AZ961" s="67"/>
      <c r="BA961" s="67"/>
      <c r="BB961" s="67"/>
      <c r="BC961" s="67"/>
      <c r="BD961" s="67"/>
      <c r="BE961" s="67"/>
      <c r="BF961" s="67"/>
      <c r="BG961" s="67"/>
      <c r="BH961" s="67"/>
      <c r="BI961" s="67"/>
      <c r="BJ961" s="67"/>
      <c r="BK961" s="67"/>
      <c r="BL961" s="67"/>
      <c r="BM961" s="67"/>
      <c r="BN961" s="67"/>
      <c r="BO961" s="67"/>
      <c r="BP961" s="67"/>
      <c r="BQ961" s="67"/>
      <c r="BR961" s="67"/>
      <c r="BS961" s="67"/>
      <c r="BT961" s="67"/>
      <c r="BU961" s="67"/>
      <c r="BV961" s="67"/>
    </row>
    <row r="962" spans="1:74" s="68" customFormat="1" ht="28.5" x14ac:dyDescent="0.2">
      <c r="A962" s="76" t="s">
        <v>1849</v>
      </c>
      <c r="B962" s="77" t="s">
        <v>1850</v>
      </c>
      <c r="C962" s="131"/>
      <c r="D962" s="131"/>
      <c r="E962" s="131"/>
      <c r="F962" s="131"/>
      <c r="G962" s="131">
        <v>637773</v>
      </c>
      <c r="H962" s="131"/>
      <c r="I962" s="131"/>
      <c r="J962" s="131"/>
      <c r="K962" s="131"/>
      <c r="L962" s="131"/>
      <c r="M962" s="131"/>
      <c r="N962" s="131"/>
      <c r="O962" s="192">
        <f t="shared" si="410"/>
        <v>637773</v>
      </c>
      <c r="P962" s="67"/>
      <c r="Q962" s="105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67"/>
      <c r="AH962" s="67"/>
      <c r="AI962" s="67"/>
      <c r="AJ962" s="67"/>
      <c r="AK962" s="67"/>
      <c r="AL962" s="67"/>
      <c r="AM962" s="67"/>
      <c r="AN962" s="67"/>
      <c r="AO962" s="67"/>
      <c r="AP962" s="67"/>
      <c r="AQ962" s="67"/>
      <c r="AR962" s="67"/>
      <c r="AS962" s="67"/>
      <c r="AT962" s="67"/>
      <c r="AU962" s="67"/>
      <c r="AV962" s="67"/>
      <c r="AW962" s="67"/>
      <c r="AX962" s="67"/>
      <c r="AY962" s="67"/>
      <c r="AZ962" s="67"/>
      <c r="BA962" s="67"/>
      <c r="BB962" s="67"/>
      <c r="BC962" s="67"/>
      <c r="BD962" s="67"/>
      <c r="BE962" s="67"/>
      <c r="BF962" s="67"/>
      <c r="BG962" s="67"/>
      <c r="BH962" s="67"/>
      <c r="BI962" s="67"/>
      <c r="BJ962" s="67"/>
      <c r="BK962" s="67"/>
      <c r="BL962" s="67"/>
      <c r="BM962" s="67"/>
      <c r="BN962" s="67"/>
      <c r="BO962" s="67"/>
      <c r="BP962" s="67"/>
      <c r="BQ962" s="67"/>
      <c r="BR962" s="67"/>
      <c r="BS962" s="67"/>
      <c r="BT962" s="67"/>
      <c r="BU962" s="67"/>
      <c r="BV962" s="67"/>
    </row>
    <row r="963" spans="1:74" s="112" customFormat="1" ht="31.5" x14ac:dyDescent="0.2">
      <c r="A963" s="81" t="s">
        <v>850</v>
      </c>
      <c r="B963" s="79" t="s">
        <v>1851</v>
      </c>
      <c r="C963" s="130">
        <f>+C964</f>
        <v>0</v>
      </c>
      <c r="D963" s="130">
        <f t="shared" ref="D963:N963" si="411">+D964</f>
        <v>0</v>
      </c>
      <c r="E963" s="130">
        <f t="shared" si="411"/>
        <v>0</v>
      </c>
      <c r="F963" s="130">
        <f t="shared" si="411"/>
        <v>0</v>
      </c>
      <c r="G963" s="130">
        <f t="shared" si="411"/>
        <v>0</v>
      </c>
      <c r="H963" s="130">
        <f t="shared" si="411"/>
        <v>0</v>
      </c>
      <c r="I963" s="130">
        <f t="shared" si="411"/>
        <v>0</v>
      </c>
      <c r="J963" s="130">
        <f t="shared" si="411"/>
        <v>0</v>
      </c>
      <c r="K963" s="130">
        <f t="shared" si="411"/>
        <v>0</v>
      </c>
      <c r="L963" s="130">
        <f t="shared" si="411"/>
        <v>0</v>
      </c>
      <c r="M963" s="130">
        <f t="shared" si="411"/>
        <v>0</v>
      </c>
      <c r="N963" s="130">
        <f t="shared" si="411"/>
        <v>0</v>
      </c>
      <c r="O963" s="93">
        <f t="shared" si="410"/>
        <v>0</v>
      </c>
      <c r="P963" s="111"/>
      <c r="Q963" s="63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  <c r="AE963" s="111"/>
      <c r="AF963" s="111"/>
      <c r="AG963" s="111"/>
      <c r="AH963" s="111"/>
      <c r="AI963" s="111"/>
      <c r="AJ963" s="111"/>
      <c r="AK963" s="111"/>
      <c r="AL963" s="111"/>
      <c r="AM963" s="111"/>
      <c r="AN963" s="111"/>
      <c r="AO963" s="111"/>
      <c r="AP963" s="111"/>
      <c r="AQ963" s="111"/>
      <c r="AR963" s="111"/>
      <c r="AS963" s="111"/>
      <c r="AT963" s="111"/>
      <c r="AU963" s="111"/>
      <c r="AV963" s="111"/>
      <c r="AW963" s="111"/>
      <c r="AX963" s="111"/>
      <c r="AY963" s="111"/>
      <c r="AZ963" s="111"/>
      <c r="BA963" s="111"/>
      <c r="BB963" s="111"/>
      <c r="BC963" s="111"/>
      <c r="BD963" s="111"/>
      <c r="BE963" s="111"/>
      <c r="BF963" s="111"/>
      <c r="BG963" s="111"/>
      <c r="BH963" s="111"/>
      <c r="BI963" s="111"/>
      <c r="BJ963" s="111"/>
      <c r="BK963" s="111"/>
      <c r="BL963" s="111"/>
      <c r="BM963" s="111"/>
      <c r="BN963" s="111"/>
      <c r="BO963" s="111"/>
      <c r="BP963" s="111"/>
      <c r="BQ963" s="111"/>
      <c r="BR963" s="111"/>
      <c r="BS963" s="111"/>
      <c r="BT963" s="111"/>
      <c r="BU963" s="111"/>
      <c r="BV963" s="111"/>
    </row>
    <row r="964" spans="1:74" s="68" customFormat="1" ht="14.25" x14ac:dyDescent="0.2">
      <c r="A964" s="76" t="s">
        <v>1126</v>
      </c>
      <c r="B964" s="77" t="s">
        <v>1127</v>
      </c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92">
        <f t="shared" si="410"/>
        <v>0</v>
      </c>
      <c r="P964" s="67"/>
      <c r="Q964" s="105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/>
      <c r="AH964" s="67"/>
      <c r="AI964" s="67"/>
      <c r="AJ964" s="67"/>
      <c r="AK964" s="67"/>
      <c r="AL964" s="67"/>
      <c r="AM964" s="67"/>
      <c r="AN964" s="67"/>
      <c r="AO964" s="67"/>
      <c r="AP964" s="67"/>
      <c r="AQ964" s="67"/>
      <c r="AR964" s="67"/>
      <c r="AS964" s="67"/>
      <c r="AT964" s="67"/>
      <c r="AU964" s="67"/>
      <c r="AV964" s="67"/>
      <c r="AW964" s="67"/>
      <c r="AX964" s="67"/>
      <c r="AY964" s="67"/>
      <c r="AZ964" s="67"/>
      <c r="BA964" s="67"/>
      <c r="BB964" s="67"/>
      <c r="BC964" s="67"/>
      <c r="BD964" s="67"/>
      <c r="BE964" s="67"/>
      <c r="BF964" s="67"/>
      <c r="BG964" s="67"/>
      <c r="BH964" s="67"/>
      <c r="BI964" s="67"/>
      <c r="BJ964" s="67"/>
      <c r="BK964" s="67"/>
      <c r="BL964" s="67"/>
      <c r="BM964" s="67"/>
      <c r="BN964" s="67"/>
      <c r="BO964" s="67"/>
      <c r="BP964" s="67"/>
      <c r="BQ964" s="67"/>
      <c r="BR964" s="67"/>
      <c r="BS964" s="67"/>
      <c r="BT964" s="67"/>
      <c r="BU964" s="67"/>
      <c r="BV964" s="67"/>
    </row>
    <row r="965" spans="1:74" s="112" customFormat="1" ht="15.75" x14ac:dyDescent="0.2">
      <c r="A965" s="81" t="s">
        <v>1852</v>
      </c>
      <c r="B965" s="79" t="s">
        <v>1853</v>
      </c>
      <c r="C965" s="130">
        <f>+C966</f>
        <v>0</v>
      </c>
      <c r="D965" s="130">
        <f t="shared" ref="D965:N967" si="412">+D966</f>
        <v>0</v>
      </c>
      <c r="E965" s="130">
        <f t="shared" si="412"/>
        <v>0</v>
      </c>
      <c r="F965" s="130">
        <f t="shared" si="412"/>
        <v>0</v>
      </c>
      <c r="G965" s="130">
        <f t="shared" si="412"/>
        <v>26740484269.560001</v>
      </c>
      <c r="H965" s="130">
        <f t="shared" si="412"/>
        <v>0</v>
      </c>
      <c r="I965" s="130">
        <f t="shared" si="412"/>
        <v>0</v>
      </c>
      <c r="J965" s="130">
        <f t="shared" si="412"/>
        <v>0</v>
      </c>
      <c r="K965" s="130">
        <f t="shared" si="412"/>
        <v>0</v>
      </c>
      <c r="L965" s="130">
        <f t="shared" si="412"/>
        <v>0</v>
      </c>
      <c r="M965" s="130">
        <f t="shared" si="412"/>
        <v>0</v>
      </c>
      <c r="N965" s="130">
        <f t="shared" si="412"/>
        <v>0</v>
      </c>
      <c r="O965" s="192">
        <f t="shared" si="410"/>
        <v>26740484269.560001</v>
      </c>
      <c r="P965" s="111"/>
      <c r="Q965" s="63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  <c r="AE965" s="111"/>
      <c r="AF965" s="111"/>
      <c r="AG965" s="111"/>
      <c r="AH965" s="111"/>
      <c r="AI965" s="111"/>
      <c r="AJ965" s="111"/>
      <c r="AK965" s="111"/>
      <c r="AL965" s="111"/>
      <c r="AM965" s="111"/>
      <c r="AN965" s="111"/>
      <c r="AO965" s="111"/>
      <c r="AP965" s="111"/>
      <c r="AQ965" s="111"/>
      <c r="AR965" s="111"/>
      <c r="AS965" s="111"/>
      <c r="AT965" s="111"/>
      <c r="AU965" s="111"/>
      <c r="AV965" s="111"/>
      <c r="AW965" s="111"/>
      <c r="AX965" s="111"/>
      <c r="AY965" s="111"/>
      <c r="AZ965" s="111"/>
      <c r="BA965" s="111"/>
      <c r="BB965" s="111"/>
      <c r="BC965" s="111"/>
      <c r="BD965" s="111"/>
      <c r="BE965" s="111"/>
      <c r="BF965" s="111"/>
      <c r="BG965" s="111"/>
      <c r="BH965" s="111"/>
      <c r="BI965" s="111"/>
      <c r="BJ965" s="111"/>
      <c r="BK965" s="111"/>
      <c r="BL965" s="111"/>
      <c r="BM965" s="111"/>
      <c r="BN965" s="111"/>
      <c r="BO965" s="111"/>
      <c r="BP965" s="111"/>
      <c r="BQ965" s="111"/>
      <c r="BR965" s="111"/>
      <c r="BS965" s="111"/>
      <c r="BT965" s="111"/>
      <c r="BU965" s="111"/>
      <c r="BV965" s="111"/>
    </row>
    <row r="966" spans="1:74" s="112" customFormat="1" ht="15.75" x14ac:dyDescent="0.2">
      <c r="A966" s="81" t="s">
        <v>1656</v>
      </c>
      <c r="B966" s="79" t="s">
        <v>1657</v>
      </c>
      <c r="C966" s="130">
        <f>+C967</f>
        <v>0</v>
      </c>
      <c r="D966" s="130">
        <f t="shared" si="412"/>
        <v>0</v>
      </c>
      <c r="E966" s="130">
        <f t="shared" si="412"/>
        <v>0</v>
      </c>
      <c r="F966" s="130">
        <f t="shared" si="412"/>
        <v>0</v>
      </c>
      <c r="G966" s="130">
        <f t="shared" si="412"/>
        <v>26740484269.560001</v>
      </c>
      <c r="H966" s="130">
        <f t="shared" si="412"/>
        <v>0</v>
      </c>
      <c r="I966" s="130">
        <f t="shared" si="412"/>
        <v>0</v>
      </c>
      <c r="J966" s="130">
        <f t="shared" si="412"/>
        <v>0</v>
      </c>
      <c r="K966" s="130">
        <f t="shared" si="412"/>
        <v>0</v>
      </c>
      <c r="L966" s="130">
        <f t="shared" si="412"/>
        <v>0</v>
      </c>
      <c r="M966" s="130">
        <f t="shared" si="412"/>
        <v>0</v>
      </c>
      <c r="N966" s="130">
        <f t="shared" si="412"/>
        <v>0</v>
      </c>
      <c r="O966" s="192">
        <f t="shared" si="410"/>
        <v>26740484269.560001</v>
      </c>
      <c r="P966" s="111"/>
      <c r="Q966" s="63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  <c r="AE966" s="111"/>
      <c r="AF966" s="111"/>
      <c r="AG966" s="111"/>
      <c r="AH966" s="111"/>
      <c r="AI966" s="111"/>
      <c r="AJ966" s="111"/>
      <c r="AK966" s="111"/>
      <c r="AL966" s="111"/>
      <c r="AM966" s="111"/>
      <c r="AN966" s="111"/>
      <c r="AO966" s="111"/>
      <c r="AP966" s="111"/>
      <c r="AQ966" s="111"/>
      <c r="AR966" s="111"/>
      <c r="AS966" s="111"/>
      <c r="AT966" s="111"/>
      <c r="AU966" s="111"/>
      <c r="AV966" s="111"/>
      <c r="AW966" s="111"/>
      <c r="AX966" s="111"/>
      <c r="AY966" s="111"/>
      <c r="AZ966" s="111"/>
      <c r="BA966" s="111"/>
      <c r="BB966" s="111"/>
      <c r="BC966" s="111"/>
      <c r="BD966" s="111"/>
      <c r="BE966" s="111"/>
      <c r="BF966" s="111"/>
      <c r="BG966" s="111"/>
      <c r="BH966" s="111"/>
      <c r="BI966" s="111"/>
      <c r="BJ966" s="111"/>
      <c r="BK966" s="111"/>
      <c r="BL966" s="111"/>
      <c r="BM966" s="111"/>
      <c r="BN966" s="111"/>
      <c r="BO966" s="111"/>
      <c r="BP966" s="111"/>
      <c r="BQ966" s="111"/>
      <c r="BR966" s="111"/>
      <c r="BS966" s="111"/>
      <c r="BT966" s="111"/>
      <c r="BU966" s="111"/>
      <c r="BV966" s="111"/>
    </row>
    <row r="967" spans="1:74" s="112" customFormat="1" ht="15.75" x14ac:dyDescent="0.2">
      <c r="A967" s="81" t="s">
        <v>1658</v>
      </c>
      <c r="B967" s="79" t="s">
        <v>1659</v>
      </c>
      <c r="C967" s="130">
        <f>+C968</f>
        <v>0</v>
      </c>
      <c r="D967" s="130">
        <f t="shared" si="412"/>
        <v>0</v>
      </c>
      <c r="E967" s="130">
        <f t="shared" si="412"/>
        <v>0</v>
      </c>
      <c r="F967" s="130">
        <f t="shared" si="412"/>
        <v>0</v>
      </c>
      <c r="G967" s="130">
        <f t="shared" si="412"/>
        <v>26740484269.560001</v>
      </c>
      <c r="H967" s="130">
        <f t="shared" si="412"/>
        <v>0</v>
      </c>
      <c r="I967" s="130">
        <f t="shared" si="412"/>
        <v>0</v>
      </c>
      <c r="J967" s="130">
        <f t="shared" si="412"/>
        <v>0</v>
      </c>
      <c r="K967" s="130">
        <f t="shared" si="412"/>
        <v>0</v>
      </c>
      <c r="L967" s="130">
        <f t="shared" si="412"/>
        <v>0</v>
      </c>
      <c r="M967" s="130">
        <f t="shared" si="412"/>
        <v>0</v>
      </c>
      <c r="N967" s="130">
        <f t="shared" si="412"/>
        <v>0</v>
      </c>
      <c r="O967" s="192">
        <f t="shared" si="410"/>
        <v>26740484269.560001</v>
      </c>
      <c r="P967" s="111"/>
      <c r="Q967" s="63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  <c r="AE967" s="111"/>
      <c r="AF967" s="111"/>
      <c r="AG967" s="111"/>
      <c r="AH967" s="111"/>
      <c r="AI967" s="111"/>
      <c r="AJ967" s="111"/>
      <c r="AK967" s="111"/>
      <c r="AL967" s="111"/>
      <c r="AM967" s="111"/>
      <c r="AN967" s="111"/>
      <c r="AO967" s="111"/>
      <c r="AP967" s="111"/>
      <c r="AQ967" s="111"/>
      <c r="AR967" s="111"/>
      <c r="AS967" s="111"/>
      <c r="AT967" s="111"/>
      <c r="AU967" s="111"/>
      <c r="AV967" s="111"/>
      <c r="AW967" s="111"/>
      <c r="AX967" s="111"/>
      <c r="AY967" s="111"/>
      <c r="AZ967" s="111"/>
      <c r="BA967" s="111"/>
      <c r="BB967" s="111"/>
      <c r="BC967" s="111"/>
      <c r="BD967" s="111"/>
      <c r="BE967" s="111"/>
      <c r="BF967" s="111"/>
      <c r="BG967" s="111"/>
      <c r="BH967" s="111"/>
      <c r="BI967" s="111"/>
      <c r="BJ967" s="111"/>
      <c r="BK967" s="111"/>
      <c r="BL967" s="111"/>
      <c r="BM967" s="111"/>
      <c r="BN967" s="111"/>
      <c r="BO967" s="111"/>
      <c r="BP967" s="111"/>
      <c r="BQ967" s="111"/>
      <c r="BR967" s="111"/>
      <c r="BS967" s="111"/>
      <c r="BT967" s="111"/>
      <c r="BU967" s="111"/>
      <c r="BV967" s="111"/>
    </row>
    <row r="968" spans="1:74" s="112" customFormat="1" ht="31.5" x14ac:dyDescent="0.2">
      <c r="A968" s="81" t="s">
        <v>1660</v>
      </c>
      <c r="B968" s="79" t="s">
        <v>1661</v>
      </c>
      <c r="C968" s="130">
        <f>SUM(C969:C987)</f>
        <v>0</v>
      </c>
      <c r="D968" s="130">
        <f t="shared" ref="D968:N968" si="413">SUM(D969:D987)</f>
        <v>0</v>
      </c>
      <c r="E968" s="130">
        <f t="shared" si="413"/>
        <v>0</v>
      </c>
      <c r="F968" s="130">
        <f t="shared" si="413"/>
        <v>0</v>
      </c>
      <c r="G968" s="130">
        <f t="shared" si="413"/>
        <v>26740484269.560001</v>
      </c>
      <c r="H968" s="130">
        <f t="shared" si="413"/>
        <v>0</v>
      </c>
      <c r="I968" s="130">
        <f t="shared" si="413"/>
        <v>0</v>
      </c>
      <c r="J968" s="130">
        <f t="shared" si="413"/>
        <v>0</v>
      </c>
      <c r="K968" s="130">
        <f t="shared" si="413"/>
        <v>0</v>
      </c>
      <c r="L968" s="130">
        <f t="shared" si="413"/>
        <v>0</v>
      </c>
      <c r="M968" s="130">
        <f t="shared" si="413"/>
        <v>0</v>
      </c>
      <c r="N968" s="130">
        <f t="shared" si="413"/>
        <v>0</v>
      </c>
      <c r="O968" s="192">
        <f t="shared" si="410"/>
        <v>26740484269.560001</v>
      </c>
      <c r="P968" s="111"/>
      <c r="Q968" s="63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  <c r="AE968" s="111"/>
      <c r="AF968" s="111"/>
      <c r="AG968" s="111"/>
      <c r="AH968" s="111"/>
      <c r="AI968" s="111"/>
      <c r="AJ968" s="111"/>
      <c r="AK968" s="111"/>
      <c r="AL968" s="111"/>
      <c r="AM968" s="111"/>
      <c r="AN968" s="111"/>
      <c r="AO968" s="111"/>
      <c r="AP968" s="111"/>
      <c r="AQ968" s="111"/>
      <c r="AR968" s="111"/>
      <c r="AS968" s="111"/>
      <c r="AT968" s="111"/>
      <c r="AU968" s="111"/>
      <c r="AV968" s="111"/>
      <c r="AW968" s="111"/>
      <c r="AX968" s="111"/>
      <c r="AY968" s="111"/>
      <c r="AZ968" s="111"/>
      <c r="BA968" s="111"/>
      <c r="BB968" s="111"/>
      <c r="BC968" s="111"/>
      <c r="BD968" s="111"/>
      <c r="BE968" s="111"/>
      <c r="BF968" s="111"/>
      <c r="BG968" s="111"/>
      <c r="BH968" s="111"/>
      <c r="BI968" s="111"/>
      <c r="BJ968" s="111"/>
      <c r="BK968" s="111"/>
      <c r="BL968" s="111"/>
      <c r="BM968" s="111"/>
      <c r="BN968" s="111"/>
      <c r="BO968" s="111"/>
      <c r="BP968" s="111"/>
      <c r="BQ968" s="111"/>
      <c r="BR968" s="111"/>
      <c r="BS968" s="111"/>
      <c r="BT968" s="111"/>
      <c r="BU968" s="111"/>
      <c r="BV968" s="111"/>
    </row>
    <row r="969" spans="1:74" s="68" customFormat="1" ht="14.25" x14ac:dyDescent="0.2">
      <c r="A969" s="76" t="s">
        <v>1854</v>
      </c>
      <c r="B969" s="77" t="s">
        <v>1855</v>
      </c>
      <c r="C969" s="131"/>
      <c r="D969" s="131"/>
      <c r="E969" s="131"/>
      <c r="F969" s="131"/>
      <c r="G969" s="131">
        <v>233441300</v>
      </c>
      <c r="H969" s="131"/>
      <c r="I969" s="131"/>
      <c r="J969" s="131"/>
      <c r="K969" s="131"/>
      <c r="L969" s="131"/>
      <c r="M969" s="131"/>
      <c r="N969" s="131"/>
      <c r="O969" s="192">
        <f t="shared" si="410"/>
        <v>233441300</v>
      </c>
      <c r="P969" s="67"/>
      <c r="Q969" s="105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67"/>
      <c r="AH969" s="67"/>
      <c r="AI969" s="67"/>
      <c r="AJ969" s="67"/>
      <c r="AK969" s="67"/>
      <c r="AL969" s="67"/>
      <c r="AM969" s="67"/>
      <c r="AN969" s="67"/>
      <c r="AO969" s="67"/>
      <c r="AP969" s="67"/>
      <c r="AQ969" s="67"/>
      <c r="AR969" s="67"/>
      <c r="AS969" s="67"/>
      <c r="AT969" s="67"/>
      <c r="AU969" s="67"/>
      <c r="AV969" s="67"/>
      <c r="AW969" s="67"/>
      <c r="AX969" s="67"/>
      <c r="AY969" s="67"/>
      <c r="AZ969" s="67"/>
      <c r="BA969" s="67"/>
      <c r="BB969" s="67"/>
      <c r="BC969" s="67"/>
      <c r="BD969" s="67"/>
      <c r="BE969" s="67"/>
      <c r="BF969" s="67"/>
      <c r="BG969" s="67"/>
      <c r="BH969" s="67"/>
      <c r="BI969" s="67"/>
      <c r="BJ969" s="67"/>
      <c r="BK969" s="67"/>
      <c r="BL969" s="67"/>
      <c r="BM969" s="67"/>
      <c r="BN969" s="67"/>
      <c r="BO969" s="67"/>
      <c r="BP969" s="67"/>
      <c r="BQ969" s="67"/>
      <c r="BR969" s="67"/>
      <c r="BS969" s="67"/>
      <c r="BT969" s="67"/>
      <c r="BU969" s="67"/>
      <c r="BV969" s="67"/>
    </row>
    <row r="970" spans="1:74" s="68" customFormat="1" ht="42.75" x14ac:dyDescent="0.2">
      <c r="A970" s="76" t="s">
        <v>1856</v>
      </c>
      <c r="B970" s="77" t="s">
        <v>1857</v>
      </c>
      <c r="C970" s="131"/>
      <c r="D970" s="131"/>
      <c r="E970" s="131"/>
      <c r="F970" s="131"/>
      <c r="G970" s="131">
        <v>1434077627</v>
      </c>
      <c r="H970" s="131"/>
      <c r="I970" s="131"/>
      <c r="J970" s="131"/>
      <c r="K970" s="131"/>
      <c r="L970" s="131"/>
      <c r="M970" s="131"/>
      <c r="N970" s="131"/>
      <c r="O970" s="192">
        <f t="shared" si="410"/>
        <v>1434077627</v>
      </c>
      <c r="P970" s="67"/>
      <c r="Q970" s="105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67"/>
      <c r="AH970" s="67"/>
      <c r="AI970" s="67"/>
      <c r="AJ970" s="67"/>
      <c r="AK970" s="67"/>
      <c r="AL970" s="67"/>
      <c r="AM970" s="67"/>
      <c r="AN970" s="67"/>
      <c r="AO970" s="67"/>
      <c r="AP970" s="67"/>
      <c r="AQ970" s="67"/>
      <c r="AR970" s="67"/>
      <c r="AS970" s="67"/>
      <c r="AT970" s="67"/>
      <c r="AU970" s="67"/>
      <c r="AV970" s="67"/>
      <c r="AW970" s="67"/>
      <c r="AX970" s="67"/>
      <c r="AY970" s="67"/>
      <c r="AZ970" s="67"/>
      <c r="BA970" s="67"/>
      <c r="BB970" s="67"/>
      <c r="BC970" s="67"/>
      <c r="BD970" s="67"/>
      <c r="BE970" s="67"/>
      <c r="BF970" s="67"/>
      <c r="BG970" s="67"/>
      <c r="BH970" s="67"/>
      <c r="BI970" s="67"/>
      <c r="BJ970" s="67"/>
      <c r="BK970" s="67"/>
      <c r="BL970" s="67"/>
      <c r="BM970" s="67"/>
      <c r="BN970" s="67"/>
      <c r="BO970" s="67"/>
      <c r="BP970" s="67"/>
      <c r="BQ970" s="67"/>
      <c r="BR970" s="67"/>
      <c r="BS970" s="67"/>
      <c r="BT970" s="67"/>
      <c r="BU970" s="67"/>
      <c r="BV970" s="67"/>
    </row>
    <row r="971" spans="1:74" s="68" customFormat="1" ht="42.75" x14ac:dyDescent="0.2">
      <c r="A971" s="76" t="s">
        <v>1856</v>
      </c>
      <c r="B971" s="77" t="s">
        <v>1857</v>
      </c>
      <c r="C971" s="131"/>
      <c r="D971" s="131"/>
      <c r="E971" s="131"/>
      <c r="F971" s="131"/>
      <c r="G971" s="131">
        <v>1867033692</v>
      </c>
      <c r="H971" s="131"/>
      <c r="I971" s="131"/>
      <c r="J971" s="131"/>
      <c r="K971" s="131"/>
      <c r="L971" s="131"/>
      <c r="M971" s="131"/>
      <c r="N971" s="131"/>
      <c r="O971" s="192">
        <f t="shared" si="410"/>
        <v>1867033692</v>
      </c>
      <c r="P971" s="67"/>
      <c r="Q971" s="105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67"/>
      <c r="AH971" s="67"/>
      <c r="AI971" s="67"/>
      <c r="AJ971" s="67"/>
      <c r="AK971" s="67"/>
      <c r="AL971" s="67"/>
      <c r="AM971" s="67"/>
      <c r="AN971" s="67"/>
      <c r="AO971" s="67"/>
      <c r="AP971" s="67"/>
      <c r="AQ971" s="67"/>
      <c r="AR971" s="67"/>
      <c r="AS971" s="67"/>
      <c r="AT971" s="67"/>
      <c r="AU971" s="67"/>
      <c r="AV971" s="67"/>
      <c r="AW971" s="67"/>
      <c r="AX971" s="67"/>
      <c r="AY971" s="67"/>
      <c r="AZ971" s="67"/>
      <c r="BA971" s="67"/>
      <c r="BB971" s="67"/>
      <c r="BC971" s="67"/>
      <c r="BD971" s="67"/>
      <c r="BE971" s="67"/>
      <c r="BF971" s="67"/>
      <c r="BG971" s="67"/>
      <c r="BH971" s="67"/>
      <c r="BI971" s="67"/>
      <c r="BJ971" s="67"/>
      <c r="BK971" s="67"/>
      <c r="BL971" s="67"/>
      <c r="BM971" s="67"/>
      <c r="BN971" s="67"/>
      <c r="BO971" s="67"/>
      <c r="BP971" s="67"/>
      <c r="BQ971" s="67"/>
      <c r="BR971" s="67"/>
      <c r="BS971" s="67"/>
      <c r="BT971" s="67"/>
      <c r="BU971" s="67"/>
      <c r="BV971" s="67"/>
    </row>
    <row r="972" spans="1:74" s="68" customFormat="1" ht="28.5" x14ac:dyDescent="0.2">
      <c r="A972" s="76" t="s">
        <v>1858</v>
      </c>
      <c r="B972" s="77" t="s">
        <v>1859</v>
      </c>
      <c r="C972" s="131"/>
      <c r="D972" s="131"/>
      <c r="E972" s="131"/>
      <c r="F972" s="131"/>
      <c r="G972" s="131">
        <v>8254716.1600000001</v>
      </c>
      <c r="H972" s="131"/>
      <c r="I972" s="131"/>
      <c r="J972" s="131"/>
      <c r="K972" s="131"/>
      <c r="L972" s="131"/>
      <c r="M972" s="131"/>
      <c r="N972" s="131"/>
      <c r="O972" s="192">
        <f t="shared" si="410"/>
        <v>8254716.1600000001</v>
      </c>
      <c r="P972" s="67"/>
      <c r="Q972" s="105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7"/>
      <c r="AL972" s="67"/>
      <c r="AM972" s="67"/>
      <c r="AN972" s="67"/>
      <c r="AO972" s="67"/>
      <c r="AP972" s="67"/>
      <c r="AQ972" s="67"/>
      <c r="AR972" s="67"/>
      <c r="AS972" s="67"/>
      <c r="AT972" s="67"/>
      <c r="AU972" s="67"/>
      <c r="AV972" s="67"/>
      <c r="AW972" s="67"/>
      <c r="AX972" s="67"/>
      <c r="AY972" s="67"/>
      <c r="AZ972" s="67"/>
      <c r="BA972" s="67"/>
      <c r="BB972" s="67"/>
      <c r="BC972" s="67"/>
      <c r="BD972" s="67"/>
      <c r="BE972" s="67"/>
      <c r="BF972" s="67"/>
      <c r="BG972" s="67"/>
      <c r="BH972" s="67"/>
      <c r="BI972" s="67"/>
      <c r="BJ972" s="67"/>
      <c r="BK972" s="67"/>
      <c r="BL972" s="67"/>
      <c r="BM972" s="67"/>
      <c r="BN972" s="67"/>
      <c r="BO972" s="67"/>
      <c r="BP972" s="67"/>
      <c r="BQ972" s="67"/>
      <c r="BR972" s="67"/>
      <c r="BS972" s="67"/>
      <c r="BT972" s="67"/>
      <c r="BU972" s="67"/>
      <c r="BV972" s="67"/>
    </row>
    <row r="973" spans="1:74" s="68" customFormat="1" ht="28.5" x14ac:dyDescent="0.2">
      <c r="A973" s="76" t="s">
        <v>1858</v>
      </c>
      <c r="B973" s="77" t="s">
        <v>1859</v>
      </c>
      <c r="C973" s="131"/>
      <c r="D973" s="131"/>
      <c r="E973" s="131"/>
      <c r="F973" s="131"/>
      <c r="G973" s="131">
        <v>79999980</v>
      </c>
      <c r="H973" s="131"/>
      <c r="I973" s="131"/>
      <c r="J973" s="131"/>
      <c r="K973" s="131"/>
      <c r="L973" s="131"/>
      <c r="M973" s="131"/>
      <c r="N973" s="131"/>
      <c r="O973" s="192">
        <f t="shared" si="410"/>
        <v>79999980</v>
      </c>
      <c r="P973" s="67"/>
      <c r="Q973" s="105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7"/>
      <c r="AL973" s="67"/>
      <c r="AM973" s="67"/>
      <c r="AN973" s="67"/>
      <c r="AO973" s="67"/>
      <c r="AP973" s="67"/>
      <c r="AQ973" s="67"/>
      <c r="AR973" s="67"/>
      <c r="AS973" s="67"/>
      <c r="AT973" s="67"/>
      <c r="AU973" s="67"/>
      <c r="AV973" s="67"/>
      <c r="AW973" s="67"/>
      <c r="AX973" s="67"/>
      <c r="AY973" s="67"/>
      <c r="AZ973" s="67"/>
      <c r="BA973" s="67"/>
      <c r="BB973" s="67"/>
      <c r="BC973" s="67"/>
      <c r="BD973" s="67"/>
      <c r="BE973" s="67"/>
      <c r="BF973" s="67"/>
      <c r="BG973" s="67"/>
      <c r="BH973" s="67"/>
      <c r="BI973" s="67"/>
      <c r="BJ973" s="67"/>
      <c r="BK973" s="67"/>
      <c r="BL973" s="67"/>
      <c r="BM973" s="67"/>
      <c r="BN973" s="67"/>
      <c r="BO973" s="67"/>
      <c r="BP973" s="67"/>
      <c r="BQ973" s="67"/>
      <c r="BR973" s="67"/>
      <c r="BS973" s="67"/>
      <c r="BT973" s="67"/>
      <c r="BU973" s="67"/>
      <c r="BV973" s="67"/>
    </row>
    <row r="974" spans="1:74" s="68" customFormat="1" ht="28.5" x14ac:dyDescent="0.2">
      <c r="A974" s="76" t="s">
        <v>1858</v>
      </c>
      <c r="B974" s="77" t="s">
        <v>1859</v>
      </c>
      <c r="C974" s="131"/>
      <c r="D974" s="131"/>
      <c r="E974" s="131"/>
      <c r="F974" s="131"/>
      <c r="G974" s="131">
        <v>6354037655.6199999</v>
      </c>
      <c r="H974" s="131"/>
      <c r="I974" s="131"/>
      <c r="J974" s="131"/>
      <c r="K974" s="131"/>
      <c r="L974" s="131"/>
      <c r="M974" s="131"/>
      <c r="N974" s="131"/>
      <c r="O974" s="192">
        <f t="shared" si="410"/>
        <v>6354037655.6199999</v>
      </c>
      <c r="P974" s="67"/>
      <c r="Q974" s="105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  <c r="AG974" s="67"/>
      <c r="AH974" s="67"/>
      <c r="AI974" s="67"/>
      <c r="AJ974" s="67"/>
      <c r="AK974" s="67"/>
      <c r="AL974" s="67"/>
      <c r="AM974" s="67"/>
      <c r="AN974" s="67"/>
      <c r="AO974" s="67"/>
      <c r="AP974" s="67"/>
      <c r="AQ974" s="67"/>
      <c r="AR974" s="67"/>
      <c r="AS974" s="67"/>
      <c r="AT974" s="67"/>
      <c r="AU974" s="67"/>
      <c r="AV974" s="67"/>
      <c r="AW974" s="67"/>
      <c r="AX974" s="67"/>
      <c r="AY974" s="67"/>
      <c r="AZ974" s="67"/>
      <c r="BA974" s="67"/>
      <c r="BB974" s="67"/>
      <c r="BC974" s="67"/>
      <c r="BD974" s="67"/>
      <c r="BE974" s="67"/>
      <c r="BF974" s="67"/>
      <c r="BG974" s="67"/>
      <c r="BH974" s="67"/>
      <c r="BI974" s="67"/>
      <c r="BJ974" s="67"/>
      <c r="BK974" s="67"/>
      <c r="BL974" s="67"/>
      <c r="BM974" s="67"/>
      <c r="BN974" s="67"/>
      <c r="BO974" s="67"/>
      <c r="BP974" s="67"/>
      <c r="BQ974" s="67"/>
      <c r="BR974" s="67"/>
      <c r="BS974" s="67"/>
      <c r="BT974" s="67"/>
      <c r="BU974" s="67"/>
      <c r="BV974" s="67"/>
    </row>
    <row r="975" spans="1:74" s="68" customFormat="1" ht="28.5" x14ac:dyDescent="0.2">
      <c r="A975" s="76" t="s">
        <v>1858</v>
      </c>
      <c r="B975" s="77" t="s">
        <v>1859</v>
      </c>
      <c r="C975" s="131"/>
      <c r="D975" s="131"/>
      <c r="E975" s="131"/>
      <c r="F975" s="131"/>
      <c r="G975" s="131">
        <v>5410499.25</v>
      </c>
      <c r="H975" s="131"/>
      <c r="I975" s="131"/>
      <c r="J975" s="131"/>
      <c r="K975" s="131"/>
      <c r="L975" s="131"/>
      <c r="M975" s="131"/>
      <c r="N975" s="131"/>
      <c r="O975" s="192">
        <f t="shared" si="410"/>
        <v>5410499.25</v>
      </c>
      <c r="P975" s="67"/>
      <c r="Q975" s="105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  <c r="AG975" s="67"/>
      <c r="AH975" s="67"/>
      <c r="AI975" s="67"/>
      <c r="AJ975" s="67"/>
      <c r="AK975" s="67"/>
      <c r="AL975" s="67"/>
      <c r="AM975" s="67"/>
      <c r="AN975" s="67"/>
      <c r="AO975" s="67"/>
      <c r="AP975" s="67"/>
      <c r="AQ975" s="67"/>
      <c r="AR975" s="67"/>
      <c r="AS975" s="67"/>
      <c r="AT975" s="67"/>
      <c r="AU975" s="67"/>
      <c r="AV975" s="67"/>
      <c r="AW975" s="67"/>
      <c r="AX975" s="67"/>
      <c r="AY975" s="67"/>
      <c r="AZ975" s="67"/>
      <c r="BA975" s="67"/>
      <c r="BB975" s="67"/>
      <c r="BC975" s="67"/>
      <c r="BD975" s="67"/>
      <c r="BE975" s="67"/>
      <c r="BF975" s="67"/>
      <c r="BG975" s="67"/>
      <c r="BH975" s="67"/>
      <c r="BI975" s="67"/>
      <c r="BJ975" s="67"/>
      <c r="BK975" s="67"/>
      <c r="BL975" s="67"/>
      <c r="BM975" s="67"/>
      <c r="BN975" s="67"/>
      <c r="BO975" s="67"/>
      <c r="BP975" s="67"/>
      <c r="BQ975" s="67"/>
      <c r="BR975" s="67"/>
      <c r="BS975" s="67"/>
      <c r="BT975" s="67"/>
      <c r="BU975" s="67"/>
      <c r="BV975" s="67"/>
    </row>
    <row r="976" spans="1:74" s="68" customFormat="1" ht="28.5" x14ac:dyDescent="0.2">
      <c r="A976" s="76" t="s">
        <v>1858</v>
      </c>
      <c r="B976" s="77" t="s">
        <v>1859</v>
      </c>
      <c r="C976" s="131"/>
      <c r="D976" s="131"/>
      <c r="E976" s="131"/>
      <c r="F976" s="131"/>
      <c r="G976" s="131">
        <v>233334</v>
      </c>
      <c r="H976" s="131"/>
      <c r="I976" s="131"/>
      <c r="J976" s="131"/>
      <c r="K976" s="131"/>
      <c r="L976" s="131"/>
      <c r="M976" s="131"/>
      <c r="N976" s="131"/>
      <c r="O976" s="192">
        <f t="shared" si="410"/>
        <v>233334</v>
      </c>
      <c r="P976" s="67"/>
      <c r="Q976" s="105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7"/>
      <c r="AL976" s="67"/>
      <c r="AM976" s="67"/>
      <c r="AN976" s="67"/>
      <c r="AO976" s="67"/>
      <c r="AP976" s="67"/>
      <c r="AQ976" s="67"/>
      <c r="AR976" s="67"/>
      <c r="AS976" s="67"/>
      <c r="AT976" s="67"/>
      <c r="AU976" s="67"/>
      <c r="AV976" s="67"/>
      <c r="AW976" s="67"/>
      <c r="AX976" s="67"/>
      <c r="AY976" s="67"/>
      <c r="AZ976" s="67"/>
      <c r="BA976" s="67"/>
      <c r="BB976" s="67"/>
      <c r="BC976" s="67"/>
      <c r="BD976" s="67"/>
      <c r="BE976" s="67"/>
      <c r="BF976" s="67"/>
      <c r="BG976" s="67"/>
      <c r="BH976" s="67"/>
      <c r="BI976" s="67"/>
      <c r="BJ976" s="67"/>
      <c r="BK976" s="67"/>
      <c r="BL976" s="67"/>
      <c r="BM976" s="67"/>
      <c r="BN976" s="67"/>
      <c r="BO976" s="67"/>
      <c r="BP976" s="67"/>
      <c r="BQ976" s="67"/>
      <c r="BR976" s="67"/>
      <c r="BS976" s="67"/>
      <c r="BT976" s="67"/>
      <c r="BU976" s="67"/>
      <c r="BV976" s="67"/>
    </row>
    <row r="977" spans="1:74" s="68" customFormat="1" ht="28.5" x14ac:dyDescent="0.2">
      <c r="A977" s="76" t="s">
        <v>1858</v>
      </c>
      <c r="B977" s="77" t="s">
        <v>1859</v>
      </c>
      <c r="C977" s="131"/>
      <c r="D977" s="131"/>
      <c r="E977" s="131"/>
      <c r="F977" s="131"/>
      <c r="G977" s="131">
        <v>573503224</v>
      </c>
      <c r="H977" s="131"/>
      <c r="I977" s="131"/>
      <c r="J977" s="131"/>
      <c r="K977" s="131"/>
      <c r="L977" s="131"/>
      <c r="M977" s="131"/>
      <c r="N977" s="131"/>
      <c r="O977" s="192">
        <f t="shared" si="410"/>
        <v>573503224</v>
      </c>
      <c r="P977" s="67"/>
      <c r="Q977" s="105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67"/>
      <c r="AH977" s="67"/>
      <c r="AI977" s="67"/>
      <c r="AJ977" s="67"/>
      <c r="AK977" s="67"/>
      <c r="AL977" s="67"/>
      <c r="AM977" s="67"/>
      <c r="AN977" s="67"/>
      <c r="AO977" s="67"/>
      <c r="AP977" s="67"/>
      <c r="AQ977" s="67"/>
      <c r="AR977" s="67"/>
      <c r="AS977" s="67"/>
      <c r="AT977" s="67"/>
      <c r="AU977" s="67"/>
      <c r="AV977" s="67"/>
      <c r="AW977" s="67"/>
      <c r="AX977" s="67"/>
      <c r="AY977" s="67"/>
      <c r="AZ977" s="67"/>
      <c r="BA977" s="67"/>
      <c r="BB977" s="67"/>
      <c r="BC977" s="67"/>
      <c r="BD977" s="67"/>
      <c r="BE977" s="67"/>
      <c r="BF977" s="67"/>
      <c r="BG977" s="67"/>
      <c r="BH977" s="67"/>
      <c r="BI977" s="67"/>
      <c r="BJ977" s="67"/>
      <c r="BK977" s="67"/>
      <c r="BL977" s="67"/>
      <c r="BM977" s="67"/>
      <c r="BN977" s="67"/>
      <c r="BO977" s="67"/>
      <c r="BP977" s="67"/>
      <c r="BQ977" s="67"/>
      <c r="BR977" s="67"/>
      <c r="BS977" s="67"/>
      <c r="BT977" s="67"/>
      <c r="BU977" s="67"/>
      <c r="BV977" s="67"/>
    </row>
    <row r="978" spans="1:74" s="68" customFormat="1" ht="28.5" x14ac:dyDescent="0.2">
      <c r="A978" s="76" t="s">
        <v>1858</v>
      </c>
      <c r="B978" s="77" t="s">
        <v>1859</v>
      </c>
      <c r="C978" s="131"/>
      <c r="D978" s="131"/>
      <c r="E978" s="131"/>
      <c r="F978" s="131"/>
      <c r="G978" s="131">
        <v>158246.32999999999</v>
      </c>
      <c r="H978" s="131"/>
      <c r="I978" s="131"/>
      <c r="J978" s="131"/>
      <c r="K978" s="131"/>
      <c r="L978" s="131"/>
      <c r="M978" s="131"/>
      <c r="N978" s="131"/>
      <c r="O978" s="192">
        <f t="shared" si="410"/>
        <v>158246.32999999999</v>
      </c>
      <c r="P978" s="67"/>
      <c r="Q978" s="105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67"/>
      <c r="AH978" s="67"/>
      <c r="AI978" s="67"/>
      <c r="AJ978" s="67"/>
      <c r="AK978" s="67"/>
      <c r="AL978" s="67"/>
      <c r="AM978" s="67"/>
      <c r="AN978" s="67"/>
      <c r="AO978" s="67"/>
      <c r="AP978" s="67"/>
      <c r="AQ978" s="67"/>
      <c r="AR978" s="67"/>
      <c r="AS978" s="67"/>
      <c r="AT978" s="67"/>
      <c r="AU978" s="67"/>
      <c r="AV978" s="67"/>
      <c r="AW978" s="67"/>
      <c r="AX978" s="67"/>
      <c r="AY978" s="67"/>
      <c r="AZ978" s="67"/>
      <c r="BA978" s="67"/>
      <c r="BB978" s="67"/>
      <c r="BC978" s="67"/>
      <c r="BD978" s="67"/>
      <c r="BE978" s="67"/>
      <c r="BF978" s="67"/>
      <c r="BG978" s="67"/>
      <c r="BH978" s="67"/>
      <c r="BI978" s="67"/>
      <c r="BJ978" s="67"/>
      <c r="BK978" s="67"/>
      <c r="BL978" s="67"/>
      <c r="BM978" s="67"/>
      <c r="BN978" s="67"/>
      <c r="BO978" s="67"/>
      <c r="BP978" s="67"/>
      <c r="BQ978" s="67"/>
      <c r="BR978" s="67"/>
      <c r="BS978" s="67"/>
      <c r="BT978" s="67"/>
      <c r="BU978" s="67"/>
      <c r="BV978" s="67"/>
    </row>
    <row r="979" spans="1:74" s="68" customFormat="1" ht="28.5" x14ac:dyDescent="0.2">
      <c r="A979" s="76" t="s">
        <v>1858</v>
      </c>
      <c r="B979" s="77" t="s">
        <v>1859</v>
      </c>
      <c r="C979" s="131"/>
      <c r="D979" s="131"/>
      <c r="E979" s="131"/>
      <c r="F979" s="131"/>
      <c r="G979" s="131">
        <v>3387051.02</v>
      </c>
      <c r="H979" s="131"/>
      <c r="I979" s="131"/>
      <c r="J979" s="131"/>
      <c r="K979" s="131"/>
      <c r="L979" s="131"/>
      <c r="M979" s="131"/>
      <c r="N979" s="131"/>
      <c r="O979" s="192">
        <f t="shared" si="410"/>
        <v>3387051.02</v>
      </c>
      <c r="P979" s="67"/>
      <c r="Q979" s="105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67"/>
      <c r="AH979" s="67"/>
      <c r="AI979" s="67"/>
      <c r="AJ979" s="67"/>
      <c r="AK979" s="67"/>
      <c r="AL979" s="67"/>
      <c r="AM979" s="67"/>
      <c r="AN979" s="67"/>
      <c r="AO979" s="67"/>
      <c r="AP979" s="67"/>
      <c r="AQ979" s="67"/>
      <c r="AR979" s="67"/>
      <c r="AS979" s="67"/>
      <c r="AT979" s="67"/>
      <c r="AU979" s="67"/>
      <c r="AV979" s="67"/>
      <c r="AW979" s="67"/>
      <c r="AX979" s="67"/>
      <c r="AY979" s="67"/>
      <c r="AZ979" s="67"/>
      <c r="BA979" s="67"/>
      <c r="BB979" s="67"/>
      <c r="BC979" s="67"/>
      <c r="BD979" s="67"/>
      <c r="BE979" s="67"/>
      <c r="BF979" s="67"/>
      <c r="BG979" s="67"/>
      <c r="BH979" s="67"/>
      <c r="BI979" s="67"/>
      <c r="BJ979" s="67"/>
      <c r="BK979" s="67"/>
      <c r="BL979" s="67"/>
      <c r="BM979" s="67"/>
      <c r="BN979" s="67"/>
      <c r="BO979" s="67"/>
      <c r="BP979" s="67"/>
      <c r="BQ979" s="67"/>
      <c r="BR979" s="67"/>
      <c r="BS979" s="67"/>
      <c r="BT979" s="67"/>
      <c r="BU979" s="67"/>
      <c r="BV979" s="67"/>
    </row>
    <row r="980" spans="1:74" s="68" customFormat="1" ht="28.5" x14ac:dyDescent="0.2">
      <c r="A980" s="76" t="s">
        <v>1858</v>
      </c>
      <c r="B980" s="77" t="s">
        <v>1859</v>
      </c>
      <c r="C980" s="131"/>
      <c r="D980" s="131"/>
      <c r="E980" s="131"/>
      <c r="F980" s="131"/>
      <c r="G980" s="131">
        <v>1058927</v>
      </c>
      <c r="H980" s="131"/>
      <c r="I980" s="131"/>
      <c r="J980" s="131"/>
      <c r="K980" s="131"/>
      <c r="L980" s="131"/>
      <c r="M980" s="131"/>
      <c r="N980" s="131"/>
      <c r="O980" s="192">
        <f t="shared" ref="O980:O987" si="414">SUM(C980:N980)</f>
        <v>1058927</v>
      </c>
      <c r="P980" s="67"/>
      <c r="Q980" s="105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67"/>
      <c r="AH980" s="67"/>
      <c r="AI980" s="67"/>
      <c r="AJ980" s="67"/>
      <c r="AK980" s="67"/>
      <c r="AL980" s="67"/>
      <c r="AM980" s="67"/>
      <c r="AN980" s="67"/>
      <c r="AO980" s="67"/>
      <c r="AP980" s="67"/>
      <c r="AQ980" s="67"/>
      <c r="AR980" s="67"/>
      <c r="AS980" s="67"/>
      <c r="AT980" s="67"/>
      <c r="AU980" s="67"/>
      <c r="AV980" s="67"/>
      <c r="AW980" s="67"/>
      <c r="AX980" s="67"/>
      <c r="AY980" s="67"/>
      <c r="AZ980" s="67"/>
      <c r="BA980" s="67"/>
      <c r="BB980" s="67"/>
      <c r="BC980" s="67"/>
      <c r="BD980" s="67"/>
      <c r="BE980" s="67"/>
      <c r="BF980" s="67"/>
      <c r="BG980" s="67"/>
      <c r="BH980" s="67"/>
      <c r="BI980" s="67"/>
      <c r="BJ980" s="67"/>
      <c r="BK980" s="67"/>
      <c r="BL980" s="67"/>
      <c r="BM980" s="67"/>
      <c r="BN980" s="67"/>
      <c r="BO980" s="67"/>
      <c r="BP980" s="67"/>
      <c r="BQ980" s="67"/>
      <c r="BR980" s="67"/>
      <c r="BS980" s="67"/>
      <c r="BT980" s="67"/>
      <c r="BU980" s="67"/>
      <c r="BV980" s="67"/>
    </row>
    <row r="981" spans="1:74" s="68" customFormat="1" ht="28.5" x14ac:dyDescent="0.2">
      <c r="A981" s="76" t="s">
        <v>1858</v>
      </c>
      <c r="B981" s="77" t="s">
        <v>1859</v>
      </c>
      <c r="C981" s="131"/>
      <c r="D981" s="131"/>
      <c r="E981" s="131"/>
      <c r="F981" s="131"/>
      <c r="G981" s="131">
        <v>2435496.7799999998</v>
      </c>
      <c r="H981" s="131"/>
      <c r="I981" s="131"/>
      <c r="J981" s="131"/>
      <c r="K981" s="131"/>
      <c r="L981" s="131"/>
      <c r="M981" s="131"/>
      <c r="N981" s="131"/>
      <c r="O981" s="192">
        <f t="shared" si="414"/>
        <v>2435496.7799999998</v>
      </c>
      <c r="P981" s="67"/>
      <c r="Q981" s="105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67"/>
      <c r="AH981" s="67"/>
      <c r="AI981" s="67"/>
      <c r="AJ981" s="67"/>
      <c r="AK981" s="67"/>
      <c r="AL981" s="67"/>
      <c r="AM981" s="67"/>
      <c r="AN981" s="67"/>
      <c r="AO981" s="67"/>
      <c r="AP981" s="67"/>
      <c r="AQ981" s="67"/>
      <c r="AR981" s="67"/>
      <c r="AS981" s="67"/>
      <c r="AT981" s="67"/>
      <c r="AU981" s="67"/>
      <c r="AV981" s="67"/>
      <c r="AW981" s="67"/>
      <c r="AX981" s="67"/>
      <c r="AY981" s="67"/>
      <c r="AZ981" s="67"/>
      <c r="BA981" s="67"/>
      <c r="BB981" s="67"/>
      <c r="BC981" s="67"/>
      <c r="BD981" s="67"/>
      <c r="BE981" s="67"/>
      <c r="BF981" s="67"/>
      <c r="BG981" s="67"/>
      <c r="BH981" s="67"/>
      <c r="BI981" s="67"/>
      <c r="BJ981" s="67"/>
      <c r="BK981" s="67"/>
      <c r="BL981" s="67"/>
      <c r="BM981" s="67"/>
      <c r="BN981" s="67"/>
      <c r="BO981" s="67"/>
      <c r="BP981" s="67"/>
      <c r="BQ981" s="67"/>
      <c r="BR981" s="67"/>
      <c r="BS981" s="67"/>
      <c r="BT981" s="67"/>
      <c r="BU981" s="67"/>
      <c r="BV981" s="67"/>
    </row>
    <row r="982" spans="1:74" s="68" customFormat="1" ht="28.5" x14ac:dyDescent="0.2">
      <c r="A982" s="76" t="s">
        <v>1858</v>
      </c>
      <c r="B982" s="77" t="s">
        <v>1859</v>
      </c>
      <c r="C982" s="131"/>
      <c r="D982" s="131"/>
      <c r="E982" s="131"/>
      <c r="F982" s="131"/>
      <c r="G982" s="131">
        <v>50100000</v>
      </c>
      <c r="H982" s="131"/>
      <c r="I982" s="131"/>
      <c r="J982" s="131"/>
      <c r="K982" s="131"/>
      <c r="L982" s="131"/>
      <c r="M982" s="131"/>
      <c r="N982" s="131"/>
      <c r="O982" s="192">
        <f t="shared" si="414"/>
        <v>50100000</v>
      </c>
      <c r="P982" s="67"/>
      <c r="Q982" s="105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  <c r="AG982" s="67"/>
      <c r="AH982" s="67"/>
      <c r="AI982" s="67"/>
      <c r="AJ982" s="67"/>
      <c r="AK982" s="67"/>
      <c r="AL982" s="67"/>
      <c r="AM982" s="67"/>
      <c r="AN982" s="67"/>
      <c r="AO982" s="67"/>
      <c r="AP982" s="67"/>
      <c r="AQ982" s="67"/>
      <c r="AR982" s="67"/>
      <c r="AS982" s="67"/>
      <c r="AT982" s="67"/>
      <c r="AU982" s="67"/>
      <c r="AV982" s="67"/>
      <c r="AW982" s="67"/>
      <c r="AX982" s="67"/>
      <c r="AY982" s="67"/>
      <c r="AZ982" s="67"/>
      <c r="BA982" s="67"/>
      <c r="BB982" s="67"/>
      <c r="BC982" s="67"/>
      <c r="BD982" s="67"/>
      <c r="BE982" s="67"/>
      <c r="BF982" s="67"/>
      <c r="BG982" s="67"/>
      <c r="BH982" s="67"/>
      <c r="BI982" s="67"/>
      <c r="BJ982" s="67"/>
      <c r="BK982" s="67"/>
      <c r="BL982" s="67"/>
      <c r="BM982" s="67"/>
      <c r="BN982" s="67"/>
      <c r="BO982" s="67"/>
      <c r="BP982" s="67"/>
      <c r="BQ982" s="67"/>
      <c r="BR982" s="67"/>
      <c r="BS982" s="67"/>
      <c r="BT982" s="67"/>
      <c r="BU982" s="67"/>
      <c r="BV982" s="67"/>
    </row>
    <row r="983" spans="1:74" s="68" customFormat="1" ht="28.5" x14ac:dyDescent="0.2">
      <c r="A983" s="76" t="s">
        <v>1858</v>
      </c>
      <c r="B983" s="77" t="s">
        <v>1859</v>
      </c>
      <c r="C983" s="131"/>
      <c r="D983" s="131"/>
      <c r="E983" s="131"/>
      <c r="F983" s="131"/>
      <c r="G983" s="131">
        <v>16500000</v>
      </c>
      <c r="H983" s="131"/>
      <c r="I983" s="131"/>
      <c r="J983" s="131"/>
      <c r="K983" s="131"/>
      <c r="L983" s="131"/>
      <c r="M983" s="131"/>
      <c r="N983" s="131"/>
      <c r="O983" s="192">
        <f t="shared" si="414"/>
        <v>16500000</v>
      </c>
      <c r="P983" s="67"/>
      <c r="Q983" s="105"/>
      <c r="R983" s="67"/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  <c r="AD983" s="67"/>
      <c r="AE983" s="67"/>
      <c r="AF983" s="67"/>
      <c r="AG983" s="67"/>
      <c r="AH983" s="67"/>
      <c r="AI983" s="67"/>
      <c r="AJ983" s="67"/>
      <c r="AK983" s="67"/>
      <c r="AL983" s="67"/>
      <c r="AM983" s="67"/>
      <c r="AN983" s="67"/>
      <c r="AO983" s="67"/>
      <c r="AP983" s="67"/>
      <c r="AQ983" s="67"/>
      <c r="AR983" s="67"/>
      <c r="AS983" s="67"/>
      <c r="AT983" s="67"/>
      <c r="AU983" s="67"/>
      <c r="AV983" s="67"/>
      <c r="AW983" s="67"/>
      <c r="AX983" s="67"/>
      <c r="AY983" s="67"/>
      <c r="AZ983" s="67"/>
      <c r="BA983" s="67"/>
      <c r="BB983" s="67"/>
      <c r="BC983" s="67"/>
      <c r="BD983" s="67"/>
      <c r="BE983" s="67"/>
      <c r="BF983" s="67"/>
      <c r="BG983" s="67"/>
      <c r="BH983" s="67"/>
      <c r="BI983" s="67"/>
      <c r="BJ983" s="67"/>
      <c r="BK983" s="67"/>
      <c r="BL983" s="67"/>
      <c r="BM983" s="67"/>
      <c r="BN983" s="67"/>
      <c r="BO983" s="67"/>
      <c r="BP983" s="67"/>
      <c r="BQ983" s="67"/>
      <c r="BR983" s="67"/>
      <c r="BS983" s="67"/>
      <c r="BT983" s="67"/>
      <c r="BU983" s="67"/>
      <c r="BV983" s="67"/>
    </row>
    <row r="984" spans="1:74" s="68" customFormat="1" ht="28.5" x14ac:dyDescent="0.2">
      <c r="A984" s="76" t="s">
        <v>1858</v>
      </c>
      <c r="B984" s="77" t="s">
        <v>1859</v>
      </c>
      <c r="C984" s="131"/>
      <c r="D984" s="131"/>
      <c r="E984" s="131"/>
      <c r="F984" s="131"/>
      <c r="G984" s="131">
        <v>4132604</v>
      </c>
      <c r="H984" s="131"/>
      <c r="I984" s="131"/>
      <c r="J984" s="131"/>
      <c r="K984" s="131"/>
      <c r="L984" s="131"/>
      <c r="M984" s="131"/>
      <c r="N984" s="131"/>
      <c r="O984" s="192">
        <f t="shared" si="414"/>
        <v>4132604</v>
      </c>
      <c r="P984" s="67"/>
      <c r="Q984" s="105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  <c r="AG984" s="67"/>
      <c r="AH984" s="67"/>
      <c r="AI984" s="67"/>
      <c r="AJ984" s="67"/>
      <c r="AK984" s="67"/>
      <c r="AL984" s="67"/>
      <c r="AM984" s="67"/>
      <c r="AN984" s="67"/>
      <c r="AO984" s="67"/>
      <c r="AP984" s="67"/>
      <c r="AQ984" s="67"/>
      <c r="AR984" s="67"/>
      <c r="AS984" s="67"/>
      <c r="AT984" s="67"/>
      <c r="AU984" s="67"/>
      <c r="AV984" s="67"/>
      <c r="AW984" s="67"/>
      <c r="AX984" s="67"/>
      <c r="AY984" s="67"/>
      <c r="AZ984" s="67"/>
      <c r="BA984" s="67"/>
      <c r="BB984" s="67"/>
      <c r="BC984" s="67"/>
      <c r="BD984" s="67"/>
      <c r="BE984" s="67"/>
      <c r="BF984" s="67"/>
      <c r="BG984" s="67"/>
      <c r="BH984" s="67"/>
      <c r="BI984" s="67"/>
      <c r="BJ984" s="67"/>
      <c r="BK984" s="67"/>
      <c r="BL984" s="67"/>
      <c r="BM984" s="67"/>
      <c r="BN984" s="67"/>
      <c r="BO984" s="67"/>
      <c r="BP984" s="67"/>
      <c r="BQ984" s="67"/>
      <c r="BR984" s="67"/>
      <c r="BS984" s="67"/>
      <c r="BT984" s="67"/>
      <c r="BU984" s="67"/>
      <c r="BV984" s="67"/>
    </row>
    <row r="985" spans="1:74" s="68" customFormat="1" ht="28.5" x14ac:dyDescent="0.2">
      <c r="A985" s="76" t="s">
        <v>1858</v>
      </c>
      <c r="B985" s="77" t="s">
        <v>1859</v>
      </c>
      <c r="C985" s="131"/>
      <c r="D985" s="131"/>
      <c r="E985" s="131"/>
      <c r="F985" s="131"/>
      <c r="G985" s="131">
        <v>499616810.38999999</v>
      </c>
      <c r="H985" s="131"/>
      <c r="I985" s="131"/>
      <c r="J985" s="131"/>
      <c r="K985" s="131"/>
      <c r="L985" s="131"/>
      <c r="M985" s="131"/>
      <c r="N985" s="131"/>
      <c r="O985" s="192">
        <f t="shared" si="414"/>
        <v>499616810.38999999</v>
      </c>
      <c r="P985" s="67"/>
      <c r="Q985" s="105"/>
      <c r="R985" s="67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  <c r="AD985" s="67"/>
      <c r="AE985" s="67"/>
      <c r="AF985" s="67"/>
      <c r="AG985" s="67"/>
      <c r="AH985" s="67"/>
      <c r="AI985" s="67"/>
      <c r="AJ985" s="67"/>
      <c r="AK985" s="67"/>
      <c r="AL985" s="67"/>
      <c r="AM985" s="67"/>
      <c r="AN985" s="67"/>
      <c r="AO985" s="67"/>
      <c r="AP985" s="67"/>
      <c r="AQ985" s="67"/>
      <c r="AR985" s="67"/>
      <c r="AS985" s="67"/>
      <c r="AT985" s="67"/>
      <c r="AU985" s="67"/>
      <c r="AV985" s="67"/>
      <c r="AW985" s="67"/>
      <c r="AX985" s="67"/>
      <c r="AY985" s="67"/>
      <c r="AZ985" s="67"/>
      <c r="BA985" s="67"/>
      <c r="BB985" s="67"/>
      <c r="BC985" s="67"/>
      <c r="BD985" s="67"/>
      <c r="BE985" s="67"/>
      <c r="BF985" s="67"/>
      <c r="BG985" s="67"/>
      <c r="BH985" s="67"/>
      <c r="BI985" s="67"/>
      <c r="BJ985" s="67"/>
      <c r="BK985" s="67"/>
      <c r="BL985" s="67"/>
      <c r="BM985" s="67"/>
      <c r="BN985" s="67"/>
      <c r="BO985" s="67"/>
      <c r="BP985" s="67"/>
      <c r="BQ985" s="67"/>
      <c r="BR985" s="67"/>
      <c r="BS985" s="67"/>
      <c r="BT985" s="67"/>
      <c r="BU985" s="67"/>
      <c r="BV985" s="67"/>
    </row>
    <row r="986" spans="1:74" s="68" customFormat="1" ht="28.5" x14ac:dyDescent="0.2">
      <c r="A986" s="76" t="s">
        <v>1858</v>
      </c>
      <c r="B986" s="77" t="s">
        <v>1859</v>
      </c>
      <c r="C986" s="131"/>
      <c r="D986" s="131"/>
      <c r="E986" s="131"/>
      <c r="F986" s="131"/>
      <c r="G986" s="131">
        <v>6056617823.2399998</v>
      </c>
      <c r="H986" s="131"/>
      <c r="I986" s="131"/>
      <c r="J986" s="131"/>
      <c r="K986" s="131"/>
      <c r="L986" s="131"/>
      <c r="M986" s="131"/>
      <c r="N986" s="131"/>
      <c r="O986" s="192">
        <f t="shared" si="414"/>
        <v>6056617823.2399998</v>
      </c>
      <c r="P986" s="67"/>
      <c r="Q986" s="105"/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  <c r="AG986" s="67"/>
      <c r="AH986" s="67"/>
      <c r="AI986" s="67"/>
      <c r="AJ986" s="67"/>
      <c r="AK986" s="67"/>
      <c r="AL986" s="67"/>
      <c r="AM986" s="67"/>
      <c r="AN986" s="67"/>
      <c r="AO986" s="67"/>
      <c r="AP986" s="67"/>
      <c r="AQ986" s="67"/>
      <c r="AR986" s="67"/>
      <c r="AS986" s="67"/>
      <c r="AT986" s="67"/>
      <c r="AU986" s="67"/>
      <c r="AV986" s="67"/>
      <c r="AW986" s="67"/>
      <c r="AX986" s="67"/>
      <c r="AY986" s="67"/>
      <c r="AZ986" s="67"/>
      <c r="BA986" s="67"/>
      <c r="BB986" s="67"/>
      <c r="BC986" s="67"/>
      <c r="BD986" s="67"/>
      <c r="BE986" s="67"/>
      <c r="BF986" s="67"/>
      <c r="BG986" s="67"/>
      <c r="BH986" s="67"/>
      <c r="BI986" s="67"/>
      <c r="BJ986" s="67"/>
      <c r="BK986" s="67"/>
      <c r="BL986" s="67"/>
      <c r="BM986" s="67"/>
      <c r="BN986" s="67"/>
      <c r="BO986" s="67"/>
      <c r="BP986" s="67"/>
      <c r="BQ986" s="67"/>
      <c r="BR986" s="67"/>
      <c r="BS986" s="67"/>
      <c r="BT986" s="67"/>
      <c r="BU986" s="67"/>
      <c r="BV986" s="67"/>
    </row>
    <row r="987" spans="1:74" s="68" customFormat="1" ht="29.25" thickBot="1" x14ac:dyDescent="0.25">
      <c r="A987" s="158" t="s">
        <v>1858</v>
      </c>
      <c r="B987" s="221" t="s">
        <v>1859</v>
      </c>
      <c r="C987" s="308"/>
      <c r="D987" s="308"/>
      <c r="E987" s="308"/>
      <c r="F987" s="308"/>
      <c r="G987" s="308">
        <v>9550485282.7700005</v>
      </c>
      <c r="H987" s="308"/>
      <c r="I987" s="308"/>
      <c r="J987" s="308"/>
      <c r="K987" s="308"/>
      <c r="L987" s="308"/>
      <c r="M987" s="308"/>
      <c r="N987" s="308"/>
      <c r="O987" s="379">
        <f t="shared" si="414"/>
        <v>9550485282.7700005</v>
      </c>
      <c r="P987" s="67"/>
      <c r="Q987" s="105"/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  <c r="AE987" s="67"/>
      <c r="AF987" s="67"/>
      <c r="AG987" s="67"/>
      <c r="AH987" s="67"/>
      <c r="AI987" s="67"/>
      <c r="AJ987" s="67"/>
      <c r="AK987" s="67"/>
      <c r="AL987" s="67"/>
      <c r="AM987" s="67"/>
      <c r="AN987" s="67"/>
      <c r="AO987" s="67"/>
      <c r="AP987" s="67"/>
      <c r="AQ987" s="67"/>
      <c r="AR987" s="67"/>
      <c r="AS987" s="67"/>
      <c r="AT987" s="67"/>
      <c r="AU987" s="67"/>
      <c r="AV987" s="67"/>
      <c r="AW987" s="67"/>
      <c r="AX987" s="67"/>
      <c r="AY987" s="67"/>
      <c r="AZ987" s="67"/>
      <c r="BA987" s="67"/>
      <c r="BB987" s="67"/>
      <c r="BC987" s="67"/>
      <c r="BD987" s="67"/>
      <c r="BE987" s="67"/>
      <c r="BF987" s="67"/>
      <c r="BG987" s="67"/>
      <c r="BH987" s="67"/>
      <c r="BI987" s="67"/>
      <c r="BJ987" s="67"/>
      <c r="BK987" s="67"/>
      <c r="BL987" s="67"/>
      <c r="BM987" s="67"/>
      <c r="BN987" s="67"/>
      <c r="BO987" s="67"/>
      <c r="BP987" s="67"/>
      <c r="BQ987" s="67"/>
      <c r="BR987" s="67"/>
      <c r="BS987" s="67"/>
      <c r="BT987" s="67"/>
      <c r="BU987" s="67"/>
      <c r="BV987" s="67"/>
    </row>
    <row r="988" spans="1:74" s="115" customFormat="1" ht="33" customHeight="1" thickBot="1" x14ac:dyDescent="0.25">
      <c r="A988" s="480" t="s">
        <v>22</v>
      </c>
      <c r="B988" s="481"/>
      <c r="C988" s="380">
        <f>+C768+C965</f>
        <v>0</v>
      </c>
      <c r="D988" s="380">
        <f t="shared" ref="D988:O988" si="415">+D768+D965</f>
        <v>0</v>
      </c>
      <c r="E988" s="380">
        <f t="shared" si="415"/>
        <v>288000000</v>
      </c>
      <c r="F988" s="380">
        <f t="shared" si="415"/>
        <v>13935863889.029999</v>
      </c>
      <c r="G988" s="380">
        <f t="shared" si="415"/>
        <v>49610414749.880005</v>
      </c>
      <c r="H988" s="380">
        <f t="shared" si="415"/>
        <v>11584539610.870001</v>
      </c>
      <c r="I988" s="380">
        <f t="shared" si="415"/>
        <v>0</v>
      </c>
      <c r="J988" s="380">
        <f t="shared" si="415"/>
        <v>0</v>
      </c>
      <c r="K988" s="380">
        <f t="shared" si="415"/>
        <v>0</v>
      </c>
      <c r="L988" s="380">
        <f t="shared" si="415"/>
        <v>0</v>
      </c>
      <c r="M988" s="380">
        <f t="shared" si="415"/>
        <v>0</v>
      </c>
      <c r="N988" s="380">
        <f t="shared" si="415"/>
        <v>0</v>
      </c>
      <c r="O988" s="380">
        <f t="shared" si="415"/>
        <v>75418818249.779999</v>
      </c>
      <c r="P988" s="114"/>
      <c r="Q988" s="108"/>
      <c r="R988" s="114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4"/>
      <c r="AI988" s="114"/>
      <c r="AJ988" s="114"/>
      <c r="AK988" s="114"/>
      <c r="AL988" s="114"/>
      <c r="AM988" s="114"/>
      <c r="AN988" s="114"/>
      <c r="AO988" s="114"/>
      <c r="AP988" s="114"/>
      <c r="AQ988" s="114"/>
      <c r="AR988" s="114"/>
      <c r="AS988" s="114"/>
      <c r="AT988" s="114"/>
      <c r="AU988" s="114"/>
      <c r="AV988" s="114"/>
      <c r="AW988" s="114"/>
      <c r="AX988" s="114"/>
      <c r="AY988" s="114"/>
      <c r="AZ988" s="114"/>
      <c r="BA988" s="114"/>
      <c r="BB988" s="114"/>
      <c r="BC988" s="114"/>
      <c r="BD988" s="114"/>
      <c r="BE988" s="114"/>
      <c r="BF988" s="114"/>
      <c r="BG988" s="114"/>
      <c r="BH988" s="114"/>
      <c r="BI988" s="114"/>
      <c r="BJ988" s="114"/>
      <c r="BK988" s="114"/>
      <c r="BL988" s="114"/>
      <c r="BM988" s="114"/>
      <c r="BN988" s="114"/>
      <c r="BO988" s="114"/>
      <c r="BP988" s="114"/>
      <c r="BQ988" s="114"/>
      <c r="BR988" s="114"/>
      <c r="BS988" s="114"/>
      <c r="BT988" s="114"/>
      <c r="BU988" s="114"/>
      <c r="BV988" s="114"/>
    </row>
    <row r="989" spans="1:74" s="87" customFormat="1" x14ac:dyDescent="0.2">
      <c r="A989" s="120"/>
      <c r="B989" s="121"/>
      <c r="C989" s="122"/>
      <c r="D989" s="122"/>
      <c r="E989" s="122"/>
      <c r="F989" s="122"/>
      <c r="G989" s="123"/>
      <c r="H989" s="122"/>
      <c r="I989" s="122"/>
      <c r="J989" s="122"/>
      <c r="K989" s="122"/>
      <c r="L989" s="122"/>
      <c r="M989" s="122"/>
      <c r="N989" s="122"/>
      <c r="O989" s="102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  <c r="AK989" s="86"/>
      <c r="AL989" s="86"/>
      <c r="AM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86"/>
      <c r="BB989" s="86"/>
      <c r="BC989" s="86"/>
      <c r="BD989" s="86"/>
      <c r="BE989" s="86"/>
      <c r="BF989" s="86"/>
      <c r="BG989" s="86"/>
      <c r="BH989" s="86"/>
      <c r="BI989" s="86"/>
      <c r="BJ989" s="86"/>
      <c r="BK989" s="86"/>
      <c r="BL989" s="86"/>
      <c r="BM989" s="86"/>
      <c r="BN989" s="86"/>
      <c r="BO989" s="86"/>
      <c r="BP989" s="86"/>
      <c r="BQ989" s="86"/>
      <c r="BR989" s="86"/>
      <c r="BS989" s="86"/>
      <c r="BT989" s="86"/>
      <c r="BU989" s="86"/>
      <c r="BV989" s="86"/>
    </row>
    <row r="990" spans="1:74" s="87" customFormat="1" ht="19.5" x14ac:dyDescent="0.2">
      <c r="A990" s="452" t="s">
        <v>263</v>
      </c>
      <c r="B990" s="453"/>
      <c r="C990" s="74"/>
      <c r="D990" s="74"/>
      <c r="E990" s="74"/>
      <c r="F990" s="74"/>
      <c r="G990" s="138"/>
      <c r="H990" s="74"/>
      <c r="I990" s="74"/>
      <c r="J990" s="74"/>
      <c r="K990" s="74"/>
      <c r="L990" s="74"/>
      <c r="M990" s="74"/>
      <c r="N990" s="74"/>
      <c r="O990" s="88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  <c r="AK990" s="86"/>
      <c r="AL990" s="86"/>
      <c r="AM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86"/>
      <c r="BB990" s="86"/>
      <c r="BC990" s="86"/>
      <c r="BD990" s="86"/>
      <c r="BE990" s="86"/>
      <c r="BF990" s="86"/>
      <c r="BG990" s="86"/>
      <c r="BH990" s="86"/>
      <c r="BI990" s="86"/>
      <c r="BJ990" s="86"/>
      <c r="BK990" s="86"/>
      <c r="BL990" s="86"/>
      <c r="BM990" s="86"/>
      <c r="BN990" s="86"/>
      <c r="BO990" s="86"/>
      <c r="BP990" s="86"/>
      <c r="BQ990" s="86"/>
      <c r="BR990" s="86"/>
      <c r="BS990" s="86"/>
      <c r="BT990" s="86"/>
      <c r="BU990" s="86"/>
      <c r="BV990" s="86"/>
    </row>
    <row r="991" spans="1:74" s="87" customFormat="1" ht="34.5" thickBot="1" x14ac:dyDescent="0.25">
      <c r="A991" s="137"/>
      <c r="B991" s="139" t="s">
        <v>265</v>
      </c>
      <c r="C991" s="74"/>
      <c r="D991" s="239">
        <v>5270880557.3299999</v>
      </c>
      <c r="E991" s="138"/>
      <c r="F991" s="74"/>
      <c r="G991" s="138"/>
      <c r="H991" s="74"/>
      <c r="I991" s="74"/>
      <c r="J991" s="74"/>
      <c r="K991" s="199"/>
      <c r="L991" s="74"/>
      <c r="M991" s="74"/>
      <c r="N991" s="74"/>
      <c r="O991" s="88">
        <f t="shared" ref="O991" si="416">SUM(C991:N991)</f>
        <v>5270880557.3299999</v>
      </c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86"/>
      <c r="BG991" s="86"/>
      <c r="BH991" s="86"/>
      <c r="BI991" s="86"/>
      <c r="BJ991" s="86"/>
      <c r="BK991" s="86"/>
      <c r="BL991" s="86"/>
      <c r="BM991" s="86"/>
      <c r="BN991" s="86"/>
      <c r="BO991" s="86"/>
      <c r="BP991" s="86"/>
      <c r="BQ991" s="86"/>
      <c r="BR991" s="86"/>
      <c r="BS991" s="86"/>
      <c r="BT991" s="86"/>
      <c r="BU991" s="86"/>
      <c r="BV991" s="86"/>
    </row>
    <row r="992" spans="1:74" s="87" customFormat="1" ht="20.25" thickBot="1" x14ac:dyDescent="0.25">
      <c r="A992" s="463" t="s">
        <v>264</v>
      </c>
      <c r="B992" s="464"/>
      <c r="C992" s="113">
        <f>+C991</f>
        <v>0</v>
      </c>
      <c r="D992" s="113">
        <f t="shared" ref="D992:N992" si="417">+D991</f>
        <v>5270880557.3299999</v>
      </c>
      <c r="E992" s="113">
        <f t="shared" si="417"/>
        <v>0</v>
      </c>
      <c r="F992" s="113">
        <f t="shared" si="417"/>
        <v>0</v>
      </c>
      <c r="G992" s="113">
        <f t="shared" si="417"/>
        <v>0</v>
      </c>
      <c r="H992" s="113">
        <f t="shared" si="417"/>
        <v>0</v>
      </c>
      <c r="I992" s="113">
        <f t="shared" si="417"/>
        <v>0</v>
      </c>
      <c r="J992" s="113">
        <f t="shared" si="417"/>
        <v>0</v>
      </c>
      <c r="K992" s="113">
        <f t="shared" si="417"/>
        <v>0</v>
      </c>
      <c r="L992" s="113">
        <f t="shared" si="417"/>
        <v>0</v>
      </c>
      <c r="M992" s="113">
        <f t="shared" si="417"/>
        <v>0</v>
      </c>
      <c r="N992" s="113">
        <f t="shared" si="417"/>
        <v>0</v>
      </c>
      <c r="O992" s="118">
        <f>SUM(C992:N992)</f>
        <v>5270880557.3299999</v>
      </c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86"/>
      <c r="BG992" s="86"/>
      <c r="BH992" s="86"/>
      <c r="BI992" s="86"/>
      <c r="BJ992" s="86"/>
      <c r="BK992" s="86"/>
      <c r="BL992" s="86"/>
      <c r="BM992" s="86"/>
      <c r="BN992" s="86"/>
      <c r="BO992" s="86"/>
      <c r="BP992" s="86"/>
      <c r="BQ992" s="86"/>
      <c r="BR992" s="86"/>
      <c r="BS992" s="86"/>
      <c r="BT992" s="86"/>
      <c r="BU992" s="86"/>
      <c r="BV992" s="86"/>
    </row>
    <row r="993" spans="1:74" s="87" customFormat="1" x14ac:dyDescent="0.2">
      <c r="A993" s="120"/>
      <c r="B993" s="121"/>
      <c r="C993" s="122"/>
      <c r="D993" s="122"/>
      <c r="E993" s="122"/>
      <c r="F993" s="122"/>
      <c r="G993" s="123"/>
      <c r="H993" s="122"/>
      <c r="I993" s="122"/>
      <c r="J993" s="122"/>
      <c r="K993" s="122"/>
      <c r="L993" s="122"/>
      <c r="M993" s="122"/>
      <c r="N993" s="122"/>
      <c r="O993" s="102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  <c r="AK993" s="86"/>
      <c r="AL993" s="86"/>
      <c r="AM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86"/>
      <c r="BB993" s="86"/>
      <c r="BC993" s="86"/>
      <c r="BD993" s="86"/>
      <c r="BE993" s="86"/>
      <c r="BF993" s="86"/>
      <c r="BG993" s="86"/>
      <c r="BH993" s="86"/>
      <c r="BI993" s="86"/>
      <c r="BJ993" s="86"/>
      <c r="BK993" s="86"/>
      <c r="BL993" s="86"/>
      <c r="BM993" s="86"/>
      <c r="BN993" s="86"/>
      <c r="BO993" s="86"/>
      <c r="BP993" s="86"/>
      <c r="BQ993" s="86"/>
      <c r="BR993" s="86"/>
      <c r="BS993" s="86"/>
      <c r="BT993" s="86"/>
      <c r="BU993" s="86"/>
      <c r="BV993" s="86"/>
    </row>
    <row r="994" spans="1:74" s="110" customFormat="1" ht="15.75" x14ac:dyDescent="0.2">
      <c r="A994" s="482" t="s">
        <v>31</v>
      </c>
      <c r="B994" s="483"/>
      <c r="C994" s="119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93">
        <f>SUM(C994:N994)</f>
        <v>0</v>
      </c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  <c r="AH994" s="109"/>
      <c r="AI994" s="109"/>
      <c r="AJ994" s="109"/>
      <c r="AK994" s="109"/>
      <c r="AL994" s="109"/>
      <c r="AM994" s="109"/>
      <c r="AN994" s="109"/>
      <c r="AO994" s="109"/>
      <c r="AP994" s="109"/>
      <c r="AQ994" s="109"/>
      <c r="AR994" s="109"/>
      <c r="AS994" s="109"/>
      <c r="AT994" s="109"/>
      <c r="AU994" s="109"/>
      <c r="AV994" s="109"/>
      <c r="AW994" s="109"/>
      <c r="AX994" s="109"/>
      <c r="AY994" s="109"/>
      <c r="AZ994" s="109"/>
      <c r="BA994" s="109"/>
      <c r="BB994" s="109"/>
      <c r="BC994" s="109"/>
      <c r="BD994" s="109"/>
      <c r="BE994" s="109"/>
      <c r="BF994" s="109"/>
      <c r="BG994" s="109"/>
      <c r="BH994" s="109"/>
      <c r="BI994" s="109"/>
      <c r="BJ994" s="109"/>
      <c r="BK994" s="109"/>
      <c r="BL994" s="109"/>
      <c r="BM994" s="109"/>
      <c r="BN994" s="109"/>
      <c r="BO994" s="109"/>
      <c r="BP994" s="109"/>
      <c r="BQ994" s="109"/>
      <c r="BR994" s="109"/>
      <c r="BS994" s="109"/>
      <c r="BT994" s="109"/>
      <c r="BU994" s="109"/>
      <c r="BV994" s="109"/>
    </row>
    <row r="995" spans="1:74" s="110" customFormat="1" ht="19.5" x14ac:dyDescent="0.2">
      <c r="A995" s="166" t="s">
        <v>382</v>
      </c>
      <c r="B995" s="167" t="s">
        <v>1110</v>
      </c>
      <c r="C995" s="168">
        <f t="shared" ref="C995:N995" si="418">+C996+C1004</f>
        <v>0</v>
      </c>
      <c r="D995" s="168">
        <f t="shared" si="418"/>
        <v>0</v>
      </c>
      <c r="E995" s="168">
        <f t="shared" si="418"/>
        <v>0</v>
      </c>
      <c r="F995" s="168">
        <f t="shared" si="418"/>
        <v>0</v>
      </c>
      <c r="G995" s="168">
        <f t="shared" si="418"/>
        <v>0</v>
      </c>
      <c r="H995" s="168">
        <f t="shared" si="418"/>
        <v>0</v>
      </c>
      <c r="I995" s="168">
        <f t="shared" si="418"/>
        <v>0</v>
      </c>
      <c r="J995" s="168">
        <f t="shared" si="418"/>
        <v>0</v>
      </c>
      <c r="K995" s="168">
        <f t="shared" si="418"/>
        <v>0</v>
      </c>
      <c r="L995" s="168">
        <f t="shared" si="418"/>
        <v>0</v>
      </c>
      <c r="M995" s="168">
        <f t="shared" si="418"/>
        <v>0</v>
      </c>
      <c r="N995" s="168">
        <f t="shared" si="418"/>
        <v>0</v>
      </c>
      <c r="O995" s="93">
        <f t="shared" ref="O995:O1016" si="419">SUM(C995:N995)</f>
        <v>0</v>
      </c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109"/>
      <c r="AI995" s="109"/>
      <c r="AJ995" s="109"/>
      <c r="AK995" s="109"/>
      <c r="AL995" s="109"/>
      <c r="AM995" s="109"/>
      <c r="AN995" s="109"/>
      <c r="AO995" s="109"/>
      <c r="AP995" s="109"/>
      <c r="AQ995" s="109"/>
      <c r="AR995" s="109"/>
      <c r="AS995" s="109"/>
      <c r="AT995" s="109"/>
      <c r="AU995" s="109"/>
      <c r="AV995" s="109"/>
      <c r="AW995" s="109"/>
      <c r="AX995" s="109"/>
      <c r="AY995" s="109"/>
      <c r="AZ995" s="109"/>
      <c r="BA995" s="109"/>
      <c r="BB995" s="109"/>
      <c r="BC995" s="109"/>
      <c r="BD995" s="109"/>
      <c r="BE995" s="109"/>
      <c r="BF995" s="109"/>
      <c r="BG995" s="109"/>
      <c r="BH995" s="109"/>
      <c r="BI995" s="109"/>
      <c r="BJ995" s="109"/>
      <c r="BK995" s="109"/>
      <c r="BL995" s="109"/>
      <c r="BM995" s="109"/>
      <c r="BN995" s="109"/>
      <c r="BO995" s="109"/>
      <c r="BP995" s="109"/>
      <c r="BQ995" s="109"/>
      <c r="BR995" s="109"/>
      <c r="BS995" s="109"/>
      <c r="BT995" s="109"/>
      <c r="BU995" s="109"/>
      <c r="BV995" s="109"/>
    </row>
    <row r="996" spans="1:74" s="110" customFormat="1" ht="19.5" x14ac:dyDescent="0.2">
      <c r="A996" s="166" t="s">
        <v>383</v>
      </c>
      <c r="B996" s="167" t="s">
        <v>1111</v>
      </c>
      <c r="C996" s="168">
        <f t="shared" ref="C996:N999" si="420">+C997</f>
        <v>0</v>
      </c>
      <c r="D996" s="168">
        <f t="shared" si="420"/>
        <v>0</v>
      </c>
      <c r="E996" s="168">
        <f t="shared" si="420"/>
        <v>0</v>
      </c>
      <c r="F996" s="168">
        <f t="shared" si="420"/>
        <v>0</v>
      </c>
      <c r="G996" s="168">
        <f t="shared" si="420"/>
        <v>0</v>
      </c>
      <c r="H996" s="168">
        <f t="shared" si="420"/>
        <v>0</v>
      </c>
      <c r="I996" s="168">
        <f t="shared" si="420"/>
        <v>0</v>
      </c>
      <c r="J996" s="168">
        <f t="shared" si="420"/>
        <v>0</v>
      </c>
      <c r="K996" s="168">
        <f t="shared" si="420"/>
        <v>0</v>
      </c>
      <c r="L996" s="168">
        <f t="shared" si="420"/>
        <v>0</v>
      </c>
      <c r="M996" s="168">
        <f t="shared" si="420"/>
        <v>0</v>
      </c>
      <c r="N996" s="168">
        <f t="shared" si="420"/>
        <v>0</v>
      </c>
      <c r="O996" s="93">
        <f t="shared" si="419"/>
        <v>0</v>
      </c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  <c r="AH996" s="109"/>
      <c r="AI996" s="109"/>
      <c r="AJ996" s="109"/>
      <c r="AK996" s="109"/>
      <c r="AL996" s="109"/>
      <c r="AM996" s="109"/>
      <c r="AN996" s="109"/>
      <c r="AO996" s="109"/>
      <c r="AP996" s="109"/>
      <c r="AQ996" s="109"/>
      <c r="AR996" s="109"/>
      <c r="AS996" s="109"/>
      <c r="AT996" s="109"/>
      <c r="AU996" s="109"/>
      <c r="AV996" s="109"/>
      <c r="AW996" s="109"/>
      <c r="AX996" s="109"/>
      <c r="AY996" s="109"/>
      <c r="AZ996" s="109"/>
      <c r="BA996" s="109"/>
      <c r="BB996" s="109"/>
      <c r="BC996" s="109"/>
      <c r="BD996" s="109"/>
      <c r="BE996" s="109"/>
      <c r="BF996" s="109"/>
      <c r="BG996" s="109"/>
      <c r="BH996" s="109"/>
      <c r="BI996" s="109"/>
      <c r="BJ996" s="109"/>
      <c r="BK996" s="109"/>
      <c r="BL996" s="109"/>
      <c r="BM996" s="109"/>
      <c r="BN996" s="109"/>
      <c r="BO996" s="109"/>
      <c r="BP996" s="109"/>
      <c r="BQ996" s="109"/>
      <c r="BR996" s="109"/>
      <c r="BS996" s="109"/>
      <c r="BT996" s="109"/>
      <c r="BU996" s="109"/>
      <c r="BV996" s="109"/>
    </row>
    <row r="997" spans="1:74" s="110" customFormat="1" ht="19.5" x14ac:dyDescent="0.2">
      <c r="A997" s="166" t="s">
        <v>535</v>
      </c>
      <c r="B997" s="167" t="s">
        <v>1112</v>
      </c>
      <c r="C997" s="168">
        <f t="shared" si="420"/>
        <v>0</v>
      </c>
      <c r="D997" s="168">
        <f t="shared" si="420"/>
        <v>0</v>
      </c>
      <c r="E997" s="168">
        <f t="shared" si="420"/>
        <v>0</v>
      </c>
      <c r="F997" s="168">
        <f t="shared" si="420"/>
        <v>0</v>
      </c>
      <c r="G997" s="168">
        <f t="shared" si="420"/>
        <v>0</v>
      </c>
      <c r="H997" s="168">
        <f t="shared" si="420"/>
        <v>0</v>
      </c>
      <c r="I997" s="168">
        <f t="shared" si="420"/>
        <v>0</v>
      </c>
      <c r="J997" s="168">
        <f t="shared" si="420"/>
        <v>0</v>
      </c>
      <c r="K997" s="168">
        <f t="shared" si="420"/>
        <v>0</v>
      </c>
      <c r="L997" s="168">
        <f t="shared" si="420"/>
        <v>0</v>
      </c>
      <c r="M997" s="168">
        <f t="shared" si="420"/>
        <v>0</v>
      </c>
      <c r="N997" s="168">
        <f t="shared" si="420"/>
        <v>0</v>
      </c>
      <c r="O997" s="93">
        <f t="shared" si="419"/>
        <v>0</v>
      </c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  <c r="AH997" s="109"/>
      <c r="AI997" s="109"/>
      <c r="AJ997" s="109"/>
      <c r="AK997" s="109"/>
      <c r="AL997" s="109"/>
      <c r="AM997" s="109"/>
      <c r="AN997" s="109"/>
      <c r="AO997" s="109"/>
      <c r="AP997" s="109"/>
      <c r="AQ997" s="109"/>
      <c r="AR997" s="109"/>
      <c r="AS997" s="109"/>
      <c r="AT997" s="109"/>
      <c r="AU997" s="109"/>
      <c r="AV997" s="109"/>
      <c r="AW997" s="109"/>
      <c r="AX997" s="109"/>
      <c r="AY997" s="109"/>
      <c r="AZ997" s="109"/>
      <c r="BA997" s="109"/>
      <c r="BB997" s="109"/>
      <c r="BC997" s="109"/>
      <c r="BD997" s="109"/>
      <c r="BE997" s="109"/>
      <c r="BF997" s="109"/>
      <c r="BG997" s="109"/>
      <c r="BH997" s="109"/>
      <c r="BI997" s="109"/>
      <c r="BJ997" s="109"/>
      <c r="BK997" s="109"/>
      <c r="BL997" s="109"/>
      <c r="BM997" s="109"/>
      <c r="BN997" s="109"/>
      <c r="BO997" s="109"/>
      <c r="BP997" s="109"/>
      <c r="BQ997" s="109"/>
      <c r="BR997" s="109"/>
      <c r="BS997" s="109"/>
      <c r="BT997" s="109"/>
      <c r="BU997" s="109"/>
      <c r="BV997" s="109"/>
    </row>
    <row r="998" spans="1:74" s="110" customFormat="1" ht="19.5" x14ac:dyDescent="0.2">
      <c r="A998" s="166" t="s">
        <v>608</v>
      </c>
      <c r="B998" s="167" t="s">
        <v>609</v>
      </c>
      <c r="C998" s="168">
        <f t="shared" si="420"/>
        <v>0</v>
      </c>
      <c r="D998" s="168">
        <f t="shared" si="420"/>
        <v>0</v>
      </c>
      <c r="E998" s="168">
        <f t="shared" si="420"/>
        <v>0</v>
      </c>
      <c r="F998" s="168">
        <f t="shared" si="420"/>
        <v>0</v>
      </c>
      <c r="G998" s="168">
        <f t="shared" si="420"/>
        <v>0</v>
      </c>
      <c r="H998" s="168">
        <f t="shared" si="420"/>
        <v>0</v>
      </c>
      <c r="I998" s="168">
        <f t="shared" si="420"/>
        <v>0</v>
      </c>
      <c r="J998" s="168">
        <f t="shared" si="420"/>
        <v>0</v>
      </c>
      <c r="K998" s="168">
        <f t="shared" si="420"/>
        <v>0</v>
      </c>
      <c r="L998" s="168">
        <f t="shared" si="420"/>
        <v>0</v>
      </c>
      <c r="M998" s="168">
        <f t="shared" si="420"/>
        <v>0</v>
      </c>
      <c r="N998" s="168">
        <f t="shared" si="420"/>
        <v>0</v>
      </c>
      <c r="O998" s="93">
        <f t="shared" si="419"/>
        <v>0</v>
      </c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109"/>
      <c r="AI998" s="109"/>
      <c r="AJ998" s="109"/>
      <c r="AK998" s="109"/>
      <c r="AL998" s="109"/>
      <c r="AM998" s="109"/>
      <c r="AN998" s="109"/>
      <c r="AO998" s="109"/>
      <c r="AP998" s="109"/>
      <c r="AQ998" s="109"/>
      <c r="AR998" s="109"/>
      <c r="AS998" s="109"/>
      <c r="AT998" s="109"/>
      <c r="AU998" s="109"/>
      <c r="AV998" s="109"/>
      <c r="AW998" s="109"/>
      <c r="AX998" s="109"/>
      <c r="AY998" s="109"/>
      <c r="AZ998" s="109"/>
      <c r="BA998" s="109"/>
      <c r="BB998" s="109"/>
      <c r="BC998" s="109"/>
      <c r="BD998" s="109"/>
      <c r="BE998" s="109"/>
      <c r="BF998" s="109"/>
      <c r="BG998" s="109"/>
      <c r="BH998" s="109"/>
      <c r="BI998" s="109"/>
      <c r="BJ998" s="109"/>
      <c r="BK998" s="109"/>
      <c r="BL998" s="109"/>
      <c r="BM998" s="109"/>
      <c r="BN998" s="109"/>
      <c r="BO998" s="109"/>
      <c r="BP998" s="109"/>
      <c r="BQ998" s="109"/>
      <c r="BR998" s="109"/>
      <c r="BS998" s="109"/>
      <c r="BT998" s="109"/>
      <c r="BU998" s="109"/>
      <c r="BV998" s="109"/>
    </row>
    <row r="999" spans="1:74" s="110" customFormat="1" ht="31.5" x14ac:dyDescent="0.2">
      <c r="A999" s="89" t="s">
        <v>610</v>
      </c>
      <c r="B999" s="92" t="s">
        <v>611</v>
      </c>
      <c r="C999" s="133">
        <f t="shared" si="420"/>
        <v>0</v>
      </c>
      <c r="D999" s="133">
        <f t="shared" si="420"/>
        <v>0</v>
      </c>
      <c r="E999" s="133">
        <f t="shared" si="420"/>
        <v>0</v>
      </c>
      <c r="F999" s="133">
        <f t="shared" si="420"/>
        <v>0</v>
      </c>
      <c r="G999" s="133">
        <f t="shared" si="420"/>
        <v>0</v>
      </c>
      <c r="H999" s="133">
        <f t="shared" si="420"/>
        <v>0</v>
      </c>
      <c r="I999" s="133">
        <f t="shared" si="420"/>
        <v>0</v>
      </c>
      <c r="J999" s="133">
        <f t="shared" si="420"/>
        <v>0</v>
      </c>
      <c r="K999" s="133">
        <f t="shared" si="420"/>
        <v>0</v>
      </c>
      <c r="L999" s="133">
        <f t="shared" si="420"/>
        <v>0</v>
      </c>
      <c r="M999" s="133">
        <f t="shared" si="420"/>
        <v>0</v>
      </c>
      <c r="N999" s="133">
        <f t="shared" si="420"/>
        <v>0</v>
      </c>
      <c r="O999" s="93">
        <f t="shared" si="419"/>
        <v>0</v>
      </c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  <c r="AH999" s="109"/>
      <c r="AI999" s="109"/>
      <c r="AJ999" s="109"/>
      <c r="AK999" s="109"/>
      <c r="AL999" s="109"/>
      <c r="AM999" s="109"/>
      <c r="AN999" s="109"/>
      <c r="AO999" s="109"/>
      <c r="AP999" s="109"/>
      <c r="AQ999" s="109"/>
      <c r="AR999" s="109"/>
      <c r="AS999" s="109"/>
      <c r="AT999" s="109"/>
      <c r="AU999" s="109"/>
      <c r="AV999" s="109"/>
      <c r="AW999" s="109"/>
      <c r="AX999" s="109"/>
      <c r="AY999" s="109"/>
      <c r="AZ999" s="109"/>
      <c r="BA999" s="109"/>
      <c r="BB999" s="109"/>
      <c r="BC999" s="109"/>
      <c r="BD999" s="109"/>
      <c r="BE999" s="109"/>
      <c r="BF999" s="109"/>
      <c r="BG999" s="109"/>
      <c r="BH999" s="109"/>
      <c r="BI999" s="109"/>
      <c r="BJ999" s="109"/>
      <c r="BK999" s="109"/>
      <c r="BL999" s="109"/>
      <c r="BM999" s="109"/>
      <c r="BN999" s="109"/>
      <c r="BO999" s="109"/>
      <c r="BP999" s="109"/>
      <c r="BQ999" s="109"/>
      <c r="BR999" s="109"/>
      <c r="BS999" s="109"/>
      <c r="BT999" s="109"/>
      <c r="BU999" s="109"/>
      <c r="BV999" s="109"/>
    </row>
    <row r="1000" spans="1:74" s="110" customFormat="1" ht="15.75" x14ac:dyDescent="0.2">
      <c r="A1000" s="89" t="s">
        <v>612</v>
      </c>
      <c r="B1000" s="92" t="s">
        <v>613</v>
      </c>
      <c r="C1000" s="133">
        <f t="shared" ref="C1000:N1000" si="421">+C1001+C1002</f>
        <v>0</v>
      </c>
      <c r="D1000" s="133">
        <f t="shared" si="421"/>
        <v>0</v>
      </c>
      <c r="E1000" s="133">
        <f t="shared" si="421"/>
        <v>0</v>
      </c>
      <c r="F1000" s="133">
        <f t="shared" si="421"/>
        <v>0</v>
      </c>
      <c r="G1000" s="133">
        <f t="shared" si="421"/>
        <v>0</v>
      </c>
      <c r="H1000" s="133">
        <f t="shared" si="421"/>
        <v>0</v>
      </c>
      <c r="I1000" s="133">
        <f t="shared" si="421"/>
        <v>0</v>
      </c>
      <c r="J1000" s="133">
        <f t="shared" si="421"/>
        <v>0</v>
      </c>
      <c r="K1000" s="133">
        <f t="shared" si="421"/>
        <v>0</v>
      </c>
      <c r="L1000" s="133">
        <f t="shared" si="421"/>
        <v>0</v>
      </c>
      <c r="M1000" s="133">
        <f t="shared" si="421"/>
        <v>0</v>
      </c>
      <c r="N1000" s="133">
        <f t="shared" si="421"/>
        <v>0</v>
      </c>
      <c r="O1000" s="93">
        <f t="shared" si="419"/>
        <v>0</v>
      </c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  <c r="AH1000" s="109"/>
      <c r="AI1000" s="109"/>
      <c r="AJ1000" s="109"/>
      <c r="AK1000" s="109"/>
      <c r="AL1000" s="109"/>
      <c r="AM1000" s="109"/>
      <c r="AN1000" s="109"/>
      <c r="AO1000" s="109"/>
      <c r="AP1000" s="109"/>
      <c r="AQ1000" s="109"/>
      <c r="AR1000" s="109"/>
      <c r="AS1000" s="109"/>
      <c r="AT1000" s="109"/>
      <c r="AU1000" s="109"/>
      <c r="AV1000" s="109"/>
      <c r="AW1000" s="109"/>
      <c r="AX1000" s="109"/>
      <c r="AY1000" s="109"/>
      <c r="AZ1000" s="109"/>
      <c r="BA1000" s="109"/>
      <c r="BB1000" s="109"/>
      <c r="BC1000" s="109"/>
      <c r="BD1000" s="109"/>
      <c r="BE1000" s="109"/>
      <c r="BF1000" s="109"/>
      <c r="BG1000" s="109"/>
      <c r="BH1000" s="109"/>
      <c r="BI1000" s="109"/>
      <c r="BJ1000" s="109"/>
      <c r="BK1000" s="109"/>
      <c r="BL1000" s="109"/>
      <c r="BM1000" s="109"/>
      <c r="BN1000" s="109"/>
      <c r="BO1000" s="109"/>
      <c r="BP1000" s="109"/>
      <c r="BQ1000" s="109"/>
      <c r="BR1000" s="109"/>
      <c r="BS1000" s="109"/>
      <c r="BT1000" s="109"/>
      <c r="BU1000" s="109"/>
      <c r="BV1000" s="109"/>
    </row>
    <row r="1001" spans="1:74" s="110" customFormat="1" ht="15" x14ac:dyDescent="0.2">
      <c r="A1001" s="237" t="s">
        <v>1113</v>
      </c>
      <c r="B1001" s="238" t="s">
        <v>1114</v>
      </c>
      <c r="C1001" s="134"/>
      <c r="D1001" s="134"/>
      <c r="E1001" s="134"/>
      <c r="F1001" s="134"/>
      <c r="G1001" s="134"/>
      <c r="H1001" s="134"/>
      <c r="I1001" s="134"/>
      <c r="J1001" s="134"/>
      <c r="K1001" s="134"/>
      <c r="L1001" s="134"/>
      <c r="M1001" s="134"/>
      <c r="N1001" s="134"/>
      <c r="O1001" s="93">
        <f t="shared" si="419"/>
        <v>0</v>
      </c>
      <c r="P1001" s="109"/>
      <c r="Q1001" s="109"/>
      <c r="R1001" s="109"/>
      <c r="S1001" s="109"/>
      <c r="T1001" s="109"/>
      <c r="U1001" s="109"/>
      <c r="V1001" s="109"/>
      <c r="W1001" s="109"/>
      <c r="X1001" s="109"/>
      <c r="Y1001" s="109"/>
      <c r="Z1001" s="109"/>
      <c r="AA1001" s="109"/>
      <c r="AB1001" s="109"/>
      <c r="AC1001" s="109"/>
      <c r="AD1001" s="109"/>
      <c r="AE1001" s="109"/>
      <c r="AF1001" s="109"/>
      <c r="AG1001" s="109"/>
      <c r="AH1001" s="109"/>
      <c r="AI1001" s="109"/>
      <c r="AJ1001" s="109"/>
      <c r="AK1001" s="109"/>
      <c r="AL1001" s="109"/>
      <c r="AM1001" s="109"/>
      <c r="AN1001" s="109"/>
      <c r="AO1001" s="109"/>
      <c r="AP1001" s="109"/>
      <c r="AQ1001" s="109"/>
      <c r="AR1001" s="109"/>
      <c r="AS1001" s="109"/>
      <c r="AT1001" s="109"/>
      <c r="AU1001" s="109"/>
      <c r="AV1001" s="109"/>
      <c r="AW1001" s="109"/>
      <c r="AX1001" s="109"/>
      <c r="AY1001" s="109"/>
      <c r="AZ1001" s="109"/>
      <c r="BA1001" s="109"/>
      <c r="BB1001" s="109"/>
      <c r="BC1001" s="109"/>
      <c r="BD1001" s="109"/>
      <c r="BE1001" s="109"/>
      <c r="BF1001" s="109"/>
      <c r="BG1001" s="109"/>
      <c r="BH1001" s="109"/>
      <c r="BI1001" s="109"/>
      <c r="BJ1001" s="109"/>
      <c r="BK1001" s="109"/>
      <c r="BL1001" s="109"/>
      <c r="BM1001" s="109"/>
      <c r="BN1001" s="109"/>
      <c r="BO1001" s="109"/>
      <c r="BP1001" s="109"/>
      <c r="BQ1001" s="109"/>
      <c r="BR1001" s="109"/>
      <c r="BS1001" s="109"/>
      <c r="BT1001" s="109"/>
      <c r="BU1001" s="109"/>
      <c r="BV1001" s="109"/>
    </row>
    <row r="1002" spans="1:74" s="110" customFormat="1" ht="15.75" x14ac:dyDescent="0.2">
      <c r="A1002" s="89" t="s">
        <v>616</v>
      </c>
      <c r="B1002" s="92" t="s">
        <v>1115</v>
      </c>
      <c r="C1002" s="133">
        <f t="shared" ref="C1002:N1002" si="422">+C1003</f>
        <v>0</v>
      </c>
      <c r="D1002" s="133">
        <f t="shared" si="422"/>
        <v>0</v>
      </c>
      <c r="E1002" s="133">
        <f t="shared" si="422"/>
        <v>0</v>
      </c>
      <c r="F1002" s="133">
        <f t="shared" si="422"/>
        <v>0</v>
      </c>
      <c r="G1002" s="133">
        <f t="shared" si="422"/>
        <v>0</v>
      </c>
      <c r="H1002" s="133">
        <f t="shared" si="422"/>
        <v>0</v>
      </c>
      <c r="I1002" s="133">
        <f t="shared" si="422"/>
        <v>0</v>
      </c>
      <c r="J1002" s="133">
        <f t="shared" si="422"/>
        <v>0</v>
      </c>
      <c r="K1002" s="133">
        <f t="shared" si="422"/>
        <v>0</v>
      </c>
      <c r="L1002" s="133">
        <f t="shared" si="422"/>
        <v>0</v>
      </c>
      <c r="M1002" s="133">
        <f t="shared" si="422"/>
        <v>0</v>
      </c>
      <c r="N1002" s="133">
        <f t="shared" si="422"/>
        <v>0</v>
      </c>
      <c r="O1002" s="93">
        <f t="shared" si="419"/>
        <v>0</v>
      </c>
      <c r="P1002" s="109"/>
      <c r="Q1002" s="109"/>
      <c r="R1002" s="109"/>
      <c r="S1002" s="109"/>
      <c r="T1002" s="109"/>
      <c r="U1002" s="109"/>
      <c r="V1002" s="109"/>
      <c r="W1002" s="109"/>
      <c r="X1002" s="109"/>
      <c r="Y1002" s="109"/>
      <c r="Z1002" s="109"/>
      <c r="AA1002" s="109"/>
      <c r="AB1002" s="109"/>
      <c r="AC1002" s="109"/>
      <c r="AD1002" s="109"/>
      <c r="AE1002" s="109"/>
      <c r="AF1002" s="109"/>
      <c r="AG1002" s="109"/>
      <c r="AH1002" s="109"/>
      <c r="AI1002" s="109"/>
      <c r="AJ1002" s="109"/>
      <c r="AK1002" s="109"/>
      <c r="AL1002" s="109"/>
      <c r="AM1002" s="109"/>
      <c r="AN1002" s="109"/>
      <c r="AO1002" s="109"/>
      <c r="AP1002" s="109"/>
      <c r="AQ1002" s="109"/>
      <c r="AR1002" s="109"/>
      <c r="AS1002" s="109"/>
      <c r="AT1002" s="109"/>
      <c r="AU1002" s="109"/>
      <c r="AV1002" s="109"/>
      <c r="AW1002" s="109"/>
      <c r="AX1002" s="109"/>
      <c r="AY1002" s="109"/>
      <c r="AZ1002" s="109"/>
      <c r="BA1002" s="109"/>
      <c r="BB1002" s="109"/>
      <c r="BC1002" s="109"/>
      <c r="BD1002" s="109"/>
      <c r="BE1002" s="109"/>
      <c r="BF1002" s="109"/>
      <c r="BG1002" s="109"/>
      <c r="BH1002" s="109"/>
      <c r="BI1002" s="109"/>
      <c r="BJ1002" s="109"/>
      <c r="BK1002" s="109"/>
      <c r="BL1002" s="109"/>
      <c r="BM1002" s="109"/>
      <c r="BN1002" s="109"/>
      <c r="BO1002" s="109"/>
      <c r="BP1002" s="109"/>
      <c r="BQ1002" s="109"/>
      <c r="BR1002" s="109"/>
      <c r="BS1002" s="109"/>
      <c r="BT1002" s="109"/>
      <c r="BU1002" s="109"/>
      <c r="BV1002" s="109"/>
    </row>
    <row r="1003" spans="1:74" s="110" customFormat="1" ht="15" x14ac:dyDescent="0.2">
      <c r="A1003" s="90" t="s">
        <v>1116</v>
      </c>
      <c r="B1003" s="91" t="s">
        <v>1117</v>
      </c>
      <c r="C1003" s="134"/>
      <c r="D1003" s="134"/>
      <c r="E1003" s="134"/>
      <c r="F1003" s="134"/>
      <c r="G1003" s="134"/>
      <c r="H1003" s="134"/>
      <c r="I1003" s="134"/>
      <c r="J1003" s="134"/>
      <c r="K1003" s="134"/>
      <c r="L1003" s="134"/>
      <c r="M1003" s="134"/>
      <c r="N1003" s="134"/>
      <c r="O1003" s="93">
        <f t="shared" si="419"/>
        <v>0</v>
      </c>
      <c r="P1003" s="109"/>
      <c r="Q1003" s="109"/>
      <c r="R1003" s="109"/>
      <c r="S1003" s="109"/>
      <c r="T1003" s="109"/>
      <c r="U1003" s="109"/>
      <c r="V1003" s="109"/>
      <c r="W1003" s="109"/>
      <c r="X1003" s="109"/>
      <c r="Y1003" s="109"/>
      <c r="Z1003" s="109"/>
      <c r="AA1003" s="109"/>
      <c r="AB1003" s="109"/>
      <c r="AC1003" s="109"/>
      <c r="AD1003" s="109"/>
      <c r="AE1003" s="109"/>
      <c r="AF1003" s="109"/>
      <c r="AG1003" s="109"/>
      <c r="AH1003" s="109"/>
      <c r="AI1003" s="109"/>
      <c r="AJ1003" s="109"/>
      <c r="AK1003" s="109"/>
      <c r="AL1003" s="109"/>
      <c r="AM1003" s="109"/>
      <c r="AN1003" s="109"/>
      <c r="AO1003" s="109"/>
      <c r="AP1003" s="109"/>
      <c r="AQ1003" s="109"/>
      <c r="AR1003" s="109"/>
      <c r="AS1003" s="109"/>
      <c r="AT1003" s="109"/>
      <c r="AU1003" s="109"/>
      <c r="AV1003" s="109"/>
      <c r="AW1003" s="109"/>
      <c r="AX1003" s="109"/>
      <c r="AY1003" s="109"/>
      <c r="AZ1003" s="109"/>
      <c r="BA1003" s="109"/>
      <c r="BB1003" s="109"/>
      <c r="BC1003" s="109"/>
      <c r="BD1003" s="109"/>
      <c r="BE1003" s="109"/>
      <c r="BF1003" s="109"/>
      <c r="BG1003" s="109"/>
      <c r="BH1003" s="109"/>
      <c r="BI1003" s="109"/>
      <c r="BJ1003" s="109"/>
      <c r="BK1003" s="109"/>
      <c r="BL1003" s="109"/>
      <c r="BM1003" s="109"/>
      <c r="BN1003" s="109"/>
      <c r="BO1003" s="109"/>
      <c r="BP1003" s="109"/>
      <c r="BQ1003" s="109"/>
      <c r="BR1003" s="109"/>
      <c r="BS1003" s="109"/>
      <c r="BT1003" s="109"/>
      <c r="BU1003" s="109"/>
      <c r="BV1003" s="109"/>
    </row>
    <row r="1004" spans="1:74" s="110" customFormat="1" ht="15.75" x14ac:dyDescent="0.2">
      <c r="A1004" s="89" t="s">
        <v>698</v>
      </c>
      <c r="B1004" s="92" t="s">
        <v>1118</v>
      </c>
      <c r="C1004" s="133">
        <f t="shared" ref="C1004:N1004" si="423">+C1005+C1009+C1014</f>
        <v>0</v>
      </c>
      <c r="D1004" s="133">
        <f t="shared" si="423"/>
        <v>0</v>
      </c>
      <c r="E1004" s="133">
        <f t="shared" si="423"/>
        <v>0</v>
      </c>
      <c r="F1004" s="133">
        <f t="shared" si="423"/>
        <v>0</v>
      </c>
      <c r="G1004" s="133">
        <f t="shared" si="423"/>
        <v>0</v>
      </c>
      <c r="H1004" s="133">
        <f t="shared" si="423"/>
        <v>0</v>
      </c>
      <c r="I1004" s="133">
        <f t="shared" si="423"/>
        <v>0</v>
      </c>
      <c r="J1004" s="133">
        <f t="shared" si="423"/>
        <v>0</v>
      </c>
      <c r="K1004" s="133">
        <f t="shared" si="423"/>
        <v>0</v>
      </c>
      <c r="L1004" s="133">
        <f t="shared" si="423"/>
        <v>0</v>
      </c>
      <c r="M1004" s="133">
        <f t="shared" si="423"/>
        <v>0</v>
      </c>
      <c r="N1004" s="133">
        <f t="shared" si="423"/>
        <v>0</v>
      </c>
      <c r="O1004" s="93">
        <f t="shared" si="419"/>
        <v>0</v>
      </c>
      <c r="P1004" s="109"/>
      <c r="Q1004" s="109"/>
      <c r="R1004" s="109"/>
      <c r="S1004" s="109"/>
      <c r="T1004" s="109"/>
      <c r="U1004" s="109"/>
      <c r="V1004" s="109"/>
      <c r="W1004" s="109"/>
      <c r="X1004" s="109"/>
      <c r="Y1004" s="109"/>
      <c r="Z1004" s="109"/>
      <c r="AA1004" s="109"/>
      <c r="AB1004" s="109"/>
      <c r="AC1004" s="109"/>
      <c r="AD1004" s="109"/>
      <c r="AE1004" s="109"/>
      <c r="AF1004" s="109"/>
      <c r="AG1004" s="109"/>
      <c r="AH1004" s="109"/>
      <c r="AI1004" s="109"/>
      <c r="AJ1004" s="109"/>
      <c r="AK1004" s="109"/>
      <c r="AL1004" s="109"/>
      <c r="AM1004" s="109"/>
      <c r="AN1004" s="109"/>
      <c r="AO1004" s="109"/>
      <c r="AP1004" s="109"/>
      <c r="AQ1004" s="109"/>
      <c r="AR1004" s="109"/>
      <c r="AS1004" s="109"/>
      <c r="AT1004" s="109"/>
      <c r="AU1004" s="109"/>
      <c r="AV1004" s="109"/>
      <c r="AW1004" s="109"/>
      <c r="AX1004" s="109"/>
      <c r="AY1004" s="109"/>
      <c r="AZ1004" s="109"/>
      <c r="BA1004" s="109"/>
      <c r="BB1004" s="109"/>
      <c r="BC1004" s="109"/>
      <c r="BD1004" s="109"/>
      <c r="BE1004" s="109"/>
      <c r="BF1004" s="109"/>
      <c r="BG1004" s="109"/>
      <c r="BH1004" s="109"/>
      <c r="BI1004" s="109"/>
      <c r="BJ1004" s="109"/>
      <c r="BK1004" s="109"/>
      <c r="BL1004" s="109"/>
      <c r="BM1004" s="109"/>
      <c r="BN1004" s="109"/>
      <c r="BO1004" s="109"/>
      <c r="BP1004" s="109"/>
      <c r="BQ1004" s="109"/>
      <c r="BR1004" s="109"/>
      <c r="BS1004" s="109"/>
      <c r="BT1004" s="109"/>
      <c r="BU1004" s="109"/>
      <c r="BV1004" s="109"/>
    </row>
    <row r="1005" spans="1:74" s="110" customFormat="1" ht="15.75" x14ac:dyDescent="0.2">
      <c r="A1005" s="89" t="s">
        <v>1084</v>
      </c>
      <c r="B1005" s="92" t="s">
        <v>709</v>
      </c>
      <c r="C1005" s="133">
        <f t="shared" ref="C1005:N1007" si="424">+C1006</f>
        <v>0</v>
      </c>
      <c r="D1005" s="133">
        <f t="shared" si="424"/>
        <v>0</v>
      </c>
      <c r="E1005" s="133">
        <f t="shared" si="424"/>
        <v>0</v>
      </c>
      <c r="F1005" s="133">
        <f t="shared" si="424"/>
        <v>0</v>
      </c>
      <c r="G1005" s="133">
        <f t="shared" si="424"/>
        <v>0</v>
      </c>
      <c r="H1005" s="133">
        <f t="shared" si="424"/>
        <v>0</v>
      </c>
      <c r="I1005" s="133">
        <f t="shared" si="424"/>
        <v>0</v>
      </c>
      <c r="J1005" s="133">
        <f t="shared" si="424"/>
        <v>0</v>
      </c>
      <c r="K1005" s="133">
        <f t="shared" si="424"/>
        <v>0</v>
      </c>
      <c r="L1005" s="133">
        <f t="shared" si="424"/>
        <v>0</v>
      </c>
      <c r="M1005" s="133">
        <f t="shared" si="424"/>
        <v>0</v>
      </c>
      <c r="N1005" s="133">
        <f t="shared" si="424"/>
        <v>0</v>
      </c>
      <c r="O1005" s="93">
        <f t="shared" si="419"/>
        <v>0</v>
      </c>
      <c r="P1005" s="109"/>
      <c r="Q1005" s="109"/>
      <c r="R1005" s="109"/>
      <c r="S1005" s="109"/>
      <c r="T1005" s="109"/>
      <c r="U1005" s="109"/>
      <c r="V1005" s="109"/>
      <c r="W1005" s="109"/>
      <c r="X1005" s="109"/>
      <c r="Y1005" s="109"/>
      <c r="Z1005" s="109"/>
      <c r="AA1005" s="109"/>
      <c r="AB1005" s="109"/>
      <c r="AC1005" s="109"/>
      <c r="AD1005" s="109"/>
      <c r="AE1005" s="109"/>
      <c r="AF1005" s="109"/>
      <c r="AG1005" s="109"/>
      <c r="AH1005" s="109"/>
      <c r="AI1005" s="109"/>
      <c r="AJ1005" s="109"/>
      <c r="AK1005" s="109"/>
      <c r="AL1005" s="109"/>
      <c r="AM1005" s="109"/>
      <c r="AN1005" s="109"/>
      <c r="AO1005" s="109"/>
      <c r="AP1005" s="109"/>
      <c r="AQ1005" s="109"/>
      <c r="AR1005" s="109"/>
      <c r="AS1005" s="109"/>
      <c r="AT1005" s="109"/>
      <c r="AU1005" s="109"/>
      <c r="AV1005" s="109"/>
      <c r="AW1005" s="109"/>
      <c r="AX1005" s="109"/>
      <c r="AY1005" s="109"/>
      <c r="AZ1005" s="109"/>
      <c r="BA1005" s="109"/>
      <c r="BB1005" s="109"/>
      <c r="BC1005" s="109"/>
      <c r="BD1005" s="109"/>
      <c r="BE1005" s="109"/>
      <c r="BF1005" s="109"/>
      <c r="BG1005" s="109"/>
      <c r="BH1005" s="109"/>
      <c r="BI1005" s="109"/>
      <c r="BJ1005" s="109"/>
      <c r="BK1005" s="109"/>
      <c r="BL1005" s="109"/>
      <c r="BM1005" s="109"/>
      <c r="BN1005" s="109"/>
      <c r="BO1005" s="109"/>
      <c r="BP1005" s="109"/>
      <c r="BQ1005" s="109"/>
      <c r="BR1005" s="109"/>
      <c r="BS1005" s="109"/>
      <c r="BT1005" s="109"/>
      <c r="BU1005" s="109"/>
      <c r="BV1005" s="109"/>
    </row>
    <row r="1006" spans="1:74" s="110" customFormat="1" ht="15.75" x14ac:dyDescent="0.2">
      <c r="A1006" s="89" t="s">
        <v>710</v>
      </c>
      <c r="B1006" s="92" t="s">
        <v>1086</v>
      </c>
      <c r="C1006" s="133">
        <f t="shared" si="424"/>
        <v>0</v>
      </c>
      <c r="D1006" s="133">
        <f t="shared" si="424"/>
        <v>0</v>
      </c>
      <c r="E1006" s="133">
        <f t="shared" si="424"/>
        <v>0</v>
      </c>
      <c r="F1006" s="133">
        <f t="shared" si="424"/>
        <v>0</v>
      </c>
      <c r="G1006" s="133">
        <f t="shared" si="424"/>
        <v>0</v>
      </c>
      <c r="H1006" s="133">
        <f t="shared" si="424"/>
        <v>0</v>
      </c>
      <c r="I1006" s="133">
        <f t="shared" si="424"/>
        <v>0</v>
      </c>
      <c r="J1006" s="133">
        <f t="shared" si="424"/>
        <v>0</v>
      </c>
      <c r="K1006" s="133">
        <f t="shared" si="424"/>
        <v>0</v>
      </c>
      <c r="L1006" s="133">
        <f t="shared" si="424"/>
        <v>0</v>
      </c>
      <c r="M1006" s="133">
        <f t="shared" si="424"/>
        <v>0</v>
      </c>
      <c r="N1006" s="133">
        <f t="shared" si="424"/>
        <v>0</v>
      </c>
      <c r="O1006" s="93">
        <f t="shared" si="419"/>
        <v>0</v>
      </c>
      <c r="P1006" s="109"/>
      <c r="Q1006" s="109"/>
      <c r="R1006" s="109"/>
      <c r="S1006" s="109"/>
      <c r="T1006" s="109"/>
      <c r="U1006" s="109"/>
      <c r="V1006" s="109"/>
      <c r="W1006" s="109"/>
      <c r="X1006" s="109"/>
      <c r="Y1006" s="109"/>
      <c r="Z1006" s="109"/>
      <c r="AA1006" s="109"/>
      <c r="AB1006" s="109"/>
      <c r="AC1006" s="109"/>
      <c r="AD1006" s="109"/>
      <c r="AE1006" s="109"/>
      <c r="AF1006" s="109"/>
      <c r="AG1006" s="109"/>
      <c r="AH1006" s="109"/>
      <c r="AI1006" s="109"/>
      <c r="AJ1006" s="109"/>
      <c r="AK1006" s="109"/>
      <c r="AL1006" s="109"/>
      <c r="AM1006" s="109"/>
      <c r="AN1006" s="109"/>
      <c r="AO1006" s="109"/>
      <c r="AP1006" s="109"/>
      <c r="AQ1006" s="109"/>
      <c r="AR1006" s="109"/>
      <c r="AS1006" s="109"/>
      <c r="AT1006" s="109"/>
      <c r="AU1006" s="109"/>
      <c r="AV1006" s="109"/>
      <c r="AW1006" s="109"/>
      <c r="AX1006" s="109"/>
      <c r="AY1006" s="109"/>
      <c r="AZ1006" s="109"/>
      <c r="BA1006" s="109"/>
      <c r="BB1006" s="109"/>
      <c r="BC1006" s="109"/>
      <c r="BD1006" s="109"/>
      <c r="BE1006" s="109"/>
      <c r="BF1006" s="109"/>
      <c r="BG1006" s="109"/>
      <c r="BH1006" s="109"/>
      <c r="BI1006" s="109"/>
      <c r="BJ1006" s="109"/>
      <c r="BK1006" s="109"/>
      <c r="BL1006" s="109"/>
      <c r="BM1006" s="109"/>
      <c r="BN1006" s="109"/>
      <c r="BO1006" s="109"/>
      <c r="BP1006" s="109"/>
      <c r="BQ1006" s="109"/>
      <c r="BR1006" s="109"/>
      <c r="BS1006" s="109"/>
      <c r="BT1006" s="109"/>
      <c r="BU1006" s="109"/>
      <c r="BV1006" s="109"/>
    </row>
    <row r="1007" spans="1:74" s="110" customFormat="1" ht="31.5" x14ac:dyDescent="0.2">
      <c r="A1007" s="89" t="s">
        <v>712</v>
      </c>
      <c r="B1007" s="92" t="s">
        <v>611</v>
      </c>
      <c r="C1007" s="133">
        <f t="shared" si="424"/>
        <v>0</v>
      </c>
      <c r="D1007" s="133">
        <f t="shared" si="424"/>
        <v>0</v>
      </c>
      <c r="E1007" s="133">
        <f t="shared" si="424"/>
        <v>0</v>
      </c>
      <c r="F1007" s="133">
        <f t="shared" si="424"/>
        <v>0</v>
      </c>
      <c r="G1007" s="133">
        <f t="shared" si="424"/>
        <v>0</v>
      </c>
      <c r="H1007" s="133">
        <f t="shared" si="424"/>
        <v>0</v>
      </c>
      <c r="I1007" s="133">
        <f t="shared" si="424"/>
        <v>0</v>
      </c>
      <c r="J1007" s="133">
        <f t="shared" si="424"/>
        <v>0</v>
      </c>
      <c r="K1007" s="133">
        <f t="shared" si="424"/>
        <v>0</v>
      </c>
      <c r="L1007" s="133">
        <f t="shared" si="424"/>
        <v>0</v>
      </c>
      <c r="M1007" s="133">
        <f t="shared" si="424"/>
        <v>0</v>
      </c>
      <c r="N1007" s="133">
        <f t="shared" si="424"/>
        <v>0</v>
      </c>
      <c r="O1007" s="93">
        <f t="shared" si="419"/>
        <v>0</v>
      </c>
      <c r="P1007" s="109"/>
      <c r="Q1007" s="109"/>
      <c r="R1007" s="109"/>
      <c r="S1007" s="109"/>
      <c r="T1007" s="109"/>
      <c r="U1007" s="109"/>
      <c r="V1007" s="109"/>
      <c r="W1007" s="109"/>
      <c r="X1007" s="109"/>
      <c r="Y1007" s="109"/>
      <c r="Z1007" s="109"/>
      <c r="AA1007" s="109"/>
      <c r="AB1007" s="109"/>
      <c r="AC1007" s="109"/>
      <c r="AD1007" s="109"/>
      <c r="AE1007" s="109"/>
      <c r="AF1007" s="109"/>
      <c r="AG1007" s="109"/>
      <c r="AH1007" s="109"/>
      <c r="AI1007" s="109"/>
      <c r="AJ1007" s="109"/>
      <c r="AK1007" s="109"/>
      <c r="AL1007" s="109"/>
      <c r="AM1007" s="109"/>
      <c r="AN1007" s="109"/>
      <c r="AO1007" s="109"/>
      <c r="AP1007" s="109"/>
      <c r="AQ1007" s="109"/>
      <c r="AR1007" s="109"/>
      <c r="AS1007" s="109"/>
      <c r="AT1007" s="109"/>
      <c r="AU1007" s="109"/>
      <c r="AV1007" s="109"/>
      <c r="AW1007" s="109"/>
      <c r="AX1007" s="109"/>
      <c r="AY1007" s="109"/>
      <c r="AZ1007" s="109"/>
      <c r="BA1007" s="109"/>
      <c r="BB1007" s="109"/>
      <c r="BC1007" s="109"/>
      <c r="BD1007" s="109"/>
      <c r="BE1007" s="109"/>
      <c r="BF1007" s="109"/>
      <c r="BG1007" s="109"/>
      <c r="BH1007" s="109"/>
      <c r="BI1007" s="109"/>
      <c r="BJ1007" s="109"/>
      <c r="BK1007" s="109"/>
      <c r="BL1007" s="109"/>
      <c r="BM1007" s="109"/>
      <c r="BN1007" s="109"/>
      <c r="BO1007" s="109"/>
      <c r="BP1007" s="109"/>
      <c r="BQ1007" s="109"/>
      <c r="BR1007" s="109"/>
      <c r="BS1007" s="109"/>
      <c r="BT1007" s="109"/>
      <c r="BU1007" s="109"/>
      <c r="BV1007" s="109"/>
    </row>
    <row r="1008" spans="1:74" s="110" customFormat="1" ht="15" x14ac:dyDescent="0.2">
      <c r="A1008" s="237" t="s">
        <v>1088</v>
      </c>
      <c r="B1008" s="238" t="s">
        <v>1114</v>
      </c>
      <c r="C1008" s="134"/>
      <c r="D1008" s="134"/>
      <c r="E1008" s="134"/>
      <c r="F1008" s="134"/>
      <c r="G1008" s="134"/>
      <c r="H1008" s="134"/>
      <c r="I1008" s="134"/>
      <c r="J1008" s="134"/>
      <c r="K1008" s="134"/>
      <c r="L1008" s="134"/>
      <c r="M1008" s="134"/>
      <c r="N1008" s="134"/>
      <c r="O1008" s="93">
        <f t="shared" si="419"/>
        <v>0</v>
      </c>
      <c r="P1008" s="109"/>
      <c r="Q1008" s="109"/>
      <c r="R1008" s="109"/>
      <c r="S1008" s="109"/>
      <c r="T1008" s="109"/>
      <c r="U1008" s="109"/>
      <c r="V1008" s="109"/>
      <c r="W1008" s="109"/>
      <c r="X1008" s="109"/>
      <c r="Y1008" s="109"/>
      <c r="Z1008" s="109"/>
      <c r="AA1008" s="109"/>
      <c r="AB1008" s="109"/>
      <c r="AC1008" s="109"/>
      <c r="AD1008" s="109"/>
      <c r="AE1008" s="109"/>
      <c r="AF1008" s="109"/>
      <c r="AG1008" s="109"/>
      <c r="AH1008" s="109"/>
      <c r="AI1008" s="109"/>
      <c r="AJ1008" s="109"/>
      <c r="AK1008" s="109"/>
      <c r="AL1008" s="109"/>
      <c r="AM1008" s="109"/>
      <c r="AN1008" s="109"/>
      <c r="AO1008" s="109"/>
      <c r="AP1008" s="109"/>
      <c r="AQ1008" s="109"/>
      <c r="AR1008" s="109"/>
      <c r="AS1008" s="109"/>
      <c r="AT1008" s="109"/>
      <c r="AU1008" s="109"/>
      <c r="AV1008" s="109"/>
      <c r="AW1008" s="109"/>
      <c r="AX1008" s="109"/>
      <c r="AY1008" s="109"/>
      <c r="AZ1008" s="109"/>
      <c r="BA1008" s="109"/>
      <c r="BB1008" s="109"/>
      <c r="BC1008" s="109"/>
      <c r="BD1008" s="109"/>
      <c r="BE1008" s="109"/>
      <c r="BF1008" s="109"/>
      <c r="BG1008" s="109"/>
      <c r="BH1008" s="109"/>
      <c r="BI1008" s="109"/>
      <c r="BJ1008" s="109"/>
      <c r="BK1008" s="109"/>
      <c r="BL1008" s="109"/>
      <c r="BM1008" s="109"/>
      <c r="BN1008" s="109"/>
      <c r="BO1008" s="109"/>
      <c r="BP1008" s="109"/>
      <c r="BQ1008" s="109"/>
      <c r="BR1008" s="109"/>
      <c r="BS1008" s="109"/>
      <c r="BT1008" s="109"/>
      <c r="BU1008" s="109"/>
      <c r="BV1008" s="109"/>
    </row>
    <row r="1009" spans="1:74" s="110" customFormat="1" ht="15.75" x14ac:dyDescent="0.2">
      <c r="A1009" s="89" t="s">
        <v>822</v>
      </c>
      <c r="B1009" s="92" t="s">
        <v>1119</v>
      </c>
      <c r="C1009" s="133">
        <f t="shared" ref="C1009:N1009" si="425">+C1010+C1011</f>
        <v>0</v>
      </c>
      <c r="D1009" s="133">
        <f t="shared" si="425"/>
        <v>0</v>
      </c>
      <c r="E1009" s="133">
        <f t="shared" si="425"/>
        <v>0</v>
      </c>
      <c r="F1009" s="133">
        <f t="shared" si="425"/>
        <v>0</v>
      </c>
      <c r="G1009" s="133">
        <f t="shared" si="425"/>
        <v>0</v>
      </c>
      <c r="H1009" s="133">
        <f t="shared" si="425"/>
        <v>0</v>
      </c>
      <c r="I1009" s="133">
        <f t="shared" si="425"/>
        <v>0</v>
      </c>
      <c r="J1009" s="133">
        <f t="shared" si="425"/>
        <v>0</v>
      </c>
      <c r="K1009" s="133">
        <f t="shared" si="425"/>
        <v>0</v>
      </c>
      <c r="L1009" s="133">
        <f t="shared" si="425"/>
        <v>0</v>
      </c>
      <c r="M1009" s="133">
        <f t="shared" si="425"/>
        <v>0</v>
      </c>
      <c r="N1009" s="133">
        <f t="shared" si="425"/>
        <v>0</v>
      </c>
      <c r="O1009" s="93">
        <f t="shared" si="419"/>
        <v>0</v>
      </c>
      <c r="P1009" s="109"/>
      <c r="Q1009" s="109"/>
      <c r="R1009" s="109"/>
      <c r="S1009" s="109"/>
      <c r="T1009" s="109"/>
      <c r="U1009" s="109"/>
      <c r="V1009" s="109"/>
      <c r="W1009" s="109"/>
      <c r="X1009" s="109"/>
      <c r="Y1009" s="109"/>
      <c r="Z1009" s="109"/>
      <c r="AA1009" s="109"/>
      <c r="AB1009" s="109"/>
      <c r="AC1009" s="109"/>
      <c r="AD1009" s="109"/>
      <c r="AE1009" s="109"/>
      <c r="AF1009" s="109"/>
      <c r="AG1009" s="109"/>
      <c r="AH1009" s="109"/>
      <c r="AI1009" s="109"/>
      <c r="AJ1009" s="109"/>
      <c r="AK1009" s="109"/>
      <c r="AL1009" s="109"/>
      <c r="AM1009" s="109"/>
      <c r="AN1009" s="109"/>
      <c r="AO1009" s="109"/>
      <c r="AP1009" s="109"/>
      <c r="AQ1009" s="109"/>
      <c r="AR1009" s="109"/>
      <c r="AS1009" s="109"/>
      <c r="AT1009" s="109"/>
      <c r="AU1009" s="109"/>
      <c r="AV1009" s="109"/>
      <c r="AW1009" s="109"/>
      <c r="AX1009" s="109"/>
      <c r="AY1009" s="109"/>
      <c r="AZ1009" s="109"/>
      <c r="BA1009" s="109"/>
      <c r="BB1009" s="109"/>
      <c r="BC1009" s="109"/>
      <c r="BD1009" s="109"/>
      <c r="BE1009" s="109"/>
      <c r="BF1009" s="109"/>
      <c r="BG1009" s="109"/>
      <c r="BH1009" s="109"/>
      <c r="BI1009" s="109"/>
      <c r="BJ1009" s="109"/>
      <c r="BK1009" s="109"/>
      <c r="BL1009" s="109"/>
      <c r="BM1009" s="109"/>
      <c r="BN1009" s="109"/>
      <c r="BO1009" s="109"/>
      <c r="BP1009" s="109"/>
      <c r="BQ1009" s="109"/>
      <c r="BR1009" s="109"/>
      <c r="BS1009" s="109"/>
      <c r="BT1009" s="109"/>
      <c r="BU1009" s="109"/>
      <c r="BV1009" s="109"/>
    </row>
    <row r="1010" spans="1:74" s="110" customFormat="1" ht="15" x14ac:dyDescent="0.2">
      <c r="A1010" s="237" t="s">
        <v>1120</v>
      </c>
      <c r="B1010" s="238" t="s">
        <v>1121</v>
      </c>
      <c r="C1010" s="134"/>
      <c r="D1010" s="134"/>
      <c r="E1010" s="134"/>
      <c r="F1010" s="134"/>
      <c r="G1010" s="134"/>
      <c r="H1010" s="134"/>
      <c r="I1010" s="134"/>
      <c r="J1010" s="134"/>
      <c r="K1010" s="134"/>
      <c r="L1010" s="134"/>
      <c r="M1010" s="134"/>
      <c r="N1010" s="134"/>
      <c r="O1010" s="93">
        <f t="shared" si="419"/>
        <v>0</v>
      </c>
      <c r="P1010" s="109"/>
      <c r="Q1010" s="109"/>
      <c r="R1010" s="109"/>
      <c r="S1010" s="109"/>
      <c r="T1010" s="109"/>
      <c r="U1010" s="109"/>
      <c r="V1010" s="109"/>
      <c r="W1010" s="109"/>
      <c r="X1010" s="109"/>
      <c r="Y1010" s="109"/>
      <c r="Z1010" s="109"/>
      <c r="AA1010" s="109"/>
      <c r="AB1010" s="109"/>
      <c r="AC1010" s="109"/>
      <c r="AD1010" s="109"/>
      <c r="AE1010" s="109"/>
      <c r="AF1010" s="109"/>
      <c r="AG1010" s="109"/>
      <c r="AH1010" s="109"/>
      <c r="AI1010" s="109"/>
      <c r="AJ1010" s="109"/>
      <c r="AK1010" s="109"/>
      <c r="AL1010" s="109"/>
      <c r="AM1010" s="109"/>
      <c r="AN1010" s="109"/>
      <c r="AO1010" s="109"/>
      <c r="AP1010" s="109"/>
      <c r="AQ1010" s="109"/>
      <c r="AR1010" s="109"/>
      <c r="AS1010" s="109"/>
      <c r="AT1010" s="109"/>
      <c r="AU1010" s="109"/>
      <c r="AV1010" s="109"/>
      <c r="AW1010" s="109"/>
      <c r="AX1010" s="109"/>
      <c r="AY1010" s="109"/>
      <c r="AZ1010" s="109"/>
      <c r="BA1010" s="109"/>
      <c r="BB1010" s="109"/>
      <c r="BC1010" s="109"/>
      <c r="BD1010" s="109"/>
      <c r="BE1010" s="109"/>
      <c r="BF1010" s="109"/>
      <c r="BG1010" s="109"/>
      <c r="BH1010" s="109"/>
      <c r="BI1010" s="109"/>
      <c r="BJ1010" s="109"/>
      <c r="BK1010" s="109"/>
      <c r="BL1010" s="109"/>
      <c r="BM1010" s="109"/>
      <c r="BN1010" s="109"/>
      <c r="BO1010" s="109"/>
      <c r="BP1010" s="109"/>
      <c r="BQ1010" s="109"/>
      <c r="BR1010" s="109"/>
      <c r="BS1010" s="109"/>
      <c r="BT1010" s="109"/>
      <c r="BU1010" s="109"/>
      <c r="BV1010" s="109"/>
    </row>
    <row r="1011" spans="1:74" s="110" customFormat="1" ht="15.75" x14ac:dyDescent="0.2">
      <c r="A1011" s="89" t="s">
        <v>823</v>
      </c>
      <c r="B1011" s="92" t="s">
        <v>1122</v>
      </c>
      <c r="C1011" s="133">
        <f t="shared" ref="C1011:N1011" si="426">SUM(C1012:C1013)</f>
        <v>0</v>
      </c>
      <c r="D1011" s="133">
        <f t="shared" si="426"/>
        <v>0</v>
      </c>
      <c r="E1011" s="133">
        <f t="shared" si="426"/>
        <v>0</v>
      </c>
      <c r="F1011" s="133">
        <f t="shared" si="426"/>
        <v>0</v>
      </c>
      <c r="G1011" s="133">
        <f t="shared" si="426"/>
        <v>0</v>
      </c>
      <c r="H1011" s="133">
        <f t="shared" si="426"/>
        <v>0</v>
      </c>
      <c r="I1011" s="133">
        <f t="shared" si="426"/>
        <v>0</v>
      </c>
      <c r="J1011" s="133">
        <f t="shared" si="426"/>
        <v>0</v>
      </c>
      <c r="K1011" s="133">
        <f t="shared" si="426"/>
        <v>0</v>
      </c>
      <c r="L1011" s="133">
        <f t="shared" si="426"/>
        <v>0</v>
      </c>
      <c r="M1011" s="133">
        <f t="shared" si="426"/>
        <v>0</v>
      </c>
      <c r="N1011" s="133">
        <f t="shared" si="426"/>
        <v>0</v>
      </c>
      <c r="O1011" s="93">
        <f t="shared" si="419"/>
        <v>0</v>
      </c>
      <c r="P1011" s="109"/>
      <c r="Q1011" s="109"/>
      <c r="R1011" s="109"/>
      <c r="S1011" s="109"/>
      <c r="T1011" s="109"/>
      <c r="U1011" s="109"/>
      <c r="V1011" s="109"/>
      <c r="W1011" s="109"/>
      <c r="X1011" s="109"/>
      <c r="Y1011" s="109"/>
      <c r="Z1011" s="109"/>
      <c r="AA1011" s="109"/>
      <c r="AB1011" s="109"/>
      <c r="AC1011" s="109"/>
      <c r="AD1011" s="109"/>
      <c r="AE1011" s="109"/>
      <c r="AF1011" s="109"/>
      <c r="AG1011" s="109"/>
      <c r="AH1011" s="109"/>
      <c r="AI1011" s="109"/>
      <c r="AJ1011" s="109"/>
      <c r="AK1011" s="109"/>
      <c r="AL1011" s="109"/>
      <c r="AM1011" s="109"/>
      <c r="AN1011" s="109"/>
      <c r="AO1011" s="109"/>
      <c r="AP1011" s="109"/>
      <c r="AQ1011" s="109"/>
      <c r="AR1011" s="109"/>
      <c r="AS1011" s="109"/>
      <c r="AT1011" s="109"/>
      <c r="AU1011" s="109"/>
      <c r="AV1011" s="109"/>
      <c r="AW1011" s="109"/>
      <c r="AX1011" s="109"/>
      <c r="AY1011" s="109"/>
      <c r="AZ1011" s="109"/>
      <c r="BA1011" s="109"/>
      <c r="BB1011" s="109"/>
      <c r="BC1011" s="109"/>
      <c r="BD1011" s="109"/>
      <c r="BE1011" s="109"/>
      <c r="BF1011" s="109"/>
      <c r="BG1011" s="109"/>
      <c r="BH1011" s="109"/>
      <c r="BI1011" s="109"/>
      <c r="BJ1011" s="109"/>
      <c r="BK1011" s="109"/>
      <c r="BL1011" s="109"/>
      <c r="BM1011" s="109"/>
      <c r="BN1011" s="109"/>
      <c r="BO1011" s="109"/>
      <c r="BP1011" s="109"/>
      <c r="BQ1011" s="109"/>
      <c r="BR1011" s="109"/>
      <c r="BS1011" s="109"/>
      <c r="BT1011" s="109"/>
      <c r="BU1011" s="109"/>
      <c r="BV1011" s="109"/>
    </row>
    <row r="1012" spans="1:74" s="110" customFormat="1" ht="30" x14ac:dyDescent="0.2">
      <c r="A1012" s="237" t="s">
        <v>1123</v>
      </c>
      <c r="B1012" s="238" t="s">
        <v>611</v>
      </c>
      <c r="C1012" s="134"/>
      <c r="D1012" s="134"/>
      <c r="E1012" s="134"/>
      <c r="F1012" s="134"/>
      <c r="G1012" s="134"/>
      <c r="H1012" s="134"/>
      <c r="I1012" s="134"/>
      <c r="J1012" s="134"/>
      <c r="K1012" s="134"/>
      <c r="L1012" s="134"/>
      <c r="M1012" s="134"/>
      <c r="N1012" s="134"/>
      <c r="O1012" s="93">
        <f t="shared" si="419"/>
        <v>0</v>
      </c>
      <c r="P1012" s="109"/>
      <c r="Q1012" s="109"/>
      <c r="R1012" s="109"/>
      <c r="S1012" s="109"/>
      <c r="T1012" s="109"/>
      <c r="U1012" s="109"/>
      <c r="V1012" s="109"/>
      <c r="W1012" s="109"/>
      <c r="X1012" s="109"/>
      <c r="Y1012" s="109"/>
      <c r="Z1012" s="109"/>
      <c r="AA1012" s="109"/>
      <c r="AB1012" s="109"/>
      <c r="AC1012" s="109"/>
      <c r="AD1012" s="109"/>
      <c r="AE1012" s="109"/>
      <c r="AF1012" s="109"/>
      <c r="AG1012" s="109"/>
      <c r="AH1012" s="109"/>
      <c r="AI1012" s="109"/>
      <c r="AJ1012" s="109"/>
      <c r="AK1012" s="109"/>
      <c r="AL1012" s="109"/>
      <c r="AM1012" s="109"/>
      <c r="AN1012" s="109"/>
      <c r="AO1012" s="109"/>
      <c r="AP1012" s="109"/>
      <c r="AQ1012" s="109"/>
      <c r="AR1012" s="109"/>
      <c r="AS1012" s="109"/>
      <c r="AT1012" s="109"/>
      <c r="AU1012" s="109"/>
      <c r="AV1012" s="109"/>
      <c r="AW1012" s="109"/>
      <c r="AX1012" s="109"/>
      <c r="AY1012" s="109"/>
      <c r="AZ1012" s="109"/>
      <c r="BA1012" s="109"/>
      <c r="BB1012" s="109"/>
      <c r="BC1012" s="109"/>
      <c r="BD1012" s="109"/>
      <c r="BE1012" s="109"/>
      <c r="BF1012" s="109"/>
      <c r="BG1012" s="109"/>
      <c r="BH1012" s="109"/>
      <c r="BI1012" s="109"/>
      <c r="BJ1012" s="109"/>
      <c r="BK1012" s="109"/>
      <c r="BL1012" s="109"/>
      <c r="BM1012" s="109"/>
      <c r="BN1012" s="109"/>
      <c r="BO1012" s="109"/>
      <c r="BP1012" s="109"/>
      <c r="BQ1012" s="109"/>
      <c r="BR1012" s="109"/>
      <c r="BS1012" s="109"/>
      <c r="BT1012" s="109"/>
      <c r="BU1012" s="109"/>
      <c r="BV1012" s="109"/>
    </row>
    <row r="1013" spans="1:74" s="110" customFormat="1" ht="15" x14ac:dyDescent="0.2">
      <c r="A1013" s="237" t="s">
        <v>1124</v>
      </c>
      <c r="B1013" s="238" t="s">
        <v>1125</v>
      </c>
      <c r="C1013" s="134"/>
      <c r="D1013" s="134"/>
      <c r="E1013" s="134"/>
      <c r="F1013" s="134"/>
      <c r="G1013" s="134"/>
      <c r="H1013" s="134"/>
      <c r="I1013" s="134"/>
      <c r="J1013" s="134"/>
      <c r="K1013" s="134"/>
      <c r="L1013" s="134"/>
      <c r="M1013" s="134"/>
      <c r="N1013" s="134"/>
      <c r="O1013" s="93">
        <f t="shared" si="419"/>
        <v>0</v>
      </c>
      <c r="P1013" s="109"/>
      <c r="Q1013" s="109"/>
      <c r="R1013" s="109"/>
      <c r="S1013" s="109"/>
      <c r="T1013" s="109"/>
      <c r="U1013" s="109"/>
      <c r="V1013" s="109"/>
      <c r="W1013" s="109"/>
      <c r="X1013" s="109"/>
      <c r="Y1013" s="109"/>
      <c r="Z1013" s="109"/>
      <c r="AA1013" s="109"/>
      <c r="AB1013" s="109"/>
      <c r="AC1013" s="109"/>
      <c r="AD1013" s="109"/>
      <c r="AE1013" s="109"/>
      <c r="AF1013" s="109"/>
      <c r="AG1013" s="109"/>
      <c r="AH1013" s="109"/>
      <c r="AI1013" s="109"/>
      <c r="AJ1013" s="109"/>
      <c r="AK1013" s="109"/>
      <c r="AL1013" s="109"/>
      <c r="AM1013" s="109"/>
      <c r="AN1013" s="109"/>
      <c r="AO1013" s="109"/>
      <c r="AP1013" s="109"/>
      <c r="AQ1013" s="109"/>
      <c r="AR1013" s="109"/>
      <c r="AS1013" s="109"/>
      <c r="AT1013" s="109"/>
      <c r="AU1013" s="109"/>
      <c r="AV1013" s="109"/>
      <c r="AW1013" s="109"/>
      <c r="AX1013" s="109"/>
      <c r="AY1013" s="109"/>
      <c r="AZ1013" s="109"/>
      <c r="BA1013" s="109"/>
      <c r="BB1013" s="109"/>
      <c r="BC1013" s="109"/>
      <c r="BD1013" s="109"/>
      <c r="BE1013" s="109"/>
      <c r="BF1013" s="109"/>
      <c r="BG1013" s="109"/>
      <c r="BH1013" s="109"/>
      <c r="BI1013" s="109"/>
      <c r="BJ1013" s="109"/>
      <c r="BK1013" s="109"/>
      <c r="BL1013" s="109"/>
      <c r="BM1013" s="109"/>
      <c r="BN1013" s="109"/>
      <c r="BO1013" s="109"/>
      <c r="BP1013" s="109"/>
      <c r="BQ1013" s="109"/>
      <c r="BR1013" s="109"/>
      <c r="BS1013" s="109"/>
      <c r="BT1013" s="109"/>
      <c r="BU1013" s="109"/>
      <c r="BV1013" s="109"/>
    </row>
    <row r="1014" spans="1:74" s="110" customFormat="1" ht="31.5" x14ac:dyDescent="0.2">
      <c r="A1014" s="89" t="s">
        <v>850</v>
      </c>
      <c r="B1014" s="92" t="s">
        <v>851</v>
      </c>
      <c r="C1014" s="133">
        <f t="shared" ref="C1014:N1014" si="427">+C1015+C1016</f>
        <v>0</v>
      </c>
      <c r="D1014" s="133">
        <f t="shared" si="427"/>
        <v>0</v>
      </c>
      <c r="E1014" s="133">
        <f t="shared" si="427"/>
        <v>0</v>
      </c>
      <c r="F1014" s="133">
        <f t="shared" si="427"/>
        <v>0</v>
      </c>
      <c r="G1014" s="133">
        <f t="shared" si="427"/>
        <v>0</v>
      </c>
      <c r="H1014" s="133">
        <f t="shared" si="427"/>
        <v>0</v>
      </c>
      <c r="I1014" s="133">
        <f t="shared" si="427"/>
        <v>0</v>
      </c>
      <c r="J1014" s="133">
        <f t="shared" si="427"/>
        <v>0</v>
      </c>
      <c r="K1014" s="133">
        <f t="shared" si="427"/>
        <v>0</v>
      </c>
      <c r="L1014" s="133">
        <f t="shared" si="427"/>
        <v>0</v>
      </c>
      <c r="M1014" s="133">
        <f t="shared" si="427"/>
        <v>0</v>
      </c>
      <c r="N1014" s="133">
        <f t="shared" si="427"/>
        <v>0</v>
      </c>
      <c r="O1014" s="93">
        <f t="shared" si="419"/>
        <v>0</v>
      </c>
      <c r="P1014" s="109"/>
      <c r="Q1014" s="109"/>
      <c r="R1014" s="109"/>
      <c r="S1014" s="109"/>
      <c r="T1014" s="109"/>
      <c r="U1014" s="109"/>
      <c r="V1014" s="109"/>
      <c r="W1014" s="109"/>
      <c r="X1014" s="109"/>
      <c r="Y1014" s="109"/>
      <c r="Z1014" s="109"/>
      <c r="AA1014" s="109"/>
      <c r="AB1014" s="109"/>
      <c r="AC1014" s="109"/>
      <c r="AD1014" s="109"/>
      <c r="AE1014" s="109"/>
      <c r="AF1014" s="109"/>
      <c r="AG1014" s="109"/>
      <c r="AH1014" s="109"/>
      <c r="AI1014" s="109"/>
      <c r="AJ1014" s="109"/>
      <c r="AK1014" s="109"/>
      <c r="AL1014" s="109"/>
      <c r="AM1014" s="109"/>
      <c r="AN1014" s="109"/>
      <c r="AO1014" s="109"/>
      <c r="AP1014" s="109"/>
      <c r="AQ1014" s="109"/>
      <c r="AR1014" s="109"/>
      <c r="AS1014" s="109"/>
      <c r="AT1014" s="109"/>
      <c r="AU1014" s="109"/>
      <c r="AV1014" s="109"/>
      <c r="AW1014" s="109"/>
      <c r="AX1014" s="109"/>
      <c r="AY1014" s="109"/>
      <c r="AZ1014" s="109"/>
      <c r="BA1014" s="109"/>
      <c r="BB1014" s="109"/>
      <c r="BC1014" s="109"/>
      <c r="BD1014" s="109"/>
      <c r="BE1014" s="109"/>
      <c r="BF1014" s="109"/>
      <c r="BG1014" s="109"/>
      <c r="BH1014" s="109"/>
      <c r="BI1014" s="109"/>
      <c r="BJ1014" s="109"/>
      <c r="BK1014" s="109"/>
      <c r="BL1014" s="109"/>
      <c r="BM1014" s="109"/>
      <c r="BN1014" s="109"/>
      <c r="BO1014" s="109"/>
      <c r="BP1014" s="109"/>
      <c r="BQ1014" s="109"/>
      <c r="BR1014" s="109"/>
      <c r="BS1014" s="109"/>
      <c r="BT1014" s="109"/>
      <c r="BU1014" s="109"/>
      <c r="BV1014" s="109"/>
    </row>
    <row r="1015" spans="1:74" s="110" customFormat="1" ht="15" x14ac:dyDescent="0.2">
      <c r="A1015" s="90" t="s">
        <v>852</v>
      </c>
      <c r="B1015" s="91" t="s">
        <v>853</v>
      </c>
      <c r="C1015" s="135"/>
      <c r="D1015" s="135"/>
      <c r="E1015" s="135"/>
      <c r="F1015" s="135"/>
      <c r="G1015" s="135"/>
      <c r="H1015" s="135"/>
      <c r="I1015" s="135"/>
      <c r="J1015" s="135"/>
      <c r="K1015" s="135"/>
      <c r="L1015" s="135"/>
      <c r="M1015" s="135"/>
      <c r="N1015" s="135"/>
      <c r="O1015" s="93">
        <f t="shared" si="419"/>
        <v>0</v>
      </c>
      <c r="P1015" s="109"/>
      <c r="Q1015" s="109"/>
      <c r="R1015" s="109"/>
      <c r="S1015" s="109"/>
      <c r="T1015" s="109"/>
      <c r="U1015" s="109"/>
      <c r="V1015" s="109"/>
      <c r="W1015" s="109"/>
      <c r="X1015" s="109"/>
      <c r="Y1015" s="109"/>
      <c r="Z1015" s="109"/>
      <c r="AA1015" s="109"/>
      <c r="AB1015" s="109"/>
      <c r="AC1015" s="109"/>
      <c r="AD1015" s="109"/>
      <c r="AE1015" s="109"/>
      <c r="AF1015" s="109"/>
      <c r="AG1015" s="109"/>
      <c r="AH1015" s="109"/>
      <c r="AI1015" s="109"/>
      <c r="AJ1015" s="109"/>
      <c r="AK1015" s="109"/>
      <c r="AL1015" s="109"/>
      <c r="AM1015" s="109"/>
      <c r="AN1015" s="109"/>
      <c r="AO1015" s="109"/>
      <c r="AP1015" s="109"/>
      <c r="AQ1015" s="109"/>
      <c r="AR1015" s="109"/>
      <c r="AS1015" s="109"/>
      <c r="AT1015" s="109"/>
      <c r="AU1015" s="109"/>
      <c r="AV1015" s="109"/>
      <c r="AW1015" s="109"/>
      <c r="AX1015" s="109"/>
      <c r="AY1015" s="109"/>
      <c r="AZ1015" s="109"/>
      <c r="BA1015" s="109"/>
      <c r="BB1015" s="109"/>
      <c r="BC1015" s="109"/>
      <c r="BD1015" s="109"/>
      <c r="BE1015" s="109"/>
      <c r="BF1015" s="109"/>
      <c r="BG1015" s="109"/>
      <c r="BH1015" s="109"/>
      <c r="BI1015" s="109"/>
      <c r="BJ1015" s="109"/>
      <c r="BK1015" s="109"/>
      <c r="BL1015" s="109"/>
      <c r="BM1015" s="109"/>
      <c r="BN1015" s="109"/>
      <c r="BO1015" s="109"/>
      <c r="BP1015" s="109"/>
      <c r="BQ1015" s="109"/>
      <c r="BR1015" s="109"/>
      <c r="BS1015" s="109"/>
      <c r="BT1015" s="109"/>
      <c r="BU1015" s="109"/>
      <c r="BV1015" s="109"/>
    </row>
    <row r="1016" spans="1:74" s="110" customFormat="1" ht="16.5" thickBot="1" x14ac:dyDescent="0.25">
      <c r="A1016" s="382" t="s">
        <v>1126</v>
      </c>
      <c r="B1016" s="383" t="s">
        <v>1127</v>
      </c>
      <c r="C1016" s="384"/>
      <c r="D1016" s="384"/>
      <c r="E1016" s="384"/>
      <c r="F1016" s="384"/>
      <c r="G1016" s="384"/>
      <c r="H1016" s="384"/>
      <c r="I1016" s="384"/>
      <c r="J1016" s="384"/>
      <c r="K1016" s="384"/>
      <c r="L1016" s="384"/>
      <c r="M1016" s="384"/>
      <c r="N1016" s="384"/>
      <c r="O1016" s="379">
        <f t="shared" si="419"/>
        <v>0</v>
      </c>
      <c r="P1016" s="109"/>
      <c r="Q1016" s="109"/>
      <c r="R1016" s="109"/>
      <c r="S1016" s="109"/>
      <c r="T1016" s="109"/>
      <c r="U1016" s="109"/>
      <c r="V1016" s="109"/>
      <c r="W1016" s="109"/>
      <c r="X1016" s="109"/>
      <c r="Y1016" s="109"/>
      <c r="Z1016" s="109"/>
      <c r="AA1016" s="109"/>
      <c r="AB1016" s="109"/>
      <c r="AC1016" s="109"/>
      <c r="AD1016" s="109"/>
      <c r="AE1016" s="109"/>
      <c r="AF1016" s="109"/>
      <c r="AG1016" s="109"/>
      <c r="AH1016" s="109"/>
      <c r="AI1016" s="109"/>
      <c r="AJ1016" s="109"/>
      <c r="AK1016" s="109"/>
      <c r="AL1016" s="109"/>
      <c r="AM1016" s="109"/>
      <c r="AN1016" s="109"/>
      <c r="AO1016" s="109"/>
      <c r="AP1016" s="109"/>
      <c r="AQ1016" s="109"/>
      <c r="AR1016" s="109"/>
      <c r="AS1016" s="109"/>
      <c r="AT1016" s="109"/>
      <c r="AU1016" s="109"/>
      <c r="AV1016" s="109"/>
      <c r="AW1016" s="109"/>
      <c r="AX1016" s="109"/>
      <c r="AY1016" s="109"/>
      <c r="AZ1016" s="109"/>
      <c r="BA1016" s="109"/>
      <c r="BB1016" s="109"/>
      <c r="BC1016" s="109"/>
      <c r="BD1016" s="109"/>
      <c r="BE1016" s="109"/>
      <c r="BF1016" s="109"/>
      <c r="BG1016" s="109"/>
      <c r="BH1016" s="109"/>
      <c r="BI1016" s="109"/>
      <c r="BJ1016" s="109"/>
      <c r="BK1016" s="109"/>
      <c r="BL1016" s="109"/>
      <c r="BM1016" s="109"/>
      <c r="BN1016" s="109"/>
      <c r="BO1016" s="109"/>
      <c r="BP1016" s="109"/>
      <c r="BQ1016" s="109"/>
      <c r="BR1016" s="109"/>
      <c r="BS1016" s="109"/>
      <c r="BT1016" s="109"/>
      <c r="BU1016" s="109"/>
      <c r="BV1016" s="109"/>
    </row>
    <row r="1017" spans="1:74" s="112" customFormat="1" ht="16.5" thickBot="1" x14ac:dyDescent="0.25">
      <c r="A1017" s="476" t="s">
        <v>25</v>
      </c>
      <c r="B1017" s="477"/>
      <c r="C1017" s="381">
        <f>+C995</f>
        <v>0</v>
      </c>
      <c r="D1017" s="381">
        <f t="shared" ref="D1017:M1017" si="428">+D995</f>
        <v>0</v>
      </c>
      <c r="E1017" s="381">
        <f t="shared" si="428"/>
        <v>0</v>
      </c>
      <c r="F1017" s="381">
        <f t="shared" si="428"/>
        <v>0</v>
      </c>
      <c r="G1017" s="381">
        <f t="shared" si="428"/>
        <v>0</v>
      </c>
      <c r="H1017" s="381">
        <f t="shared" si="428"/>
        <v>0</v>
      </c>
      <c r="I1017" s="381">
        <f t="shared" si="428"/>
        <v>0</v>
      </c>
      <c r="J1017" s="381">
        <f t="shared" si="428"/>
        <v>0</v>
      </c>
      <c r="K1017" s="381">
        <f t="shared" si="428"/>
        <v>0</v>
      </c>
      <c r="L1017" s="381">
        <f t="shared" si="428"/>
        <v>0</v>
      </c>
      <c r="M1017" s="381">
        <f t="shared" si="428"/>
        <v>0</v>
      </c>
      <c r="N1017" s="381">
        <f>+N995</f>
        <v>0</v>
      </c>
      <c r="O1017" s="381">
        <f>SUM(C1017:N1017)</f>
        <v>0</v>
      </c>
      <c r="P1017" s="111"/>
      <c r="Q1017" s="111"/>
      <c r="R1017" s="111"/>
      <c r="S1017" s="111"/>
      <c r="T1017" s="111"/>
      <c r="U1017" s="111"/>
      <c r="V1017" s="111"/>
      <c r="W1017" s="111"/>
      <c r="X1017" s="111"/>
      <c r="Y1017" s="111"/>
      <c r="Z1017" s="111"/>
      <c r="AA1017" s="111"/>
      <c r="AB1017" s="111"/>
      <c r="AC1017" s="111"/>
      <c r="AD1017" s="111"/>
      <c r="AE1017" s="111"/>
      <c r="AF1017" s="111"/>
      <c r="AG1017" s="111"/>
      <c r="AH1017" s="111"/>
      <c r="AI1017" s="111"/>
      <c r="AJ1017" s="111"/>
      <c r="AK1017" s="111"/>
      <c r="AL1017" s="111"/>
      <c r="AM1017" s="111"/>
      <c r="AN1017" s="111"/>
      <c r="AO1017" s="111"/>
      <c r="AP1017" s="111"/>
      <c r="AQ1017" s="111"/>
      <c r="AR1017" s="111"/>
      <c r="AS1017" s="111"/>
      <c r="AT1017" s="111"/>
      <c r="AU1017" s="111"/>
      <c r="AV1017" s="111"/>
      <c r="AW1017" s="111"/>
      <c r="AX1017" s="111"/>
      <c r="AY1017" s="111"/>
      <c r="AZ1017" s="111"/>
      <c r="BA1017" s="111"/>
      <c r="BB1017" s="111"/>
      <c r="BC1017" s="111"/>
      <c r="BD1017" s="111"/>
      <c r="BE1017" s="111"/>
      <c r="BF1017" s="111"/>
      <c r="BG1017" s="111"/>
      <c r="BH1017" s="111"/>
      <c r="BI1017" s="111"/>
      <c r="BJ1017" s="111"/>
      <c r="BK1017" s="111"/>
      <c r="BL1017" s="111"/>
      <c r="BM1017" s="111"/>
      <c r="BN1017" s="111"/>
      <c r="BO1017" s="111"/>
      <c r="BP1017" s="111"/>
      <c r="BQ1017" s="111"/>
      <c r="BR1017" s="111"/>
      <c r="BS1017" s="111"/>
      <c r="BT1017" s="111"/>
      <c r="BU1017" s="111"/>
      <c r="BV1017" s="111"/>
    </row>
    <row r="1018" spans="1:74" s="117" customFormat="1" ht="16.5" thickBot="1" x14ac:dyDescent="0.25">
      <c r="A1018" s="478" t="s">
        <v>48</v>
      </c>
      <c r="B1018" s="479"/>
      <c r="C1018" s="62">
        <f t="shared" ref="C1018:O1018" si="429">+C1017+C988+C765</f>
        <v>5734052268</v>
      </c>
      <c r="D1018" s="62">
        <f t="shared" si="429"/>
        <v>0</v>
      </c>
      <c r="E1018" s="62">
        <f t="shared" si="429"/>
        <v>19982419247.690002</v>
      </c>
      <c r="F1018" s="62">
        <f t="shared" si="429"/>
        <v>111453376038.13</v>
      </c>
      <c r="G1018" s="62">
        <f t="shared" si="429"/>
        <v>386339505018.79999</v>
      </c>
      <c r="H1018" s="62">
        <f t="shared" si="429"/>
        <v>13422477804.6</v>
      </c>
      <c r="I1018" s="62">
        <f t="shared" si="429"/>
        <v>353771970.91000003</v>
      </c>
      <c r="J1018" s="62">
        <f t="shared" si="429"/>
        <v>0</v>
      </c>
      <c r="K1018" s="62">
        <f t="shared" si="429"/>
        <v>0</v>
      </c>
      <c r="L1018" s="62">
        <f t="shared" si="429"/>
        <v>0</v>
      </c>
      <c r="M1018" s="62">
        <f t="shared" si="429"/>
        <v>0</v>
      </c>
      <c r="N1018" s="62">
        <f t="shared" si="429"/>
        <v>0</v>
      </c>
      <c r="O1018" s="62">
        <f t="shared" si="429"/>
        <v>399815111271.37988</v>
      </c>
      <c r="P1018" s="63"/>
      <c r="Q1018" s="63"/>
      <c r="R1018" s="63"/>
      <c r="S1018" s="63"/>
      <c r="T1018" s="63"/>
      <c r="U1018" s="63"/>
      <c r="V1018" s="63"/>
      <c r="W1018" s="63"/>
      <c r="X1018" s="63"/>
      <c r="Y1018" s="63"/>
      <c r="Z1018" s="63"/>
      <c r="AA1018" s="63"/>
      <c r="AB1018" s="63"/>
      <c r="AC1018" s="63"/>
      <c r="AD1018" s="63"/>
      <c r="AE1018" s="63"/>
      <c r="AF1018" s="63"/>
      <c r="AG1018" s="63"/>
      <c r="AH1018" s="63"/>
      <c r="AI1018" s="63"/>
      <c r="AJ1018" s="63"/>
      <c r="AK1018" s="63"/>
      <c r="AL1018" s="63"/>
      <c r="AM1018" s="63"/>
      <c r="AN1018" s="63"/>
      <c r="AO1018" s="63"/>
      <c r="AP1018" s="63"/>
      <c r="AQ1018" s="63"/>
      <c r="AR1018" s="63"/>
      <c r="AS1018" s="63"/>
      <c r="AT1018" s="63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63"/>
      <c r="BI1018" s="63"/>
      <c r="BJ1018" s="63"/>
      <c r="BK1018" s="63"/>
      <c r="BL1018" s="63"/>
      <c r="BM1018" s="63"/>
      <c r="BN1018" s="63"/>
      <c r="BO1018" s="63"/>
      <c r="BP1018" s="63"/>
      <c r="BQ1018" s="63"/>
      <c r="BR1018" s="63"/>
      <c r="BS1018" s="63"/>
      <c r="BT1018" s="63"/>
      <c r="BU1018" s="63"/>
      <c r="BV1018" s="63"/>
    </row>
  </sheetData>
  <sheetProtection algorithmName="SHA-512" hashValue="roxOQMTIJbkEYxidrmi5EtyczZnnf1kXeKmSVfTub0yAsG5Z3QW47HcoagIOw3BM8CffmzXtIK7aOcrY+sAF0g==" saltValue="PsK60HhjUmHCaT350vCUIQ==" spinCount="100000" sheet="1" objects="1" scenarios="1"/>
  <mergeCells count="8">
    <mergeCell ref="A765:B765"/>
    <mergeCell ref="A1017:B1017"/>
    <mergeCell ref="A1018:B1018"/>
    <mergeCell ref="A988:B988"/>
    <mergeCell ref="B767:C767"/>
    <mergeCell ref="A994:B994"/>
    <mergeCell ref="A990:B990"/>
    <mergeCell ref="A992:B992"/>
  </mergeCells>
  <phoneticPr fontId="9" type="noConversion"/>
  <pageMargins left="0.39370078740157483" right="0.39370078740157483" top="0.74803149606299213" bottom="0.39370078740157483" header="0" footer="0.51181102362204722"/>
  <pageSetup paperSize="5" scale="85" orientation="landscape" r:id="rId1"/>
  <headerFooter alignWithMargins="0">
    <oddHeader>&amp;A</oddHeader>
    <oddFooter>&amp;CPágina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B61"/>
  <sheetViews>
    <sheetView zoomScale="85" zoomScaleNormal="8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I12" sqref="AI12"/>
    </sheetView>
  </sheetViews>
  <sheetFormatPr baseColWidth="10" defaultColWidth="11.42578125" defaultRowHeight="15" x14ac:dyDescent="0.2"/>
  <cols>
    <col min="1" max="1" width="23.42578125" style="22" customWidth="1"/>
    <col min="2" max="2" width="55.140625" style="1" customWidth="1"/>
    <col min="3" max="3" width="26" style="148" customWidth="1"/>
    <col min="4" max="4" width="24.85546875" style="186" bestFit="1" customWidth="1"/>
    <col min="5" max="5" width="19.28515625" style="125" hidden="1" customWidth="1"/>
    <col min="6" max="6" width="12.28515625" style="125" hidden="1" customWidth="1"/>
    <col min="7" max="7" width="22.28515625" style="125" hidden="1" customWidth="1"/>
    <col min="8" max="8" width="20" style="125" hidden="1" customWidth="1"/>
    <col min="9" max="9" width="22.140625" style="125" hidden="1" customWidth="1"/>
    <col min="10" max="10" width="24.85546875" style="125" customWidth="1"/>
    <col min="11" max="11" width="10.140625" style="125" bestFit="1" customWidth="1"/>
    <col min="12" max="12" width="13.28515625" style="125" customWidth="1"/>
    <col min="13" max="13" width="22.7109375" style="125" bestFit="1" customWidth="1"/>
    <col min="14" max="14" width="8.85546875" style="125" bestFit="1" customWidth="1"/>
    <col min="15" max="15" width="9" style="125" bestFit="1" customWidth="1"/>
    <col min="16" max="16" width="13.140625" style="125" customWidth="1"/>
    <col min="17" max="17" width="22.7109375" style="125" hidden="1" customWidth="1"/>
    <col min="18" max="18" width="8.7109375" style="125" customWidth="1"/>
    <col min="19" max="19" width="11.7109375" style="125" hidden="1" customWidth="1"/>
    <col min="20" max="20" width="17.140625" style="125" hidden="1" customWidth="1"/>
    <col min="21" max="21" width="13.42578125" style="125" hidden="1" customWidth="1"/>
    <col min="22" max="22" width="16.140625" style="125" hidden="1" customWidth="1"/>
    <col min="23" max="23" width="15.140625" style="125" hidden="1" customWidth="1"/>
    <col min="24" max="24" width="12.5703125" style="125" hidden="1" customWidth="1"/>
    <col min="25" max="25" width="24" style="125" hidden="1" customWidth="1"/>
    <col min="26" max="26" width="20.7109375" style="125" hidden="1" customWidth="1"/>
    <col min="27" max="27" width="22" style="125" customWidth="1"/>
    <col min="28" max="28" width="10.28515625" style="172" bestFit="1" customWidth="1"/>
    <col min="29" max="16384" width="11.42578125" style="1"/>
  </cols>
  <sheetData>
    <row r="7" spans="1:28" ht="15.75" thickBot="1" x14ac:dyDescent="0.25"/>
    <row r="8" spans="1:28" ht="38.25" customHeight="1" thickBot="1" x14ac:dyDescent="0.25">
      <c r="A8" s="467" t="s">
        <v>1891</v>
      </c>
      <c r="B8" s="468"/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468"/>
      <c r="R8" s="468"/>
      <c r="S8" s="468"/>
      <c r="T8" s="468"/>
      <c r="U8" s="468"/>
      <c r="V8" s="468"/>
      <c r="W8" s="468"/>
      <c r="X8" s="468"/>
      <c r="Y8" s="468"/>
      <c r="Z8" s="468"/>
      <c r="AA8" s="468"/>
      <c r="AB8" s="469"/>
    </row>
    <row r="9" spans="1:28" s="72" customFormat="1" x14ac:dyDescent="0.2">
      <c r="A9" s="470" t="s">
        <v>40</v>
      </c>
      <c r="B9" s="470" t="s">
        <v>244</v>
      </c>
      <c r="C9" s="450" t="s">
        <v>243</v>
      </c>
      <c r="D9" s="474" t="s">
        <v>240</v>
      </c>
      <c r="E9" s="450" t="s">
        <v>241</v>
      </c>
      <c r="F9" s="450" t="s">
        <v>27</v>
      </c>
      <c r="G9" s="450" t="s">
        <v>28</v>
      </c>
      <c r="H9" s="450" t="s">
        <v>38</v>
      </c>
      <c r="I9" s="450" t="s">
        <v>379</v>
      </c>
      <c r="J9" s="450" t="s">
        <v>242</v>
      </c>
      <c r="K9" s="450" t="s">
        <v>4</v>
      </c>
      <c r="L9" s="450" t="s">
        <v>5</v>
      </c>
      <c r="M9" s="450" t="s">
        <v>6</v>
      </c>
      <c r="N9" s="450" t="s">
        <v>7</v>
      </c>
      <c r="O9" s="450" t="s">
        <v>8</v>
      </c>
      <c r="P9" s="450" t="s">
        <v>39</v>
      </c>
      <c r="Q9" s="450" t="s">
        <v>245</v>
      </c>
      <c r="R9" s="450" t="s">
        <v>11</v>
      </c>
      <c r="S9" s="450" t="s">
        <v>12</v>
      </c>
      <c r="T9" s="450" t="s">
        <v>13</v>
      </c>
      <c r="U9" s="450" t="s">
        <v>14</v>
      </c>
      <c r="V9" s="450" t="s">
        <v>15</v>
      </c>
      <c r="W9" s="450" t="s">
        <v>16</v>
      </c>
      <c r="X9" s="450" t="s">
        <v>50</v>
      </c>
      <c r="Y9" s="450" t="s">
        <v>51</v>
      </c>
      <c r="Z9" s="450" t="s">
        <v>248</v>
      </c>
      <c r="AA9" s="450" t="s">
        <v>246</v>
      </c>
      <c r="AB9" s="457" t="s">
        <v>247</v>
      </c>
    </row>
    <row r="10" spans="1:28" s="152" customFormat="1" ht="22.5" customHeight="1" thickBot="1" x14ac:dyDescent="0.25">
      <c r="A10" s="471"/>
      <c r="B10" s="471"/>
      <c r="C10" s="451"/>
      <c r="D10" s="475"/>
      <c r="E10" s="451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8"/>
    </row>
    <row r="11" spans="1:28" s="249" customFormat="1" ht="26.25" customHeight="1" x14ac:dyDescent="0.2">
      <c r="A11" s="250"/>
      <c r="B11" s="244" t="s">
        <v>1166</v>
      </c>
      <c r="C11" s="245">
        <f>+C12+C29</f>
        <v>120026931916.25002</v>
      </c>
      <c r="D11" s="245">
        <f>+D12+D29</f>
        <v>21672702486</v>
      </c>
      <c r="E11" s="245">
        <f t="shared" ref="E11:I11" si="0">+E12+E29</f>
        <v>0</v>
      </c>
      <c r="F11" s="245">
        <f t="shared" si="0"/>
        <v>0</v>
      </c>
      <c r="G11" s="245">
        <f t="shared" si="0"/>
        <v>0</v>
      </c>
      <c r="H11" s="245">
        <f t="shared" si="0"/>
        <v>0</v>
      </c>
      <c r="I11" s="245">
        <f t="shared" si="0"/>
        <v>0</v>
      </c>
      <c r="J11" s="246">
        <f t="shared" ref="J11:J44" si="1">+C11+D11-E11+F11-G11</f>
        <v>141699634402.25</v>
      </c>
      <c r="K11" s="245">
        <f t="shared" ref="K11:P11" si="2">+K12+K29</f>
        <v>0</v>
      </c>
      <c r="L11" s="245">
        <f t="shared" si="2"/>
        <v>0</v>
      </c>
      <c r="M11" s="310">
        <f t="shared" si="2"/>
        <v>30090958332.719997</v>
      </c>
      <c r="N11" s="245">
        <f t="shared" si="2"/>
        <v>0</v>
      </c>
      <c r="O11" s="245">
        <f t="shared" si="2"/>
        <v>0</v>
      </c>
      <c r="P11" s="245">
        <f t="shared" si="2"/>
        <v>0</v>
      </c>
      <c r="Q11" s="246">
        <f>SUM(K11:P11)</f>
        <v>30090958332.719997</v>
      </c>
      <c r="R11" s="245">
        <f t="shared" ref="R11:Y11" si="3">+R12+R29</f>
        <v>0</v>
      </c>
      <c r="S11" s="245">
        <f t="shared" si="3"/>
        <v>0</v>
      </c>
      <c r="T11" s="245">
        <f t="shared" si="3"/>
        <v>0</v>
      </c>
      <c r="U11" s="245">
        <f t="shared" si="3"/>
        <v>0</v>
      </c>
      <c r="V11" s="245">
        <f t="shared" si="3"/>
        <v>0</v>
      </c>
      <c r="W11" s="245">
        <f t="shared" si="3"/>
        <v>0</v>
      </c>
      <c r="X11" s="245">
        <f t="shared" si="3"/>
        <v>0</v>
      </c>
      <c r="Y11" s="245">
        <f t="shared" si="3"/>
        <v>0</v>
      </c>
      <c r="Z11" s="246">
        <f>SUM(R11:Y11)</f>
        <v>0</v>
      </c>
      <c r="AA11" s="246">
        <f>+Q11+Z11</f>
        <v>30090958332.719997</v>
      </c>
      <c r="AB11" s="247">
        <f>+AA11/J11</f>
        <v>0.21235734629561043</v>
      </c>
    </row>
    <row r="12" spans="1:28" s="214" customFormat="1" ht="33.75" customHeight="1" x14ac:dyDescent="0.2">
      <c r="A12" s="212" t="s">
        <v>1162</v>
      </c>
      <c r="B12" s="213" t="s">
        <v>1163</v>
      </c>
      <c r="C12" s="220">
        <f>+C13</f>
        <v>30588431989.549999</v>
      </c>
      <c r="D12" s="220">
        <f t="shared" ref="D12:I15" si="4">+D13</f>
        <v>0</v>
      </c>
      <c r="E12" s="220">
        <f t="shared" si="4"/>
        <v>0</v>
      </c>
      <c r="F12" s="220">
        <f t="shared" si="4"/>
        <v>0</v>
      </c>
      <c r="G12" s="220">
        <f t="shared" si="4"/>
        <v>0</v>
      </c>
      <c r="H12" s="220">
        <f t="shared" si="4"/>
        <v>0</v>
      </c>
      <c r="I12" s="220">
        <f t="shared" si="4"/>
        <v>0</v>
      </c>
      <c r="J12" s="206">
        <f t="shared" si="1"/>
        <v>30588431989.549999</v>
      </c>
      <c r="K12" s="220">
        <f t="shared" ref="K12:P15" si="5">+K13</f>
        <v>0</v>
      </c>
      <c r="L12" s="220">
        <f t="shared" si="5"/>
        <v>0</v>
      </c>
      <c r="M12" s="311">
        <f t="shared" si="5"/>
        <v>1945247759.51</v>
      </c>
      <c r="N12" s="220">
        <f t="shared" si="5"/>
        <v>0</v>
      </c>
      <c r="O12" s="220">
        <f t="shared" si="5"/>
        <v>0</v>
      </c>
      <c r="P12" s="220">
        <f t="shared" si="5"/>
        <v>0</v>
      </c>
      <c r="Q12" s="206">
        <f>SUM(K12:P12)</f>
        <v>1945247759.51</v>
      </c>
      <c r="R12" s="220">
        <f t="shared" ref="R12:Y15" si="6">+R13</f>
        <v>0</v>
      </c>
      <c r="S12" s="220">
        <f t="shared" si="6"/>
        <v>0</v>
      </c>
      <c r="T12" s="220">
        <f t="shared" si="6"/>
        <v>0</v>
      </c>
      <c r="U12" s="220">
        <f t="shared" si="6"/>
        <v>0</v>
      </c>
      <c r="V12" s="220">
        <f t="shared" si="6"/>
        <v>0</v>
      </c>
      <c r="W12" s="220">
        <f t="shared" si="6"/>
        <v>0</v>
      </c>
      <c r="X12" s="220">
        <f t="shared" si="6"/>
        <v>0</v>
      </c>
      <c r="Y12" s="220">
        <f t="shared" si="6"/>
        <v>0</v>
      </c>
      <c r="Z12" s="206">
        <f>SUM(R12:Y12)</f>
        <v>0</v>
      </c>
      <c r="AA12" s="206">
        <f>+Q12+Z12</f>
        <v>1945247759.51</v>
      </c>
      <c r="AB12" s="207">
        <f>+AA12/J12</f>
        <v>6.3594229353585691E-2</v>
      </c>
    </row>
    <row r="13" spans="1:28" s="214" customFormat="1" ht="19.5" x14ac:dyDescent="0.2">
      <c r="A13" s="212" t="s">
        <v>382</v>
      </c>
      <c r="B13" s="213" t="s">
        <v>1164</v>
      </c>
      <c r="C13" s="220">
        <f>+C14</f>
        <v>30588431989.549999</v>
      </c>
      <c r="D13" s="220">
        <f t="shared" si="4"/>
        <v>0</v>
      </c>
      <c r="E13" s="220">
        <f t="shared" si="4"/>
        <v>0</v>
      </c>
      <c r="F13" s="220">
        <f t="shared" si="4"/>
        <v>0</v>
      </c>
      <c r="G13" s="220">
        <f t="shared" si="4"/>
        <v>0</v>
      </c>
      <c r="H13" s="220">
        <f t="shared" si="4"/>
        <v>0</v>
      </c>
      <c r="I13" s="220">
        <f t="shared" si="4"/>
        <v>0</v>
      </c>
      <c r="J13" s="206">
        <f t="shared" si="1"/>
        <v>30588431989.549999</v>
      </c>
      <c r="K13" s="220">
        <f t="shared" si="5"/>
        <v>0</v>
      </c>
      <c r="L13" s="220">
        <f t="shared" si="5"/>
        <v>0</v>
      </c>
      <c r="M13" s="311">
        <f t="shared" si="5"/>
        <v>1945247759.51</v>
      </c>
      <c r="N13" s="220">
        <f t="shared" si="5"/>
        <v>0</v>
      </c>
      <c r="O13" s="220">
        <f t="shared" si="5"/>
        <v>0</v>
      </c>
      <c r="P13" s="220">
        <f t="shared" si="5"/>
        <v>0</v>
      </c>
      <c r="Q13" s="206">
        <f>SUM(K13:P13)</f>
        <v>1945247759.51</v>
      </c>
      <c r="R13" s="220">
        <f t="shared" si="6"/>
        <v>0</v>
      </c>
      <c r="S13" s="220">
        <f t="shared" si="6"/>
        <v>0</v>
      </c>
      <c r="T13" s="220">
        <f t="shared" si="6"/>
        <v>0</v>
      </c>
      <c r="U13" s="220">
        <f t="shared" si="6"/>
        <v>0</v>
      </c>
      <c r="V13" s="220">
        <f t="shared" si="6"/>
        <v>0</v>
      </c>
      <c r="W13" s="220">
        <f t="shared" si="6"/>
        <v>0</v>
      </c>
      <c r="X13" s="220">
        <f t="shared" si="6"/>
        <v>0</v>
      </c>
      <c r="Y13" s="220">
        <f t="shared" si="6"/>
        <v>0</v>
      </c>
      <c r="Z13" s="206">
        <f>SUM(R13:Y13)</f>
        <v>0</v>
      </c>
      <c r="AA13" s="206">
        <f>+Q13+Z13</f>
        <v>1945247759.51</v>
      </c>
      <c r="AB13" s="207">
        <f>+AA13/J13</f>
        <v>6.3594229353585691E-2</v>
      </c>
    </row>
    <row r="14" spans="1:28" s="214" customFormat="1" ht="19.5" x14ac:dyDescent="0.2">
      <c r="A14" s="212" t="s">
        <v>1128</v>
      </c>
      <c r="B14" s="213" t="s">
        <v>211</v>
      </c>
      <c r="C14" s="220">
        <f>+C15</f>
        <v>30588431989.549999</v>
      </c>
      <c r="D14" s="220">
        <f t="shared" si="4"/>
        <v>0</v>
      </c>
      <c r="E14" s="220">
        <f t="shared" si="4"/>
        <v>0</v>
      </c>
      <c r="F14" s="220">
        <f t="shared" si="4"/>
        <v>0</v>
      </c>
      <c r="G14" s="220">
        <f t="shared" si="4"/>
        <v>0</v>
      </c>
      <c r="H14" s="220">
        <f t="shared" si="4"/>
        <v>0</v>
      </c>
      <c r="I14" s="220">
        <f t="shared" si="4"/>
        <v>0</v>
      </c>
      <c r="J14" s="206">
        <f t="shared" si="1"/>
        <v>30588431989.549999</v>
      </c>
      <c r="K14" s="220">
        <f t="shared" si="5"/>
        <v>0</v>
      </c>
      <c r="L14" s="220">
        <f t="shared" si="5"/>
        <v>0</v>
      </c>
      <c r="M14" s="311">
        <f t="shared" si="5"/>
        <v>1945247759.51</v>
      </c>
      <c r="N14" s="220">
        <f t="shared" si="5"/>
        <v>0</v>
      </c>
      <c r="O14" s="220">
        <f t="shared" si="5"/>
        <v>0</v>
      </c>
      <c r="P14" s="220">
        <f t="shared" si="5"/>
        <v>0</v>
      </c>
      <c r="Q14" s="206">
        <f t="shared" ref="Q14:Q44" si="7">SUM(K14:P14)</f>
        <v>1945247759.51</v>
      </c>
      <c r="R14" s="220">
        <f t="shared" si="6"/>
        <v>0</v>
      </c>
      <c r="S14" s="220">
        <f t="shared" si="6"/>
        <v>0</v>
      </c>
      <c r="T14" s="220">
        <f t="shared" si="6"/>
        <v>0</v>
      </c>
      <c r="U14" s="220">
        <f t="shared" si="6"/>
        <v>0</v>
      </c>
      <c r="V14" s="220">
        <f t="shared" si="6"/>
        <v>0</v>
      </c>
      <c r="W14" s="220">
        <f t="shared" si="6"/>
        <v>0</v>
      </c>
      <c r="X14" s="220">
        <f t="shared" si="6"/>
        <v>0</v>
      </c>
      <c r="Y14" s="220">
        <f t="shared" si="6"/>
        <v>0</v>
      </c>
      <c r="Z14" s="206">
        <f t="shared" ref="Z14:Z17" si="8">SUM(R14:Y14)</f>
        <v>0</v>
      </c>
      <c r="AA14" s="206">
        <f t="shared" ref="AA14:AA44" si="9">+Q14+Z14</f>
        <v>1945247759.51</v>
      </c>
      <c r="AB14" s="207">
        <f t="shared" ref="AB14:AB44" si="10">+AA14/J14</f>
        <v>6.3594229353585691E-2</v>
      </c>
    </row>
    <row r="15" spans="1:28" s="63" customFormat="1" ht="31.5" x14ac:dyDescent="0.2">
      <c r="A15" s="81" t="s">
        <v>1129</v>
      </c>
      <c r="B15" s="79" t="s">
        <v>1130</v>
      </c>
      <c r="C15" s="223">
        <f>+C16</f>
        <v>30588431989.549999</v>
      </c>
      <c r="D15" s="223">
        <f t="shared" si="4"/>
        <v>0</v>
      </c>
      <c r="E15" s="223">
        <f t="shared" si="4"/>
        <v>0</v>
      </c>
      <c r="F15" s="223">
        <f t="shared" si="4"/>
        <v>0</v>
      </c>
      <c r="G15" s="223">
        <f t="shared" si="4"/>
        <v>0</v>
      </c>
      <c r="H15" s="223">
        <f t="shared" si="4"/>
        <v>0</v>
      </c>
      <c r="I15" s="223">
        <f t="shared" si="4"/>
        <v>0</v>
      </c>
      <c r="J15" s="78">
        <f t="shared" si="1"/>
        <v>30588431989.549999</v>
      </c>
      <c r="K15" s="223">
        <f t="shared" si="5"/>
        <v>0</v>
      </c>
      <c r="L15" s="223">
        <f t="shared" si="5"/>
        <v>0</v>
      </c>
      <c r="M15" s="312">
        <f t="shared" si="5"/>
        <v>1945247759.51</v>
      </c>
      <c r="N15" s="223">
        <f t="shared" si="5"/>
        <v>0</v>
      </c>
      <c r="O15" s="223">
        <f t="shared" si="5"/>
        <v>0</v>
      </c>
      <c r="P15" s="223">
        <f t="shared" si="5"/>
        <v>0</v>
      </c>
      <c r="Q15" s="78">
        <f t="shared" si="7"/>
        <v>1945247759.51</v>
      </c>
      <c r="R15" s="223">
        <f t="shared" si="6"/>
        <v>0</v>
      </c>
      <c r="S15" s="223">
        <f t="shared" si="6"/>
        <v>0</v>
      </c>
      <c r="T15" s="223">
        <f t="shared" si="6"/>
        <v>0</v>
      </c>
      <c r="U15" s="223">
        <f t="shared" si="6"/>
        <v>0</v>
      </c>
      <c r="V15" s="223">
        <f t="shared" si="6"/>
        <v>0</v>
      </c>
      <c r="W15" s="223">
        <f t="shared" si="6"/>
        <v>0</v>
      </c>
      <c r="X15" s="223">
        <f t="shared" si="6"/>
        <v>0</v>
      </c>
      <c r="Y15" s="223">
        <f t="shared" si="6"/>
        <v>0</v>
      </c>
      <c r="Z15" s="78">
        <f t="shared" si="8"/>
        <v>0</v>
      </c>
      <c r="AA15" s="78">
        <f t="shared" si="9"/>
        <v>1945247759.51</v>
      </c>
      <c r="AB15" s="174">
        <f t="shared" si="10"/>
        <v>6.3594229353585691E-2</v>
      </c>
    </row>
    <row r="16" spans="1:28" s="63" customFormat="1" ht="30" customHeight="1" x14ac:dyDescent="0.2">
      <c r="A16" s="81" t="s">
        <v>1131</v>
      </c>
      <c r="B16" s="194" t="s">
        <v>1132</v>
      </c>
      <c r="C16" s="223">
        <f>+C17+C20</f>
        <v>30588431989.549999</v>
      </c>
      <c r="D16" s="223">
        <f t="shared" ref="D16:I16" si="11">+D17+D20</f>
        <v>0</v>
      </c>
      <c r="E16" s="223">
        <f t="shared" si="11"/>
        <v>0</v>
      </c>
      <c r="F16" s="223">
        <f t="shared" si="11"/>
        <v>0</v>
      </c>
      <c r="G16" s="223">
        <f t="shared" si="11"/>
        <v>0</v>
      </c>
      <c r="H16" s="223">
        <f t="shared" si="11"/>
        <v>0</v>
      </c>
      <c r="I16" s="223">
        <f t="shared" si="11"/>
        <v>0</v>
      </c>
      <c r="J16" s="78">
        <f t="shared" si="1"/>
        <v>30588431989.549999</v>
      </c>
      <c r="K16" s="223">
        <f t="shared" ref="K16:P16" si="12">+K17+K20</f>
        <v>0</v>
      </c>
      <c r="L16" s="223">
        <f t="shared" si="12"/>
        <v>0</v>
      </c>
      <c r="M16" s="312">
        <f t="shared" si="12"/>
        <v>1945247759.51</v>
      </c>
      <c r="N16" s="223">
        <f t="shared" si="12"/>
        <v>0</v>
      </c>
      <c r="O16" s="223">
        <f t="shared" si="12"/>
        <v>0</v>
      </c>
      <c r="P16" s="223">
        <f t="shared" si="12"/>
        <v>0</v>
      </c>
      <c r="Q16" s="78">
        <f t="shared" si="7"/>
        <v>1945247759.51</v>
      </c>
      <c r="R16" s="223">
        <f t="shared" ref="R16:Y16" si="13">+R17+R20</f>
        <v>0</v>
      </c>
      <c r="S16" s="223">
        <f t="shared" si="13"/>
        <v>0</v>
      </c>
      <c r="T16" s="223">
        <f t="shared" si="13"/>
        <v>0</v>
      </c>
      <c r="U16" s="223">
        <f t="shared" si="13"/>
        <v>0</v>
      </c>
      <c r="V16" s="223">
        <f t="shared" si="13"/>
        <v>0</v>
      </c>
      <c r="W16" s="223">
        <f t="shared" si="13"/>
        <v>0</v>
      </c>
      <c r="X16" s="223">
        <f t="shared" si="13"/>
        <v>0</v>
      </c>
      <c r="Y16" s="223">
        <f t="shared" si="13"/>
        <v>0</v>
      </c>
      <c r="Z16" s="78">
        <f t="shared" si="8"/>
        <v>0</v>
      </c>
      <c r="AA16" s="78">
        <f t="shared" si="9"/>
        <v>1945247759.51</v>
      </c>
      <c r="AB16" s="174">
        <f t="shared" si="10"/>
        <v>6.3594229353585691E-2</v>
      </c>
    </row>
    <row r="17" spans="1:28" s="63" customFormat="1" ht="31.5" x14ac:dyDescent="0.2">
      <c r="A17" s="81" t="s">
        <v>1133</v>
      </c>
      <c r="B17" s="79" t="s">
        <v>1134</v>
      </c>
      <c r="C17" s="223">
        <f>+C18</f>
        <v>2046414.92</v>
      </c>
      <c r="D17" s="223">
        <f t="shared" ref="D17:I18" si="14">+D18</f>
        <v>0</v>
      </c>
      <c r="E17" s="223">
        <f t="shared" si="14"/>
        <v>0</v>
      </c>
      <c r="F17" s="223">
        <f t="shared" si="14"/>
        <v>0</v>
      </c>
      <c r="G17" s="223">
        <f t="shared" si="14"/>
        <v>0</v>
      </c>
      <c r="H17" s="223">
        <f t="shared" si="14"/>
        <v>0</v>
      </c>
      <c r="I17" s="223">
        <f t="shared" si="14"/>
        <v>0</v>
      </c>
      <c r="J17" s="78">
        <f t="shared" si="1"/>
        <v>2046414.92</v>
      </c>
      <c r="K17" s="223">
        <f t="shared" ref="K17:P18" si="15">+K18</f>
        <v>0</v>
      </c>
      <c r="L17" s="223">
        <f t="shared" si="15"/>
        <v>0</v>
      </c>
      <c r="M17" s="312">
        <f t="shared" si="15"/>
        <v>2046414.92</v>
      </c>
      <c r="N17" s="223">
        <f t="shared" si="15"/>
        <v>0</v>
      </c>
      <c r="O17" s="223">
        <f t="shared" si="15"/>
        <v>0</v>
      </c>
      <c r="P17" s="223">
        <f t="shared" si="15"/>
        <v>0</v>
      </c>
      <c r="Q17" s="78">
        <f t="shared" si="7"/>
        <v>2046414.92</v>
      </c>
      <c r="R17" s="223">
        <f t="shared" ref="R17:Y18" si="16">+R18</f>
        <v>0</v>
      </c>
      <c r="S17" s="223">
        <f t="shared" si="16"/>
        <v>0</v>
      </c>
      <c r="T17" s="223">
        <f t="shared" si="16"/>
        <v>0</v>
      </c>
      <c r="U17" s="223">
        <f t="shared" si="16"/>
        <v>0</v>
      </c>
      <c r="V17" s="223">
        <f t="shared" si="16"/>
        <v>0</v>
      </c>
      <c r="W17" s="223">
        <f t="shared" si="16"/>
        <v>0</v>
      </c>
      <c r="X17" s="223">
        <f t="shared" si="16"/>
        <v>0</v>
      </c>
      <c r="Y17" s="223">
        <f t="shared" si="16"/>
        <v>0</v>
      </c>
      <c r="Z17" s="78">
        <f t="shared" si="8"/>
        <v>0</v>
      </c>
      <c r="AA17" s="78">
        <f t="shared" si="9"/>
        <v>2046414.92</v>
      </c>
      <c r="AB17" s="174">
        <f t="shared" si="10"/>
        <v>1</v>
      </c>
    </row>
    <row r="18" spans="1:28" s="63" customFormat="1" ht="65.25" customHeight="1" x14ac:dyDescent="0.2">
      <c r="A18" s="81" t="s">
        <v>1135</v>
      </c>
      <c r="B18" s="194" t="s">
        <v>1136</v>
      </c>
      <c r="C18" s="223">
        <f>+C19</f>
        <v>2046414.92</v>
      </c>
      <c r="D18" s="223">
        <f t="shared" si="14"/>
        <v>0</v>
      </c>
      <c r="E18" s="223">
        <f t="shared" si="14"/>
        <v>0</v>
      </c>
      <c r="F18" s="223">
        <f t="shared" si="14"/>
        <v>0</v>
      </c>
      <c r="G18" s="223">
        <f t="shared" si="14"/>
        <v>0</v>
      </c>
      <c r="H18" s="223">
        <f t="shared" si="14"/>
        <v>0</v>
      </c>
      <c r="I18" s="223">
        <f t="shared" si="14"/>
        <v>0</v>
      </c>
      <c r="J18" s="78">
        <f t="shared" si="1"/>
        <v>2046414.92</v>
      </c>
      <c r="K18" s="223">
        <f t="shared" si="15"/>
        <v>0</v>
      </c>
      <c r="L18" s="223">
        <f t="shared" si="15"/>
        <v>0</v>
      </c>
      <c r="M18" s="312">
        <f t="shared" si="15"/>
        <v>2046414.92</v>
      </c>
      <c r="N18" s="223">
        <f t="shared" si="15"/>
        <v>0</v>
      </c>
      <c r="O18" s="223">
        <f t="shared" si="15"/>
        <v>0</v>
      </c>
      <c r="P18" s="223">
        <f t="shared" si="15"/>
        <v>0</v>
      </c>
      <c r="Q18" s="78">
        <f t="shared" si="7"/>
        <v>2046414.92</v>
      </c>
      <c r="R18" s="223">
        <f t="shared" si="16"/>
        <v>0</v>
      </c>
      <c r="S18" s="223">
        <f t="shared" si="16"/>
        <v>0</v>
      </c>
      <c r="T18" s="223">
        <f t="shared" si="16"/>
        <v>0</v>
      </c>
      <c r="U18" s="223">
        <f t="shared" si="16"/>
        <v>0</v>
      </c>
      <c r="V18" s="223">
        <f t="shared" si="16"/>
        <v>0</v>
      </c>
      <c r="W18" s="223">
        <f t="shared" si="16"/>
        <v>0</v>
      </c>
      <c r="X18" s="223">
        <f t="shared" si="16"/>
        <v>0</v>
      </c>
      <c r="Y18" s="223">
        <f t="shared" si="16"/>
        <v>0</v>
      </c>
      <c r="Z18" s="78">
        <f>SUM(R18:Y18)</f>
        <v>0</v>
      </c>
      <c r="AA18" s="78">
        <f t="shared" si="9"/>
        <v>2046414.92</v>
      </c>
      <c r="AB18" s="174">
        <f t="shared" si="10"/>
        <v>1</v>
      </c>
    </row>
    <row r="19" spans="1:28" ht="42.75" x14ac:dyDescent="0.2">
      <c r="A19" s="76" t="s">
        <v>1137</v>
      </c>
      <c r="B19" s="77" t="s">
        <v>1138</v>
      </c>
      <c r="C19" s="41">
        <v>2046414.92</v>
      </c>
      <c r="D19" s="41"/>
      <c r="E19" s="41"/>
      <c r="F19" s="41"/>
      <c r="G19" s="41"/>
      <c r="H19" s="41"/>
      <c r="I19" s="41"/>
      <c r="J19" s="128">
        <f t="shared" si="1"/>
        <v>2046414.92</v>
      </c>
      <c r="K19" s="41"/>
      <c r="L19" s="41"/>
      <c r="M19" s="128">
        <v>2046414.92</v>
      </c>
      <c r="N19" s="41"/>
      <c r="O19" s="41"/>
      <c r="P19" s="41"/>
      <c r="Q19" s="128">
        <f t="shared" si="7"/>
        <v>2046414.92</v>
      </c>
      <c r="R19" s="41"/>
      <c r="S19" s="41"/>
      <c r="T19" s="41"/>
      <c r="U19" s="41"/>
      <c r="V19" s="41"/>
      <c r="W19" s="41"/>
      <c r="X19" s="41"/>
      <c r="Y19" s="41"/>
      <c r="Z19" s="128">
        <f t="shared" ref="Z19:Z29" si="17">SUM(R19:Y19)</f>
        <v>0</v>
      </c>
      <c r="AA19" s="128">
        <f t="shared" si="9"/>
        <v>2046414.92</v>
      </c>
      <c r="AB19" s="175">
        <f t="shared" si="10"/>
        <v>1</v>
      </c>
    </row>
    <row r="20" spans="1:28" s="63" customFormat="1" ht="25.5" customHeight="1" x14ac:dyDescent="0.2">
      <c r="A20" s="81" t="s">
        <v>1139</v>
      </c>
      <c r="B20" s="194" t="s">
        <v>1140</v>
      </c>
      <c r="C20" s="146">
        <f>+C21+C23+C25+C27</f>
        <v>30586385574.630001</v>
      </c>
      <c r="D20" s="146">
        <f t="shared" ref="D20:I20" si="18">+D21+D23+D25+D27</f>
        <v>0</v>
      </c>
      <c r="E20" s="146">
        <f t="shared" si="18"/>
        <v>0</v>
      </c>
      <c r="F20" s="146">
        <f t="shared" si="18"/>
        <v>0</v>
      </c>
      <c r="G20" s="146">
        <f t="shared" si="18"/>
        <v>0</v>
      </c>
      <c r="H20" s="146">
        <f t="shared" si="18"/>
        <v>0</v>
      </c>
      <c r="I20" s="146">
        <f t="shared" si="18"/>
        <v>0</v>
      </c>
      <c r="J20" s="78">
        <f t="shared" si="1"/>
        <v>30586385574.630001</v>
      </c>
      <c r="K20" s="146">
        <f t="shared" ref="K20:P20" si="19">+K21+K23+K25+K27</f>
        <v>0</v>
      </c>
      <c r="L20" s="146">
        <f t="shared" si="19"/>
        <v>0</v>
      </c>
      <c r="M20" s="78">
        <f t="shared" si="19"/>
        <v>1943201344.5899999</v>
      </c>
      <c r="N20" s="146">
        <f t="shared" si="19"/>
        <v>0</v>
      </c>
      <c r="O20" s="146">
        <f t="shared" si="19"/>
        <v>0</v>
      </c>
      <c r="P20" s="146">
        <f t="shared" si="19"/>
        <v>0</v>
      </c>
      <c r="Q20" s="78">
        <f t="shared" si="7"/>
        <v>1943201344.5899999</v>
      </c>
      <c r="R20" s="146">
        <f t="shared" ref="R20:Y20" si="20">+R21+R23+R25+R27</f>
        <v>0</v>
      </c>
      <c r="S20" s="146">
        <f t="shared" si="20"/>
        <v>0</v>
      </c>
      <c r="T20" s="146">
        <f t="shared" si="20"/>
        <v>0</v>
      </c>
      <c r="U20" s="146">
        <f t="shared" si="20"/>
        <v>0</v>
      </c>
      <c r="V20" s="146">
        <f t="shared" si="20"/>
        <v>0</v>
      </c>
      <c r="W20" s="146">
        <f t="shared" si="20"/>
        <v>0</v>
      </c>
      <c r="X20" s="146">
        <f t="shared" si="20"/>
        <v>0</v>
      </c>
      <c r="Y20" s="146">
        <f t="shared" si="20"/>
        <v>0</v>
      </c>
      <c r="Z20" s="78">
        <f t="shared" si="17"/>
        <v>0</v>
      </c>
      <c r="AA20" s="78">
        <f t="shared" si="9"/>
        <v>1943201344.5899999</v>
      </c>
      <c r="AB20" s="174">
        <f t="shared" si="10"/>
        <v>6.3531578121535093E-2</v>
      </c>
    </row>
    <row r="21" spans="1:28" s="63" customFormat="1" ht="15.75" x14ac:dyDescent="0.2">
      <c r="A21" s="81" t="s">
        <v>1141</v>
      </c>
      <c r="B21" s="79" t="s">
        <v>1142</v>
      </c>
      <c r="C21" s="146">
        <f>+C22</f>
        <v>28145710573.209999</v>
      </c>
      <c r="D21" s="146">
        <f t="shared" ref="D21:I21" si="21">+D22</f>
        <v>0</v>
      </c>
      <c r="E21" s="146">
        <f t="shared" si="21"/>
        <v>0</v>
      </c>
      <c r="F21" s="146">
        <f t="shared" si="21"/>
        <v>0</v>
      </c>
      <c r="G21" s="146">
        <f t="shared" si="21"/>
        <v>0</v>
      </c>
      <c r="H21" s="146">
        <f t="shared" si="21"/>
        <v>0</v>
      </c>
      <c r="I21" s="146">
        <f t="shared" si="21"/>
        <v>0</v>
      </c>
      <c r="J21" s="78">
        <f t="shared" si="1"/>
        <v>28145710573.209999</v>
      </c>
      <c r="K21" s="146">
        <f t="shared" ref="K21:P21" si="22">+K22</f>
        <v>0</v>
      </c>
      <c r="L21" s="146">
        <f t="shared" si="22"/>
        <v>0</v>
      </c>
      <c r="M21" s="78">
        <f t="shared" si="22"/>
        <v>0</v>
      </c>
      <c r="N21" s="146">
        <f t="shared" si="22"/>
        <v>0</v>
      </c>
      <c r="O21" s="146">
        <f t="shared" si="22"/>
        <v>0</v>
      </c>
      <c r="P21" s="146">
        <f t="shared" si="22"/>
        <v>0</v>
      </c>
      <c r="Q21" s="78">
        <f t="shared" si="7"/>
        <v>0</v>
      </c>
      <c r="R21" s="146">
        <f t="shared" ref="R21:Y21" si="23">+R22</f>
        <v>0</v>
      </c>
      <c r="S21" s="146">
        <f t="shared" si="23"/>
        <v>0</v>
      </c>
      <c r="T21" s="146">
        <f t="shared" si="23"/>
        <v>0</v>
      </c>
      <c r="U21" s="146">
        <f t="shared" si="23"/>
        <v>0</v>
      </c>
      <c r="V21" s="146">
        <f t="shared" si="23"/>
        <v>0</v>
      </c>
      <c r="W21" s="146">
        <f t="shared" si="23"/>
        <v>0</v>
      </c>
      <c r="X21" s="146">
        <f t="shared" si="23"/>
        <v>0</v>
      </c>
      <c r="Y21" s="146">
        <f t="shared" si="23"/>
        <v>0</v>
      </c>
      <c r="Z21" s="78">
        <f t="shared" si="17"/>
        <v>0</v>
      </c>
      <c r="AA21" s="78">
        <f t="shared" si="9"/>
        <v>0</v>
      </c>
      <c r="AB21" s="174">
        <f t="shared" si="10"/>
        <v>0</v>
      </c>
    </row>
    <row r="22" spans="1:28" ht="14.25" x14ac:dyDescent="0.2">
      <c r="A22" s="76" t="s">
        <v>1143</v>
      </c>
      <c r="B22" s="155" t="s">
        <v>1144</v>
      </c>
      <c r="C22" s="41">
        <v>28145710573.209999</v>
      </c>
      <c r="D22" s="41"/>
      <c r="E22" s="41"/>
      <c r="F22" s="41"/>
      <c r="G22" s="41"/>
      <c r="H22" s="41"/>
      <c r="I22" s="41"/>
      <c r="J22" s="128">
        <f t="shared" si="1"/>
        <v>28145710573.209999</v>
      </c>
      <c r="K22" s="41"/>
      <c r="L22" s="41"/>
      <c r="M22" s="128"/>
      <c r="N22" s="41"/>
      <c r="O22" s="41"/>
      <c r="P22" s="41"/>
      <c r="Q22" s="128">
        <f t="shared" si="7"/>
        <v>0</v>
      </c>
      <c r="R22" s="41"/>
      <c r="S22" s="41"/>
      <c r="T22" s="41"/>
      <c r="U22" s="41"/>
      <c r="V22" s="41"/>
      <c r="W22" s="41"/>
      <c r="X22" s="41"/>
      <c r="Y22" s="41"/>
      <c r="Z22" s="128">
        <f t="shared" si="17"/>
        <v>0</v>
      </c>
      <c r="AA22" s="128">
        <f t="shared" si="9"/>
        <v>0</v>
      </c>
      <c r="AB22" s="175">
        <f t="shared" si="10"/>
        <v>0</v>
      </c>
    </row>
    <row r="23" spans="1:28" s="63" customFormat="1" ht="15.75" x14ac:dyDescent="0.2">
      <c r="A23" s="81" t="s">
        <v>1145</v>
      </c>
      <c r="B23" s="79" t="s">
        <v>1146</v>
      </c>
      <c r="C23" s="223">
        <f>+C24</f>
        <v>497473656.82999998</v>
      </c>
      <c r="D23" s="223">
        <f t="shared" ref="D23:I23" si="24">+D24</f>
        <v>0</v>
      </c>
      <c r="E23" s="223">
        <f t="shared" si="24"/>
        <v>0</v>
      </c>
      <c r="F23" s="223">
        <f t="shared" si="24"/>
        <v>0</v>
      </c>
      <c r="G23" s="223">
        <f t="shared" si="24"/>
        <v>0</v>
      </c>
      <c r="H23" s="223">
        <f t="shared" si="24"/>
        <v>0</v>
      </c>
      <c r="I23" s="223">
        <f t="shared" si="24"/>
        <v>0</v>
      </c>
      <c r="J23" s="78">
        <f t="shared" si="1"/>
        <v>497473656.82999998</v>
      </c>
      <c r="K23" s="223">
        <f t="shared" ref="K23:P23" si="25">+K24</f>
        <v>0</v>
      </c>
      <c r="L23" s="223">
        <f t="shared" si="25"/>
        <v>0</v>
      </c>
      <c r="M23" s="312">
        <f t="shared" si="25"/>
        <v>0</v>
      </c>
      <c r="N23" s="223">
        <f t="shared" si="25"/>
        <v>0</v>
      </c>
      <c r="O23" s="223">
        <f t="shared" si="25"/>
        <v>0</v>
      </c>
      <c r="P23" s="223">
        <f t="shared" si="25"/>
        <v>0</v>
      </c>
      <c r="Q23" s="78">
        <f t="shared" si="7"/>
        <v>0</v>
      </c>
      <c r="R23" s="223">
        <f t="shared" ref="R23:Y23" si="26">+R24</f>
        <v>0</v>
      </c>
      <c r="S23" s="223">
        <f t="shared" si="26"/>
        <v>0</v>
      </c>
      <c r="T23" s="223">
        <f t="shared" si="26"/>
        <v>0</v>
      </c>
      <c r="U23" s="223">
        <f t="shared" si="26"/>
        <v>0</v>
      </c>
      <c r="V23" s="223">
        <f t="shared" si="26"/>
        <v>0</v>
      </c>
      <c r="W23" s="223">
        <f t="shared" si="26"/>
        <v>0</v>
      </c>
      <c r="X23" s="223">
        <f t="shared" si="26"/>
        <v>0</v>
      </c>
      <c r="Y23" s="223">
        <f t="shared" si="26"/>
        <v>0</v>
      </c>
      <c r="Z23" s="78">
        <f t="shared" si="17"/>
        <v>0</v>
      </c>
      <c r="AA23" s="78">
        <f t="shared" si="9"/>
        <v>0</v>
      </c>
      <c r="AB23" s="174">
        <f t="shared" si="10"/>
        <v>0</v>
      </c>
    </row>
    <row r="24" spans="1:28" ht="28.5" x14ac:dyDescent="0.2">
      <c r="A24" s="76" t="s">
        <v>1147</v>
      </c>
      <c r="B24" s="77" t="s">
        <v>1148</v>
      </c>
      <c r="C24" s="218">
        <v>497473656.82999998</v>
      </c>
      <c r="D24" s="218"/>
      <c r="E24" s="218"/>
      <c r="F24" s="218"/>
      <c r="G24" s="218"/>
      <c r="H24" s="218"/>
      <c r="I24" s="218"/>
      <c r="J24" s="128">
        <f t="shared" si="1"/>
        <v>497473656.82999998</v>
      </c>
      <c r="K24" s="218"/>
      <c r="L24" s="218"/>
      <c r="M24" s="313"/>
      <c r="N24" s="218"/>
      <c r="O24" s="218"/>
      <c r="P24" s="218"/>
      <c r="Q24" s="128">
        <f t="shared" si="7"/>
        <v>0</v>
      </c>
      <c r="R24" s="218"/>
      <c r="S24" s="218"/>
      <c r="T24" s="218"/>
      <c r="U24" s="218"/>
      <c r="V24" s="218"/>
      <c r="W24" s="218"/>
      <c r="X24" s="218"/>
      <c r="Y24" s="218"/>
      <c r="Z24" s="128">
        <f t="shared" si="17"/>
        <v>0</v>
      </c>
      <c r="AA24" s="128">
        <f t="shared" si="9"/>
        <v>0</v>
      </c>
      <c r="AB24" s="175">
        <f t="shared" si="10"/>
        <v>0</v>
      </c>
    </row>
    <row r="25" spans="1:28" s="63" customFormat="1" ht="15.75" x14ac:dyDescent="0.2">
      <c r="A25" s="81" t="s">
        <v>1149</v>
      </c>
      <c r="B25" s="79" t="s">
        <v>1150</v>
      </c>
      <c r="C25" s="146">
        <f>+C26</f>
        <v>435272620.58999997</v>
      </c>
      <c r="D25" s="146">
        <f t="shared" ref="D25:I25" si="27">+D26</f>
        <v>0</v>
      </c>
      <c r="E25" s="146">
        <f t="shared" si="27"/>
        <v>0</v>
      </c>
      <c r="F25" s="146">
        <f t="shared" si="27"/>
        <v>0</v>
      </c>
      <c r="G25" s="146">
        <f t="shared" si="27"/>
        <v>0</v>
      </c>
      <c r="H25" s="146">
        <f t="shared" si="27"/>
        <v>0</v>
      </c>
      <c r="I25" s="146">
        <f t="shared" si="27"/>
        <v>0</v>
      </c>
      <c r="J25" s="78">
        <f t="shared" si="1"/>
        <v>435272620.58999997</v>
      </c>
      <c r="K25" s="146">
        <f t="shared" ref="K25:P25" si="28">+K26</f>
        <v>0</v>
      </c>
      <c r="L25" s="146">
        <f t="shared" si="28"/>
        <v>0</v>
      </c>
      <c r="M25" s="78">
        <f t="shared" si="28"/>
        <v>435272620.58999997</v>
      </c>
      <c r="N25" s="146">
        <f t="shared" si="28"/>
        <v>0</v>
      </c>
      <c r="O25" s="146">
        <f t="shared" si="28"/>
        <v>0</v>
      </c>
      <c r="P25" s="146">
        <f t="shared" si="28"/>
        <v>0</v>
      </c>
      <c r="Q25" s="78">
        <f t="shared" si="7"/>
        <v>435272620.58999997</v>
      </c>
      <c r="R25" s="146">
        <f t="shared" ref="R25:Y25" si="29">+R26</f>
        <v>0</v>
      </c>
      <c r="S25" s="146">
        <f t="shared" si="29"/>
        <v>0</v>
      </c>
      <c r="T25" s="146">
        <f t="shared" si="29"/>
        <v>0</v>
      </c>
      <c r="U25" s="146">
        <f t="shared" si="29"/>
        <v>0</v>
      </c>
      <c r="V25" s="146">
        <f t="shared" si="29"/>
        <v>0</v>
      </c>
      <c r="W25" s="146">
        <f t="shared" si="29"/>
        <v>0</v>
      </c>
      <c r="X25" s="146">
        <f t="shared" si="29"/>
        <v>0</v>
      </c>
      <c r="Y25" s="146">
        <f t="shared" si="29"/>
        <v>0</v>
      </c>
      <c r="Z25" s="78">
        <f t="shared" si="17"/>
        <v>0</v>
      </c>
      <c r="AA25" s="78">
        <f t="shared" si="9"/>
        <v>435272620.58999997</v>
      </c>
      <c r="AB25" s="174">
        <f t="shared" si="10"/>
        <v>1</v>
      </c>
    </row>
    <row r="26" spans="1:28" ht="28.5" x14ac:dyDescent="0.2">
      <c r="A26" s="76" t="s">
        <v>1151</v>
      </c>
      <c r="B26" s="77" t="s">
        <v>1152</v>
      </c>
      <c r="C26" s="41">
        <v>435272620.58999997</v>
      </c>
      <c r="D26" s="41"/>
      <c r="E26" s="41"/>
      <c r="F26" s="41"/>
      <c r="G26" s="41"/>
      <c r="H26" s="41"/>
      <c r="I26" s="41"/>
      <c r="J26" s="128">
        <f t="shared" si="1"/>
        <v>435272620.58999997</v>
      </c>
      <c r="K26" s="41"/>
      <c r="L26" s="41"/>
      <c r="M26" s="128">
        <v>435272620.58999997</v>
      </c>
      <c r="N26" s="41"/>
      <c r="O26" s="41"/>
      <c r="P26" s="41"/>
      <c r="Q26" s="128">
        <f t="shared" si="7"/>
        <v>435272620.58999997</v>
      </c>
      <c r="R26" s="41"/>
      <c r="S26" s="41"/>
      <c r="T26" s="41"/>
      <c r="U26" s="41"/>
      <c r="V26" s="41"/>
      <c r="W26" s="41"/>
      <c r="X26" s="41"/>
      <c r="Y26" s="41"/>
      <c r="Z26" s="128">
        <f t="shared" si="17"/>
        <v>0</v>
      </c>
      <c r="AA26" s="128">
        <f t="shared" si="9"/>
        <v>435272620.58999997</v>
      </c>
      <c r="AB26" s="175">
        <f t="shared" si="10"/>
        <v>1</v>
      </c>
    </row>
    <row r="27" spans="1:28" s="63" customFormat="1" ht="31.5" x14ac:dyDescent="0.2">
      <c r="A27" s="81" t="s">
        <v>1153</v>
      </c>
      <c r="B27" s="79" t="s">
        <v>1154</v>
      </c>
      <c r="C27" s="146">
        <f>+C28</f>
        <v>1507928724</v>
      </c>
      <c r="D27" s="146">
        <f t="shared" ref="D27:I27" si="30">+D28</f>
        <v>0</v>
      </c>
      <c r="E27" s="146">
        <f t="shared" si="30"/>
        <v>0</v>
      </c>
      <c r="F27" s="146">
        <f t="shared" si="30"/>
        <v>0</v>
      </c>
      <c r="G27" s="146">
        <f t="shared" si="30"/>
        <v>0</v>
      </c>
      <c r="H27" s="146">
        <f t="shared" si="30"/>
        <v>0</v>
      </c>
      <c r="I27" s="146">
        <f t="shared" si="30"/>
        <v>0</v>
      </c>
      <c r="J27" s="78">
        <f t="shared" si="1"/>
        <v>1507928724</v>
      </c>
      <c r="K27" s="146">
        <f t="shared" ref="K27:P27" si="31">+K28</f>
        <v>0</v>
      </c>
      <c r="L27" s="146">
        <f t="shared" si="31"/>
        <v>0</v>
      </c>
      <c r="M27" s="78">
        <f t="shared" si="31"/>
        <v>1507928724</v>
      </c>
      <c r="N27" s="146">
        <f t="shared" si="31"/>
        <v>0</v>
      </c>
      <c r="O27" s="146">
        <f t="shared" si="31"/>
        <v>0</v>
      </c>
      <c r="P27" s="146">
        <f t="shared" si="31"/>
        <v>0</v>
      </c>
      <c r="Q27" s="78">
        <f t="shared" si="7"/>
        <v>1507928724</v>
      </c>
      <c r="R27" s="146">
        <f t="shared" ref="R27:Y27" si="32">+R28</f>
        <v>0</v>
      </c>
      <c r="S27" s="146">
        <f t="shared" si="32"/>
        <v>0</v>
      </c>
      <c r="T27" s="146">
        <f t="shared" si="32"/>
        <v>0</v>
      </c>
      <c r="U27" s="146">
        <f t="shared" si="32"/>
        <v>0</v>
      </c>
      <c r="V27" s="146">
        <f t="shared" si="32"/>
        <v>0</v>
      </c>
      <c r="W27" s="146">
        <f t="shared" si="32"/>
        <v>0</v>
      </c>
      <c r="X27" s="146">
        <f t="shared" si="32"/>
        <v>0</v>
      </c>
      <c r="Y27" s="146">
        <f t="shared" si="32"/>
        <v>0</v>
      </c>
      <c r="Z27" s="78">
        <f t="shared" si="17"/>
        <v>0</v>
      </c>
      <c r="AA27" s="78">
        <f t="shared" si="9"/>
        <v>1507928724</v>
      </c>
      <c r="AB27" s="174">
        <f t="shared" si="10"/>
        <v>1</v>
      </c>
    </row>
    <row r="28" spans="1:28" ht="28.5" x14ac:dyDescent="0.2">
      <c r="A28" s="76" t="s">
        <v>1155</v>
      </c>
      <c r="B28" s="77" t="s">
        <v>1156</v>
      </c>
      <c r="C28" s="41">
        <v>1507928724</v>
      </c>
      <c r="D28" s="41"/>
      <c r="E28" s="41"/>
      <c r="F28" s="41"/>
      <c r="G28" s="41"/>
      <c r="H28" s="41"/>
      <c r="I28" s="41"/>
      <c r="J28" s="128">
        <f t="shared" si="1"/>
        <v>1507928724</v>
      </c>
      <c r="K28" s="41"/>
      <c r="L28" s="41"/>
      <c r="M28" s="128">
        <v>1507928724</v>
      </c>
      <c r="N28" s="41"/>
      <c r="O28" s="41"/>
      <c r="P28" s="41"/>
      <c r="Q28" s="128">
        <f t="shared" si="7"/>
        <v>1507928724</v>
      </c>
      <c r="R28" s="41"/>
      <c r="S28" s="41"/>
      <c r="T28" s="41"/>
      <c r="U28" s="41"/>
      <c r="V28" s="41"/>
      <c r="W28" s="41"/>
      <c r="X28" s="41"/>
      <c r="Y28" s="41"/>
      <c r="Z28" s="128">
        <f t="shared" si="17"/>
        <v>0</v>
      </c>
      <c r="AA28" s="128">
        <f t="shared" si="9"/>
        <v>1507928724</v>
      </c>
      <c r="AB28" s="175">
        <f t="shared" si="10"/>
        <v>1</v>
      </c>
    </row>
    <row r="29" spans="1:28" s="214" customFormat="1" ht="19.5" x14ac:dyDescent="0.2">
      <c r="A29" s="212" t="s">
        <v>1162</v>
      </c>
      <c r="B29" s="213" t="s">
        <v>1165</v>
      </c>
      <c r="C29" s="248">
        <f>+C30</f>
        <v>89438499926.700012</v>
      </c>
      <c r="D29" s="248">
        <f t="shared" ref="D29:I33" si="33">+D30</f>
        <v>21672702486</v>
      </c>
      <c r="E29" s="248">
        <f t="shared" si="33"/>
        <v>0</v>
      </c>
      <c r="F29" s="248">
        <f t="shared" si="33"/>
        <v>0</v>
      </c>
      <c r="G29" s="248">
        <f t="shared" si="33"/>
        <v>0</v>
      </c>
      <c r="H29" s="248">
        <f t="shared" si="33"/>
        <v>0</v>
      </c>
      <c r="I29" s="248">
        <f t="shared" si="33"/>
        <v>0</v>
      </c>
      <c r="J29" s="206">
        <f t="shared" si="1"/>
        <v>111111202412.70001</v>
      </c>
      <c r="K29" s="248">
        <f t="shared" ref="K29:P33" si="34">+K30</f>
        <v>0</v>
      </c>
      <c r="L29" s="248">
        <f t="shared" si="34"/>
        <v>0</v>
      </c>
      <c r="M29" s="206">
        <f t="shared" si="34"/>
        <v>28145710573.209999</v>
      </c>
      <c r="N29" s="248">
        <f t="shared" si="34"/>
        <v>0</v>
      </c>
      <c r="O29" s="248">
        <f t="shared" si="34"/>
        <v>0</v>
      </c>
      <c r="P29" s="248">
        <f t="shared" si="34"/>
        <v>0</v>
      </c>
      <c r="Q29" s="206">
        <f t="shared" si="7"/>
        <v>28145710573.209999</v>
      </c>
      <c r="R29" s="248">
        <f t="shared" ref="R29:Y33" si="35">+R30</f>
        <v>0</v>
      </c>
      <c r="S29" s="248">
        <f t="shared" si="35"/>
        <v>0</v>
      </c>
      <c r="T29" s="248">
        <f t="shared" si="35"/>
        <v>0</v>
      </c>
      <c r="U29" s="248">
        <f t="shared" si="35"/>
        <v>0</v>
      </c>
      <c r="V29" s="248">
        <f t="shared" si="35"/>
        <v>0</v>
      </c>
      <c r="W29" s="248">
        <f t="shared" si="35"/>
        <v>0</v>
      </c>
      <c r="X29" s="248">
        <f t="shared" si="35"/>
        <v>0</v>
      </c>
      <c r="Y29" s="248">
        <f t="shared" si="35"/>
        <v>0</v>
      </c>
      <c r="Z29" s="206">
        <f t="shared" si="17"/>
        <v>0</v>
      </c>
      <c r="AA29" s="206">
        <f t="shared" si="9"/>
        <v>28145710573.209999</v>
      </c>
      <c r="AB29" s="207">
        <f t="shared" si="10"/>
        <v>0.25331118700946526</v>
      </c>
    </row>
    <row r="30" spans="1:28" s="214" customFormat="1" ht="19.5" x14ac:dyDescent="0.2">
      <c r="A30" s="212" t="s">
        <v>382</v>
      </c>
      <c r="B30" s="213" t="s">
        <v>84</v>
      </c>
      <c r="C30" s="220">
        <f>+C31</f>
        <v>89438499926.700012</v>
      </c>
      <c r="D30" s="220">
        <f t="shared" si="33"/>
        <v>21672702486</v>
      </c>
      <c r="E30" s="220">
        <f t="shared" si="33"/>
        <v>0</v>
      </c>
      <c r="F30" s="220">
        <f t="shared" si="33"/>
        <v>0</v>
      </c>
      <c r="G30" s="220">
        <f t="shared" si="33"/>
        <v>0</v>
      </c>
      <c r="H30" s="220">
        <f t="shared" si="33"/>
        <v>0</v>
      </c>
      <c r="I30" s="220">
        <f t="shared" si="33"/>
        <v>0</v>
      </c>
      <c r="J30" s="206">
        <f t="shared" si="1"/>
        <v>111111202412.70001</v>
      </c>
      <c r="K30" s="220">
        <f t="shared" si="34"/>
        <v>0</v>
      </c>
      <c r="L30" s="220">
        <f t="shared" si="34"/>
        <v>0</v>
      </c>
      <c r="M30" s="311">
        <f t="shared" si="34"/>
        <v>28145710573.209999</v>
      </c>
      <c r="N30" s="220">
        <f t="shared" si="34"/>
        <v>0</v>
      </c>
      <c r="O30" s="220">
        <f t="shared" si="34"/>
        <v>0</v>
      </c>
      <c r="P30" s="220">
        <f t="shared" si="34"/>
        <v>0</v>
      </c>
      <c r="Q30" s="206">
        <f t="shared" si="7"/>
        <v>28145710573.209999</v>
      </c>
      <c r="R30" s="220">
        <f t="shared" si="35"/>
        <v>0</v>
      </c>
      <c r="S30" s="220">
        <f t="shared" si="35"/>
        <v>0</v>
      </c>
      <c r="T30" s="220">
        <f t="shared" si="35"/>
        <v>0</v>
      </c>
      <c r="U30" s="220">
        <f t="shared" si="35"/>
        <v>0</v>
      </c>
      <c r="V30" s="220">
        <f t="shared" si="35"/>
        <v>0</v>
      </c>
      <c r="W30" s="220">
        <f t="shared" si="35"/>
        <v>0</v>
      </c>
      <c r="X30" s="220">
        <f t="shared" si="35"/>
        <v>0</v>
      </c>
      <c r="Y30" s="220">
        <f t="shared" si="35"/>
        <v>0</v>
      </c>
      <c r="Z30" s="206">
        <f t="shared" ref="Z30:Z44" si="36">SUM(R30:Y30)</f>
        <v>0</v>
      </c>
      <c r="AA30" s="206">
        <f t="shared" si="9"/>
        <v>28145710573.209999</v>
      </c>
      <c r="AB30" s="207">
        <f t="shared" si="10"/>
        <v>0.25331118700946526</v>
      </c>
    </row>
    <row r="31" spans="1:28" s="214" customFormat="1" ht="19.5" x14ac:dyDescent="0.2">
      <c r="A31" s="212" t="s">
        <v>1128</v>
      </c>
      <c r="B31" s="213" t="s">
        <v>211</v>
      </c>
      <c r="C31" s="220">
        <f>+C32</f>
        <v>89438499926.700012</v>
      </c>
      <c r="D31" s="220">
        <f t="shared" si="33"/>
        <v>21672702486</v>
      </c>
      <c r="E31" s="220">
        <f t="shared" si="33"/>
        <v>0</v>
      </c>
      <c r="F31" s="220">
        <f t="shared" si="33"/>
        <v>0</v>
      </c>
      <c r="G31" s="220">
        <f t="shared" si="33"/>
        <v>0</v>
      </c>
      <c r="H31" s="220">
        <f t="shared" si="33"/>
        <v>0</v>
      </c>
      <c r="I31" s="220">
        <f t="shared" si="33"/>
        <v>0</v>
      </c>
      <c r="J31" s="206">
        <f t="shared" si="1"/>
        <v>111111202412.70001</v>
      </c>
      <c r="K31" s="220">
        <f t="shared" si="34"/>
        <v>0</v>
      </c>
      <c r="L31" s="220">
        <f t="shared" si="34"/>
        <v>0</v>
      </c>
      <c r="M31" s="311">
        <f t="shared" si="34"/>
        <v>28145710573.209999</v>
      </c>
      <c r="N31" s="220">
        <f t="shared" si="34"/>
        <v>0</v>
      </c>
      <c r="O31" s="220">
        <f t="shared" si="34"/>
        <v>0</v>
      </c>
      <c r="P31" s="220">
        <f t="shared" si="34"/>
        <v>0</v>
      </c>
      <c r="Q31" s="206">
        <f t="shared" si="7"/>
        <v>28145710573.209999</v>
      </c>
      <c r="R31" s="220">
        <f t="shared" si="35"/>
        <v>0</v>
      </c>
      <c r="S31" s="220">
        <f t="shared" si="35"/>
        <v>0</v>
      </c>
      <c r="T31" s="220">
        <f t="shared" si="35"/>
        <v>0</v>
      </c>
      <c r="U31" s="220">
        <f t="shared" si="35"/>
        <v>0</v>
      </c>
      <c r="V31" s="220">
        <f t="shared" si="35"/>
        <v>0</v>
      </c>
      <c r="W31" s="220">
        <f t="shared" si="35"/>
        <v>0</v>
      </c>
      <c r="X31" s="220">
        <f t="shared" si="35"/>
        <v>0</v>
      </c>
      <c r="Y31" s="220">
        <f t="shared" si="35"/>
        <v>0</v>
      </c>
      <c r="Z31" s="206">
        <f t="shared" si="36"/>
        <v>0</v>
      </c>
      <c r="AA31" s="206">
        <f t="shared" si="9"/>
        <v>28145710573.209999</v>
      </c>
      <c r="AB31" s="207">
        <f t="shared" si="10"/>
        <v>0.25331118700946526</v>
      </c>
    </row>
    <row r="32" spans="1:28" s="63" customFormat="1" ht="31.5" x14ac:dyDescent="0.2">
      <c r="A32" s="81" t="s">
        <v>1129</v>
      </c>
      <c r="B32" s="79" t="s">
        <v>1130</v>
      </c>
      <c r="C32" s="223">
        <f>+C33</f>
        <v>89438499926.700012</v>
      </c>
      <c r="D32" s="223">
        <f t="shared" si="33"/>
        <v>21672702486</v>
      </c>
      <c r="E32" s="223">
        <f t="shared" si="33"/>
        <v>0</v>
      </c>
      <c r="F32" s="223">
        <f t="shared" si="33"/>
        <v>0</v>
      </c>
      <c r="G32" s="223">
        <f t="shared" si="33"/>
        <v>0</v>
      </c>
      <c r="H32" s="223">
        <f t="shared" si="33"/>
        <v>0</v>
      </c>
      <c r="I32" s="223">
        <f t="shared" si="33"/>
        <v>0</v>
      </c>
      <c r="J32" s="78">
        <f t="shared" si="1"/>
        <v>111111202412.70001</v>
      </c>
      <c r="K32" s="223">
        <f t="shared" si="34"/>
        <v>0</v>
      </c>
      <c r="L32" s="223">
        <f t="shared" si="34"/>
        <v>0</v>
      </c>
      <c r="M32" s="312">
        <f t="shared" si="34"/>
        <v>28145710573.209999</v>
      </c>
      <c r="N32" s="223">
        <f t="shared" si="34"/>
        <v>0</v>
      </c>
      <c r="O32" s="223">
        <f t="shared" si="34"/>
        <v>0</v>
      </c>
      <c r="P32" s="223">
        <f t="shared" si="34"/>
        <v>0</v>
      </c>
      <c r="Q32" s="206">
        <f t="shared" si="7"/>
        <v>28145710573.209999</v>
      </c>
      <c r="R32" s="223">
        <f t="shared" si="35"/>
        <v>0</v>
      </c>
      <c r="S32" s="223">
        <f t="shared" si="35"/>
        <v>0</v>
      </c>
      <c r="T32" s="223">
        <f t="shared" si="35"/>
        <v>0</v>
      </c>
      <c r="U32" s="223">
        <f t="shared" si="35"/>
        <v>0</v>
      </c>
      <c r="V32" s="223">
        <f t="shared" si="35"/>
        <v>0</v>
      </c>
      <c r="W32" s="223">
        <f t="shared" si="35"/>
        <v>0</v>
      </c>
      <c r="X32" s="223">
        <f t="shared" si="35"/>
        <v>0</v>
      </c>
      <c r="Y32" s="223">
        <f t="shared" si="35"/>
        <v>0</v>
      </c>
      <c r="Z32" s="206">
        <f t="shared" si="36"/>
        <v>0</v>
      </c>
      <c r="AA32" s="206">
        <f t="shared" si="9"/>
        <v>28145710573.209999</v>
      </c>
      <c r="AB32" s="207">
        <f t="shared" si="10"/>
        <v>0.25331118700946526</v>
      </c>
    </row>
    <row r="33" spans="1:28" s="63" customFormat="1" ht="40.5" customHeight="1" x14ac:dyDescent="0.2">
      <c r="A33" s="81" t="s">
        <v>1131</v>
      </c>
      <c r="B33" s="194" t="s">
        <v>1132</v>
      </c>
      <c r="C33" s="223">
        <f>+C34</f>
        <v>89438499926.700012</v>
      </c>
      <c r="D33" s="223">
        <f t="shared" si="33"/>
        <v>21672702486</v>
      </c>
      <c r="E33" s="223">
        <f t="shared" si="33"/>
        <v>0</v>
      </c>
      <c r="F33" s="223">
        <f t="shared" si="33"/>
        <v>0</v>
      </c>
      <c r="G33" s="223">
        <f t="shared" si="33"/>
        <v>0</v>
      </c>
      <c r="H33" s="223">
        <f t="shared" si="33"/>
        <v>0</v>
      </c>
      <c r="I33" s="223">
        <f t="shared" si="33"/>
        <v>0</v>
      </c>
      <c r="J33" s="78">
        <f t="shared" si="1"/>
        <v>111111202412.70001</v>
      </c>
      <c r="K33" s="223">
        <f t="shared" si="34"/>
        <v>0</v>
      </c>
      <c r="L33" s="223">
        <f t="shared" si="34"/>
        <v>0</v>
      </c>
      <c r="M33" s="312">
        <f t="shared" si="34"/>
        <v>28145710573.209999</v>
      </c>
      <c r="N33" s="223">
        <f t="shared" si="34"/>
        <v>0</v>
      </c>
      <c r="O33" s="223">
        <f t="shared" si="34"/>
        <v>0</v>
      </c>
      <c r="P33" s="223">
        <f t="shared" si="34"/>
        <v>0</v>
      </c>
      <c r="Q33" s="206">
        <f t="shared" si="7"/>
        <v>28145710573.209999</v>
      </c>
      <c r="R33" s="223">
        <f t="shared" si="35"/>
        <v>0</v>
      </c>
      <c r="S33" s="223">
        <f t="shared" si="35"/>
        <v>0</v>
      </c>
      <c r="T33" s="223">
        <f t="shared" si="35"/>
        <v>0</v>
      </c>
      <c r="U33" s="223">
        <f t="shared" si="35"/>
        <v>0</v>
      </c>
      <c r="V33" s="223">
        <f t="shared" si="35"/>
        <v>0</v>
      </c>
      <c r="W33" s="223">
        <f t="shared" si="35"/>
        <v>0</v>
      </c>
      <c r="X33" s="223">
        <f t="shared" si="35"/>
        <v>0</v>
      </c>
      <c r="Y33" s="223">
        <f t="shared" si="35"/>
        <v>0</v>
      </c>
      <c r="Z33" s="206">
        <f t="shared" si="36"/>
        <v>0</v>
      </c>
      <c r="AA33" s="206">
        <f t="shared" si="9"/>
        <v>28145710573.209999</v>
      </c>
      <c r="AB33" s="207">
        <f t="shared" si="10"/>
        <v>0.25331118700946526</v>
      </c>
    </row>
    <row r="34" spans="1:28" s="63" customFormat="1" ht="21" customHeight="1" x14ac:dyDescent="0.2">
      <c r="A34" s="81" t="s">
        <v>1139</v>
      </c>
      <c r="B34" s="194" t="s">
        <v>1140</v>
      </c>
      <c r="C34" s="223">
        <f>+C35+C38+C40+C42</f>
        <v>89438499926.700012</v>
      </c>
      <c r="D34" s="223">
        <f t="shared" ref="D34:I34" si="37">+D35+D38+D40+D42</f>
        <v>21672702486</v>
      </c>
      <c r="E34" s="223">
        <f t="shared" si="37"/>
        <v>0</v>
      </c>
      <c r="F34" s="223">
        <f t="shared" si="37"/>
        <v>0</v>
      </c>
      <c r="G34" s="223">
        <f t="shared" si="37"/>
        <v>0</v>
      </c>
      <c r="H34" s="223">
        <f t="shared" si="37"/>
        <v>0</v>
      </c>
      <c r="I34" s="223">
        <f t="shared" si="37"/>
        <v>0</v>
      </c>
      <c r="J34" s="78">
        <f t="shared" si="1"/>
        <v>111111202412.70001</v>
      </c>
      <c r="K34" s="223">
        <f t="shared" ref="K34:P34" si="38">+K35+K38+K40+K42</f>
        <v>0</v>
      </c>
      <c r="L34" s="223">
        <f t="shared" si="38"/>
        <v>0</v>
      </c>
      <c r="M34" s="312">
        <f t="shared" si="38"/>
        <v>28145710573.209999</v>
      </c>
      <c r="N34" s="223">
        <f t="shared" si="38"/>
        <v>0</v>
      </c>
      <c r="O34" s="223">
        <f t="shared" si="38"/>
        <v>0</v>
      </c>
      <c r="P34" s="223">
        <f t="shared" si="38"/>
        <v>0</v>
      </c>
      <c r="Q34" s="206">
        <f t="shared" si="7"/>
        <v>28145710573.209999</v>
      </c>
      <c r="R34" s="223">
        <f t="shared" ref="R34:Y34" si="39">+R35+R38+R40+R42</f>
        <v>0</v>
      </c>
      <c r="S34" s="223">
        <f t="shared" si="39"/>
        <v>0</v>
      </c>
      <c r="T34" s="223">
        <f t="shared" si="39"/>
        <v>0</v>
      </c>
      <c r="U34" s="223">
        <f t="shared" si="39"/>
        <v>0</v>
      </c>
      <c r="V34" s="223">
        <f t="shared" si="39"/>
        <v>0</v>
      </c>
      <c r="W34" s="223">
        <f t="shared" si="39"/>
        <v>0</v>
      </c>
      <c r="X34" s="223">
        <f t="shared" si="39"/>
        <v>0</v>
      </c>
      <c r="Y34" s="223">
        <f t="shared" si="39"/>
        <v>0</v>
      </c>
      <c r="Z34" s="206">
        <f t="shared" si="36"/>
        <v>0</v>
      </c>
      <c r="AA34" s="206">
        <f t="shared" si="9"/>
        <v>28145710573.209999</v>
      </c>
      <c r="AB34" s="207">
        <f t="shared" si="10"/>
        <v>0.25331118700946526</v>
      </c>
    </row>
    <row r="35" spans="1:28" s="63" customFormat="1" ht="19.5" x14ac:dyDescent="0.2">
      <c r="A35" s="81" t="s">
        <v>1141</v>
      </c>
      <c r="B35" s="79" t="s">
        <v>1142</v>
      </c>
      <c r="C35" s="223">
        <f>+C37+C36</f>
        <v>46722975772.050003</v>
      </c>
      <c r="D35" s="223">
        <f t="shared" ref="D35:I35" si="40">+D37+D36</f>
        <v>21672702486</v>
      </c>
      <c r="E35" s="223">
        <f t="shared" si="40"/>
        <v>0</v>
      </c>
      <c r="F35" s="223">
        <f t="shared" si="40"/>
        <v>0</v>
      </c>
      <c r="G35" s="223">
        <f t="shared" si="40"/>
        <v>0</v>
      </c>
      <c r="H35" s="223">
        <f t="shared" si="40"/>
        <v>0</v>
      </c>
      <c r="I35" s="223">
        <f t="shared" si="40"/>
        <v>0</v>
      </c>
      <c r="J35" s="78">
        <f t="shared" si="1"/>
        <v>68395678258.050003</v>
      </c>
      <c r="K35" s="223">
        <f t="shared" ref="K35:P35" si="41">+K37+K36</f>
        <v>0</v>
      </c>
      <c r="L35" s="223">
        <f t="shared" si="41"/>
        <v>0</v>
      </c>
      <c r="M35" s="223">
        <f t="shared" si="41"/>
        <v>28145710573.209999</v>
      </c>
      <c r="N35" s="223">
        <f t="shared" si="41"/>
        <v>0</v>
      </c>
      <c r="O35" s="223">
        <f t="shared" si="41"/>
        <v>0</v>
      </c>
      <c r="P35" s="223">
        <f t="shared" si="41"/>
        <v>0</v>
      </c>
      <c r="Q35" s="206">
        <f t="shared" si="7"/>
        <v>28145710573.209999</v>
      </c>
      <c r="R35" s="223">
        <f t="shared" ref="R35:Y35" si="42">+R37+R36</f>
        <v>0</v>
      </c>
      <c r="S35" s="223">
        <f t="shared" si="42"/>
        <v>0</v>
      </c>
      <c r="T35" s="223">
        <f t="shared" si="42"/>
        <v>0</v>
      </c>
      <c r="U35" s="223">
        <f t="shared" si="42"/>
        <v>0</v>
      </c>
      <c r="V35" s="223">
        <f t="shared" si="42"/>
        <v>0</v>
      </c>
      <c r="W35" s="223">
        <f t="shared" si="42"/>
        <v>0</v>
      </c>
      <c r="X35" s="223">
        <f t="shared" si="42"/>
        <v>0</v>
      </c>
      <c r="Y35" s="223">
        <f t="shared" si="42"/>
        <v>0</v>
      </c>
      <c r="Z35" s="206">
        <f t="shared" si="36"/>
        <v>0</v>
      </c>
      <c r="AA35" s="206">
        <f t="shared" si="9"/>
        <v>28145710573.209999</v>
      </c>
      <c r="AB35" s="207">
        <f t="shared" si="10"/>
        <v>0.41151299745897785</v>
      </c>
    </row>
    <row r="36" spans="1:28" s="63" customFormat="1" ht="19.5" x14ac:dyDescent="0.2">
      <c r="A36" s="76" t="s">
        <v>1143</v>
      </c>
      <c r="B36" s="77" t="s">
        <v>1144</v>
      </c>
      <c r="C36" s="223"/>
      <c r="D36" s="260">
        <v>21672702486</v>
      </c>
      <c r="E36" s="223"/>
      <c r="F36" s="223"/>
      <c r="G36" s="223"/>
      <c r="H36" s="223"/>
      <c r="I36" s="223"/>
      <c r="J36" s="126">
        <f t="shared" si="1"/>
        <v>21672702486</v>
      </c>
      <c r="K36" s="223"/>
      <c r="L36" s="223"/>
      <c r="M36" s="313">
        <v>28145710573.209999</v>
      </c>
      <c r="N36" s="223"/>
      <c r="O36" s="223"/>
      <c r="P36" s="223"/>
      <c r="Q36" s="206">
        <f t="shared" si="7"/>
        <v>28145710573.209999</v>
      </c>
      <c r="R36" s="223"/>
      <c r="S36" s="223"/>
      <c r="T36" s="223"/>
      <c r="U36" s="223"/>
      <c r="V36" s="223"/>
      <c r="W36" s="223"/>
      <c r="X36" s="223"/>
      <c r="Y36" s="223"/>
      <c r="Z36" s="206">
        <f t="shared" ref="Z36" si="43">SUM(R36:Y36)</f>
        <v>0</v>
      </c>
      <c r="AA36" s="126">
        <f t="shared" si="9"/>
        <v>28145710573.209999</v>
      </c>
      <c r="AB36" s="207">
        <f t="shared" si="10"/>
        <v>1.2986710167498212</v>
      </c>
    </row>
    <row r="37" spans="1:28" ht="19.5" x14ac:dyDescent="0.2">
      <c r="A37" s="76" t="s">
        <v>1143</v>
      </c>
      <c r="B37" s="77" t="s">
        <v>1144</v>
      </c>
      <c r="C37" s="218">
        <v>46722975772.050003</v>
      </c>
      <c r="D37" s="188"/>
      <c r="E37" s="218"/>
      <c r="F37" s="218"/>
      <c r="G37" s="218"/>
      <c r="H37" s="218"/>
      <c r="I37" s="218"/>
      <c r="J37" s="128">
        <f t="shared" si="1"/>
        <v>46722975772.050003</v>
      </c>
      <c r="K37" s="218"/>
      <c r="L37" s="218"/>
      <c r="M37" s="313"/>
      <c r="N37" s="218"/>
      <c r="O37" s="218"/>
      <c r="P37" s="218"/>
      <c r="Q37" s="206">
        <f t="shared" si="7"/>
        <v>0</v>
      </c>
      <c r="R37" s="218"/>
      <c r="S37" s="218"/>
      <c r="T37" s="218"/>
      <c r="U37" s="218"/>
      <c r="V37" s="218"/>
      <c r="W37" s="218"/>
      <c r="X37" s="218"/>
      <c r="Y37" s="218"/>
      <c r="Z37" s="206">
        <f t="shared" si="36"/>
        <v>0</v>
      </c>
      <c r="AA37" s="126">
        <f t="shared" si="9"/>
        <v>0</v>
      </c>
      <c r="AB37" s="207">
        <f t="shared" si="10"/>
        <v>0</v>
      </c>
    </row>
    <row r="38" spans="1:28" s="63" customFormat="1" ht="19.5" x14ac:dyDescent="0.2">
      <c r="A38" s="81" t="s">
        <v>1149</v>
      </c>
      <c r="B38" s="79" t="s">
        <v>1150</v>
      </c>
      <c r="C38" s="223">
        <f>+C39</f>
        <v>28804152254.41</v>
      </c>
      <c r="D38" s="223">
        <f t="shared" ref="D38:I38" si="44">+D39</f>
        <v>0</v>
      </c>
      <c r="E38" s="223">
        <f t="shared" si="44"/>
        <v>0</v>
      </c>
      <c r="F38" s="223">
        <f t="shared" si="44"/>
        <v>0</v>
      </c>
      <c r="G38" s="223">
        <f t="shared" si="44"/>
        <v>0</v>
      </c>
      <c r="H38" s="223">
        <f t="shared" si="44"/>
        <v>0</v>
      </c>
      <c r="I38" s="223">
        <f t="shared" si="44"/>
        <v>0</v>
      </c>
      <c r="J38" s="78">
        <f t="shared" si="1"/>
        <v>28804152254.41</v>
      </c>
      <c r="K38" s="223">
        <f t="shared" ref="K38:P38" si="45">+K39</f>
        <v>0</v>
      </c>
      <c r="L38" s="223">
        <f t="shared" si="45"/>
        <v>0</v>
      </c>
      <c r="M38" s="312">
        <f t="shared" si="45"/>
        <v>0</v>
      </c>
      <c r="N38" s="223">
        <f t="shared" si="45"/>
        <v>0</v>
      </c>
      <c r="O38" s="223">
        <f t="shared" si="45"/>
        <v>0</v>
      </c>
      <c r="P38" s="223">
        <f t="shared" si="45"/>
        <v>0</v>
      </c>
      <c r="Q38" s="206">
        <f t="shared" si="7"/>
        <v>0</v>
      </c>
      <c r="R38" s="223">
        <f t="shared" ref="R38:Y38" si="46">+R39</f>
        <v>0</v>
      </c>
      <c r="S38" s="223">
        <f t="shared" si="46"/>
        <v>0</v>
      </c>
      <c r="T38" s="223">
        <f t="shared" si="46"/>
        <v>0</v>
      </c>
      <c r="U38" s="223">
        <f t="shared" si="46"/>
        <v>0</v>
      </c>
      <c r="V38" s="223">
        <f t="shared" si="46"/>
        <v>0</v>
      </c>
      <c r="W38" s="223">
        <f t="shared" si="46"/>
        <v>0</v>
      </c>
      <c r="X38" s="223">
        <f t="shared" si="46"/>
        <v>0</v>
      </c>
      <c r="Y38" s="223">
        <f t="shared" si="46"/>
        <v>0</v>
      </c>
      <c r="Z38" s="206">
        <f t="shared" si="36"/>
        <v>0</v>
      </c>
      <c r="AA38" s="206">
        <f t="shared" si="9"/>
        <v>0</v>
      </c>
      <c r="AB38" s="207">
        <f t="shared" si="10"/>
        <v>0</v>
      </c>
    </row>
    <row r="39" spans="1:28" ht="28.5" x14ac:dyDescent="0.2">
      <c r="A39" s="76" t="s">
        <v>1151</v>
      </c>
      <c r="B39" s="77" t="s">
        <v>1152</v>
      </c>
      <c r="C39" s="218">
        <v>28804152254.41</v>
      </c>
      <c r="D39" s="188"/>
      <c r="E39" s="218"/>
      <c r="F39" s="218"/>
      <c r="G39" s="218"/>
      <c r="H39" s="218"/>
      <c r="I39" s="218"/>
      <c r="J39" s="128">
        <f t="shared" si="1"/>
        <v>28804152254.41</v>
      </c>
      <c r="K39" s="218"/>
      <c r="L39" s="218"/>
      <c r="M39" s="313"/>
      <c r="N39" s="218"/>
      <c r="O39" s="218"/>
      <c r="P39" s="218"/>
      <c r="Q39" s="206">
        <f t="shared" si="7"/>
        <v>0</v>
      </c>
      <c r="R39" s="218"/>
      <c r="S39" s="218"/>
      <c r="T39" s="218"/>
      <c r="U39" s="218"/>
      <c r="V39" s="218"/>
      <c r="W39" s="218"/>
      <c r="X39" s="218"/>
      <c r="Y39" s="218"/>
      <c r="Z39" s="206">
        <f t="shared" si="36"/>
        <v>0</v>
      </c>
      <c r="AA39" s="206">
        <f t="shared" si="9"/>
        <v>0</v>
      </c>
      <c r="AB39" s="207">
        <f t="shared" si="10"/>
        <v>0</v>
      </c>
    </row>
    <row r="40" spans="1:28" s="63" customFormat="1" ht="31.5" x14ac:dyDescent="0.2">
      <c r="A40" s="81" t="s">
        <v>1153</v>
      </c>
      <c r="B40" s="79" t="s">
        <v>1154</v>
      </c>
      <c r="C40" s="223">
        <f>+C41</f>
        <v>5672544417.3299999</v>
      </c>
      <c r="D40" s="223">
        <f t="shared" ref="D40:I40" si="47">+D41</f>
        <v>0</v>
      </c>
      <c r="E40" s="223">
        <f t="shared" si="47"/>
        <v>0</v>
      </c>
      <c r="F40" s="223">
        <f t="shared" si="47"/>
        <v>0</v>
      </c>
      <c r="G40" s="223">
        <f t="shared" si="47"/>
        <v>0</v>
      </c>
      <c r="H40" s="223">
        <f t="shared" si="47"/>
        <v>0</v>
      </c>
      <c r="I40" s="223">
        <f t="shared" si="47"/>
        <v>0</v>
      </c>
      <c r="J40" s="78">
        <f t="shared" si="1"/>
        <v>5672544417.3299999</v>
      </c>
      <c r="K40" s="223">
        <f t="shared" ref="K40:P40" si="48">+K41</f>
        <v>0</v>
      </c>
      <c r="L40" s="223">
        <f t="shared" si="48"/>
        <v>0</v>
      </c>
      <c r="M40" s="312">
        <f t="shared" si="48"/>
        <v>0</v>
      </c>
      <c r="N40" s="223">
        <f t="shared" si="48"/>
        <v>0</v>
      </c>
      <c r="O40" s="223">
        <f t="shared" si="48"/>
        <v>0</v>
      </c>
      <c r="P40" s="223">
        <f t="shared" si="48"/>
        <v>0</v>
      </c>
      <c r="Q40" s="206">
        <f t="shared" si="7"/>
        <v>0</v>
      </c>
      <c r="R40" s="223">
        <f t="shared" ref="R40:Y40" si="49">+R41</f>
        <v>0</v>
      </c>
      <c r="S40" s="223">
        <f t="shared" si="49"/>
        <v>0</v>
      </c>
      <c r="T40" s="223">
        <f t="shared" si="49"/>
        <v>0</v>
      </c>
      <c r="U40" s="223">
        <f t="shared" si="49"/>
        <v>0</v>
      </c>
      <c r="V40" s="223">
        <f t="shared" si="49"/>
        <v>0</v>
      </c>
      <c r="W40" s="223">
        <f t="shared" si="49"/>
        <v>0</v>
      </c>
      <c r="X40" s="223">
        <f t="shared" si="49"/>
        <v>0</v>
      </c>
      <c r="Y40" s="223">
        <f t="shared" si="49"/>
        <v>0</v>
      </c>
      <c r="Z40" s="206">
        <f t="shared" si="36"/>
        <v>0</v>
      </c>
      <c r="AA40" s="206">
        <f t="shared" si="9"/>
        <v>0</v>
      </c>
      <c r="AB40" s="207">
        <f t="shared" si="10"/>
        <v>0</v>
      </c>
    </row>
    <row r="41" spans="1:28" ht="28.5" x14ac:dyDescent="0.2">
      <c r="A41" s="76" t="s">
        <v>1155</v>
      </c>
      <c r="B41" s="77" t="s">
        <v>1156</v>
      </c>
      <c r="C41" s="218">
        <v>5672544417.3299999</v>
      </c>
      <c r="D41" s="188"/>
      <c r="E41" s="218"/>
      <c r="F41" s="218"/>
      <c r="G41" s="218"/>
      <c r="H41" s="218"/>
      <c r="I41" s="218"/>
      <c r="J41" s="128">
        <f t="shared" si="1"/>
        <v>5672544417.3299999</v>
      </c>
      <c r="K41" s="218"/>
      <c r="L41" s="218"/>
      <c r="M41" s="313"/>
      <c r="N41" s="218"/>
      <c r="O41" s="218"/>
      <c r="P41" s="218"/>
      <c r="Q41" s="206">
        <f t="shared" si="7"/>
        <v>0</v>
      </c>
      <c r="R41" s="218"/>
      <c r="S41" s="218"/>
      <c r="T41" s="218"/>
      <c r="U41" s="218"/>
      <c r="V41" s="218"/>
      <c r="W41" s="218"/>
      <c r="X41" s="218"/>
      <c r="Y41" s="218"/>
      <c r="Z41" s="206">
        <f t="shared" si="36"/>
        <v>0</v>
      </c>
      <c r="AA41" s="206">
        <f t="shared" si="9"/>
        <v>0</v>
      </c>
      <c r="AB41" s="207">
        <f t="shared" si="10"/>
        <v>0</v>
      </c>
    </row>
    <row r="42" spans="1:28" s="63" customFormat="1" ht="19.5" x14ac:dyDescent="0.2">
      <c r="A42" s="81" t="s">
        <v>1157</v>
      </c>
      <c r="B42" s="79" t="s">
        <v>1158</v>
      </c>
      <c r="C42" s="223">
        <f>SUM(C43:C44)</f>
        <v>8238827482.9099998</v>
      </c>
      <c r="D42" s="223">
        <f t="shared" ref="D42:I42" si="50">SUM(D43:D44)</f>
        <v>0</v>
      </c>
      <c r="E42" s="223">
        <f t="shared" si="50"/>
        <v>0</v>
      </c>
      <c r="F42" s="223">
        <f t="shared" si="50"/>
        <v>0</v>
      </c>
      <c r="G42" s="223">
        <f t="shared" si="50"/>
        <v>0</v>
      </c>
      <c r="H42" s="223">
        <f t="shared" si="50"/>
        <v>0</v>
      </c>
      <c r="I42" s="223">
        <f t="shared" si="50"/>
        <v>0</v>
      </c>
      <c r="J42" s="78">
        <f t="shared" si="1"/>
        <v>8238827482.9099998</v>
      </c>
      <c r="K42" s="223">
        <f t="shared" ref="K42:P42" si="51">SUM(K43:K44)</f>
        <v>0</v>
      </c>
      <c r="L42" s="223">
        <f t="shared" si="51"/>
        <v>0</v>
      </c>
      <c r="M42" s="312">
        <f t="shared" si="51"/>
        <v>0</v>
      </c>
      <c r="N42" s="223">
        <f t="shared" si="51"/>
        <v>0</v>
      </c>
      <c r="O42" s="223">
        <f t="shared" si="51"/>
        <v>0</v>
      </c>
      <c r="P42" s="223">
        <f t="shared" si="51"/>
        <v>0</v>
      </c>
      <c r="Q42" s="206">
        <f t="shared" si="7"/>
        <v>0</v>
      </c>
      <c r="R42" s="223">
        <f t="shared" ref="R42:Y42" si="52">SUM(R43:R44)</f>
        <v>0</v>
      </c>
      <c r="S42" s="223">
        <f t="shared" si="52"/>
        <v>0</v>
      </c>
      <c r="T42" s="223">
        <f t="shared" si="52"/>
        <v>0</v>
      </c>
      <c r="U42" s="223">
        <f t="shared" si="52"/>
        <v>0</v>
      </c>
      <c r="V42" s="223">
        <f t="shared" si="52"/>
        <v>0</v>
      </c>
      <c r="W42" s="223">
        <f t="shared" si="52"/>
        <v>0</v>
      </c>
      <c r="X42" s="223">
        <f t="shared" si="52"/>
        <v>0</v>
      </c>
      <c r="Y42" s="223">
        <f t="shared" si="52"/>
        <v>0</v>
      </c>
      <c r="Z42" s="206">
        <f t="shared" si="36"/>
        <v>0</v>
      </c>
      <c r="AA42" s="206">
        <f t="shared" si="9"/>
        <v>0</v>
      </c>
      <c r="AB42" s="207">
        <f t="shared" si="10"/>
        <v>0</v>
      </c>
    </row>
    <row r="43" spans="1:28" ht="19.5" x14ac:dyDescent="0.2">
      <c r="A43" s="76" t="s">
        <v>1159</v>
      </c>
      <c r="B43" s="77" t="s">
        <v>1158</v>
      </c>
      <c r="C43" s="218">
        <v>2180866633.8000002</v>
      </c>
      <c r="D43" s="188"/>
      <c r="E43" s="218"/>
      <c r="F43" s="218"/>
      <c r="G43" s="218"/>
      <c r="H43" s="218"/>
      <c r="I43" s="218"/>
      <c r="J43" s="128">
        <f t="shared" si="1"/>
        <v>2180866633.8000002</v>
      </c>
      <c r="K43" s="218"/>
      <c r="L43" s="218"/>
      <c r="M43" s="313"/>
      <c r="N43" s="218"/>
      <c r="O43" s="218"/>
      <c r="P43" s="218"/>
      <c r="Q43" s="206">
        <f t="shared" si="7"/>
        <v>0</v>
      </c>
      <c r="R43" s="218"/>
      <c r="S43" s="218"/>
      <c r="T43" s="218"/>
      <c r="U43" s="218"/>
      <c r="V43" s="218"/>
      <c r="W43" s="218"/>
      <c r="X43" s="218"/>
      <c r="Y43" s="218"/>
      <c r="Z43" s="206">
        <f t="shared" si="36"/>
        <v>0</v>
      </c>
      <c r="AA43" s="206">
        <f t="shared" si="9"/>
        <v>0</v>
      </c>
      <c r="AB43" s="207">
        <f t="shared" si="10"/>
        <v>0</v>
      </c>
    </row>
    <row r="44" spans="1:28" ht="42.75" customHeight="1" thickBot="1" x14ac:dyDescent="0.25">
      <c r="A44" s="158" t="s">
        <v>1160</v>
      </c>
      <c r="B44" s="221" t="s">
        <v>1161</v>
      </c>
      <c r="C44" s="251">
        <v>6057960849.1099997</v>
      </c>
      <c r="D44" s="222"/>
      <c r="E44" s="251"/>
      <c r="F44" s="251"/>
      <c r="G44" s="251"/>
      <c r="H44" s="251"/>
      <c r="I44" s="251"/>
      <c r="J44" s="129">
        <f t="shared" si="1"/>
        <v>6057960849.1099997</v>
      </c>
      <c r="K44" s="251"/>
      <c r="L44" s="251"/>
      <c r="M44" s="314"/>
      <c r="N44" s="251"/>
      <c r="O44" s="251"/>
      <c r="P44" s="251"/>
      <c r="Q44" s="252">
        <f t="shared" si="7"/>
        <v>0</v>
      </c>
      <c r="R44" s="251"/>
      <c r="S44" s="251"/>
      <c r="T44" s="251"/>
      <c r="U44" s="251"/>
      <c r="V44" s="251"/>
      <c r="W44" s="251"/>
      <c r="X44" s="251"/>
      <c r="Y44" s="251"/>
      <c r="Z44" s="252">
        <f t="shared" si="36"/>
        <v>0</v>
      </c>
      <c r="AA44" s="252">
        <f t="shared" si="9"/>
        <v>0</v>
      </c>
      <c r="AB44" s="253">
        <f t="shared" si="10"/>
        <v>0</v>
      </c>
    </row>
    <row r="45" spans="1:28" s="262" customFormat="1" ht="48.75" customHeight="1" thickBot="1" x14ac:dyDescent="0.25">
      <c r="A45" s="484" t="s">
        <v>1167</v>
      </c>
      <c r="B45" s="485"/>
      <c r="C45" s="271">
        <f>+C11</f>
        <v>120026931916.25002</v>
      </c>
      <c r="D45" s="271">
        <f t="shared" ref="D45:AA45" si="53">+D11</f>
        <v>21672702486</v>
      </c>
      <c r="E45" s="271">
        <f t="shared" si="53"/>
        <v>0</v>
      </c>
      <c r="F45" s="271">
        <f t="shared" si="53"/>
        <v>0</v>
      </c>
      <c r="G45" s="271">
        <f t="shared" si="53"/>
        <v>0</v>
      </c>
      <c r="H45" s="271">
        <f t="shared" si="53"/>
        <v>0</v>
      </c>
      <c r="I45" s="271">
        <f t="shared" si="53"/>
        <v>0</v>
      </c>
      <c r="J45" s="271">
        <f t="shared" si="53"/>
        <v>141699634402.25</v>
      </c>
      <c r="K45" s="271">
        <f t="shared" si="53"/>
        <v>0</v>
      </c>
      <c r="L45" s="271">
        <f t="shared" si="53"/>
        <v>0</v>
      </c>
      <c r="M45" s="271">
        <f t="shared" si="53"/>
        <v>30090958332.719997</v>
      </c>
      <c r="N45" s="271">
        <f t="shared" si="53"/>
        <v>0</v>
      </c>
      <c r="O45" s="271">
        <f t="shared" si="53"/>
        <v>0</v>
      </c>
      <c r="P45" s="271">
        <f t="shared" si="53"/>
        <v>0</v>
      </c>
      <c r="Q45" s="271">
        <f t="shared" si="53"/>
        <v>30090958332.719997</v>
      </c>
      <c r="R45" s="271">
        <f t="shared" si="53"/>
        <v>0</v>
      </c>
      <c r="S45" s="271">
        <f t="shared" si="53"/>
        <v>0</v>
      </c>
      <c r="T45" s="271">
        <f t="shared" si="53"/>
        <v>0</v>
      </c>
      <c r="U45" s="271">
        <f t="shared" si="53"/>
        <v>0</v>
      </c>
      <c r="V45" s="271">
        <f t="shared" si="53"/>
        <v>0</v>
      </c>
      <c r="W45" s="271">
        <f t="shared" si="53"/>
        <v>0</v>
      </c>
      <c r="X45" s="271">
        <f t="shared" si="53"/>
        <v>0</v>
      </c>
      <c r="Y45" s="271">
        <f t="shared" si="53"/>
        <v>0</v>
      </c>
      <c r="Z45" s="271">
        <f t="shared" si="53"/>
        <v>0</v>
      </c>
      <c r="AA45" s="271">
        <f t="shared" si="53"/>
        <v>30090958332.719997</v>
      </c>
      <c r="AB45" s="272">
        <f>AA45/J45</f>
        <v>0.21235734629561043</v>
      </c>
    </row>
    <row r="46" spans="1:28" ht="14.25" x14ac:dyDescent="0.2">
      <c r="A46" s="241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315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</row>
    <row r="47" spans="1:28" ht="14.25" x14ac:dyDescent="0.2">
      <c r="A47" s="240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3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</row>
    <row r="48" spans="1:28" ht="14.25" x14ac:dyDescent="0.2">
      <c r="A48" s="233"/>
      <c r="B48" s="234"/>
      <c r="C48" s="196"/>
      <c r="D48" s="196"/>
      <c r="E48" s="196"/>
      <c r="F48" s="196"/>
      <c r="G48" s="196"/>
      <c r="H48" s="196"/>
      <c r="I48" s="196"/>
      <c r="J48" s="196"/>
      <c r="K48" s="144"/>
      <c r="L48" s="144"/>
      <c r="M48" s="145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79"/>
    </row>
    <row r="49" spans="1:28" x14ac:dyDescent="0.2">
      <c r="B49" s="40"/>
      <c r="D49" s="148"/>
      <c r="E49" s="148"/>
      <c r="F49" s="148"/>
      <c r="G49" s="148"/>
      <c r="H49" s="148"/>
      <c r="I49" s="148"/>
      <c r="J49" s="148"/>
    </row>
    <row r="50" spans="1:28" ht="15.75" x14ac:dyDescent="0.2">
      <c r="A50" s="466" t="s">
        <v>53</v>
      </c>
      <c r="B50" s="466"/>
      <c r="C50" s="466"/>
      <c r="D50" s="466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  <c r="W50" s="466"/>
      <c r="X50" s="466"/>
      <c r="Y50" s="466"/>
      <c r="Z50" s="466"/>
      <c r="AA50" s="466"/>
      <c r="AB50" s="466"/>
    </row>
    <row r="51" spans="1:28" ht="14.25" x14ac:dyDescent="0.2">
      <c r="A51" s="456" t="s">
        <v>83</v>
      </c>
      <c r="B51" s="456"/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O51" s="456"/>
      <c r="P51" s="456"/>
      <c r="Q51" s="456"/>
      <c r="R51" s="456"/>
      <c r="S51" s="456"/>
      <c r="T51" s="456"/>
      <c r="U51" s="456"/>
      <c r="V51" s="456"/>
      <c r="W51" s="456"/>
      <c r="X51" s="456"/>
      <c r="Y51" s="456"/>
      <c r="Z51" s="456"/>
      <c r="AA51" s="456"/>
      <c r="AB51" s="456"/>
    </row>
    <row r="52" spans="1:28" x14ac:dyDescent="0.2">
      <c r="D52" s="191"/>
      <c r="E52" s="148"/>
      <c r="F52" s="148"/>
      <c r="G52" s="148"/>
    </row>
    <row r="53" spans="1:28" x14ac:dyDescent="0.2">
      <c r="D53" s="191"/>
      <c r="E53" s="148"/>
      <c r="F53" s="148"/>
      <c r="G53" s="148"/>
    </row>
    <row r="54" spans="1:28" x14ac:dyDescent="0.2">
      <c r="D54" s="191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</row>
    <row r="55" spans="1:28" x14ac:dyDescent="0.2">
      <c r="D55" s="191"/>
      <c r="E55" s="148"/>
      <c r="F55" s="148"/>
      <c r="G55" s="148"/>
    </row>
    <row r="56" spans="1:28" x14ac:dyDescent="0.2">
      <c r="D56" s="148"/>
      <c r="E56" s="148"/>
      <c r="F56" s="148"/>
      <c r="G56" s="148"/>
      <c r="H56" s="148"/>
      <c r="I56" s="148"/>
      <c r="J56" s="148"/>
    </row>
    <row r="61" spans="1:28" s="124" customFormat="1" x14ac:dyDescent="0.2">
      <c r="A61" s="22"/>
      <c r="B61" s="1"/>
      <c r="C61" s="148"/>
      <c r="D61" s="186"/>
      <c r="E61" s="125"/>
      <c r="F61" s="136"/>
      <c r="G61" s="136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72"/>
    </row>
  </sheetData>
  <sheetProtection algorithmName="SHA-512" hashValue="75mredERDAZspmlW3Ypd2P+lpMZdKDc1mXKVnOqetAuQniu8KRXembiUZcLeE3dZ7o25g3YfZ5hxIX/WSm6WjQ==" saltValue="KgwPWf/SGirGRDnR7zHxQw==" spinCount="100000" sheet="1" objects="1" scenarios="1"/>
  <autoFilter ref="A8:AB51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</autoFilter>
  <mergeCells count="32">
    <mergeCell ref="AB9:AB10"/>
    <mergeCell ref="A45:B45"/>
    <mergeCell ref="A50:AB50"/>
    <mergeCell ref="A51:AB51"/>
    <mergeCell ref="V9:V10"/>
    <mergeCell ref="W9:W10"/>
    <mergeCell ref="X9:X10"/>
    <mergeCell ref="Y9:Y10"/>
    <mergeCell ref="Z9:Z10"/>
    <mergeCell ref="AA9:AA10"/>
    <mergeCell ref="P9:P10"/>
    <mergeCell ref="Q9:Q10"/>
    <mergeCell ref="R9:R10"/>
    <mergeCell ref="S9:S10"/>
    <mergeCell ref="T9:T10"/>
    <mergeCell ref="U9:U10"/>
    <mergeCell ref="O9:O10"/>
    <mergeCell ref="A8:AB8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N9:N10"/>
  </mergeCells>
  <printOptions gridLines="1"/>
  <pageMargins left="1.2598425196850394" right="0" top="0.59055118110236227" bottom="0.78740157480314965" header="0.51181102362204722" footer="0.59055118110236227"/>
  <pageSetup paperSize="5" scale="60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JULIO  2021 - ELABORO: JOSE LUNA DURAN.
                                       FUENTE: DIRECCION TECNICA DE CONTABILIDAD &amp;C&amp;P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7:AC1035"/>
  <sheetViews>
    <sheetView tabSelected="1" zoomScale="85" zoomScaleNormal="85" workbookViewId="0">
      <pane xSplit="3" ySplit="10" topLeftCell="K11" activePane="bottomRight" state="frozen"/>
      <selection pane="topRight" activeCell="D1" sqref="D1"/>
      <selection pane="bottomLeft" activeCell="A11" sqref="A11"/>
      <selection pane="bottomRight" activeCell="L54" sqref="L54"/>
    </sheetView>
  </sheetViews>
  <sheetFormatPr baseColWidth="10" defaultColWidth="11.42578125" defaultRowHeight="15" x14ac:dyDescent="0.2"/>
  <cols>
    <col min="1" max="1" width="0.140625" style="398" customWidth="1"/>
    <col min="2" max="2" width="29.28515625" style="22" customWidth="1"/>
    <col min="3" max="3" width="48.28515625" style="1" customWidth="1"/>
    <col min="4" max="4" width="25.85546875" style="326" hidden="1" customWidth="1"/>
    <col min="5" max="5" width="24.140625" style="186" hidden="1" customWidth="1"/>
    <col min="6" max="7" width="21" style="125" hidden="1" customWidth="1"/>
    <col min="8" max="8" width="21.7109375" style="125" hidden="1" customWidth="1"/>
    <col min="9" max="9" width="24.140625" style="125" hidden="1" customWidth="1"/>
    <col min="10" max="10" width="22.140625" style="125" hidden="1" customWidth="1"/>
    <col min="11" max="11" width="24.28515625" style="125" bestFit="1" customWidth="1"/>
    <col min="12" max="16" width="24.85546875" style="125" bestFit="1" customWidth="1"/>
    <col min="17" max="17" width="24.85546875" style="148" bestFit="1" customWidth="1"/>
    <col min="18" max="18" width="24.140625" style="125" hidden="1" customWidth="1"/>
    <col min="19" max="19" width="24.85546875" style="125" bestFit="1" customWidth="1"/>
    <col min="20" max="24" width="22.7109375" style="125" hidden="1" customWidth="1"/>
    <col min="25" max="25" width="20" style="125" customWidth="1"/>
    <col min="26" max="26" width="24" style="125" hidden="1" customWidth="1"/>
    <col min="27" max="27" width="24.140625" style="125" hidden="1" customWidth="1"/>
    <col min="28" max="28" width="23.85546875" style="125" customWidth="1"/>
    <col min="29" max="29" width="10" style="172" bestFit="1" customWidth="1"/>
    <col min="30" max="16384" width="11.42578125" style="1"/>
  </cols>
  <sheetData>
    <row r="7" spans="1:29" ht="15.75" thickBot="1" x14ac:dyDescent="0.25"/>
    <row r="8" spans="1:29" ht="35.25" customHeight="1" thickBot="1" x14ac:dyDescent="0.25">
      <c r="A8" s="15" t="s">
        <v>35</v>
      </c>
      <c r="B8" s="467" t="s">
        <v>1888</v>
      </c>
      <c r="C8" s="468"/>
      <c r="D8" s="468"/>
      <c r="E8" s="468"/>
      <c r="F8" s="468"/>
      <c r="G8" s="468"/>
      <c r="H8" s="468"/>
      <c r="I8" s="468"/>
      <c r="J8" s="468"/>
      <c r="K8" s="468"/>
      <c r="L8" s="468"/>
      <c r="M8" s="468"/>
      <c r="N8" s="468"/>
      <c r="O8" s="468"/>
      <c r="P8" s="468"/>
      <c r="Q8" s="486"/>
      <c r="R8" s="468"/>
      <c r="S8" s="468"/>
      <c r="T8" s="468"/>
      <c r="U8" s="468"/>
      <c r="V8" s="468"/>
      <c r="W8" s="468"/>
      <c r="X8" s="468"/>
      <c r="Y8" s="468"/>
      <c r="Z8" s="468"/>
      <c r="AA8" s="468"/>
      <c r="AB8" s="468"/>
      <c r="AC8" s="469"/>
    </row>
    <row r="9" spans="1:29" s="72" customFormat="1" x14ac:dyDescent="0.2">
      <c r="A9" s="71">
        <v>1</v>
      </c>
      <c r="B9" s="470" t="s">
        <v>40</v>
      </c>
      <c r="C9" s="470" t="s">
        <v>244</v>
      </c>
      <c r="D9" s="472" t="s">
        <v>243</v>
      </c>
      <c r="E9" s="474" t="s">
        <v>240</v>
      </c>
      <c r="F9" s="450" t="s">
        <v>241</v>
      </c>
      <c r="G9" s="450" t="s">
        <v>27</v>
      </c>
      <c r="H9" s="450" t="s">
        <v>28</v>
      </c>
      <c r="I9" s="450" t="s">
        <v>38</v>
      </c>
      <c r="J9" s="450" t="s">
        <v>379</v>
      </c>
      <c r="K9" s="450" t="s">
        <v>242</v>
      </c>
      <c r="L9" s="450" t="s">
        <v>4</v>
      </c>
      <c r="M9" s="450" t="s">
        <v>5</v>
      </c>
      <c r="N9" s="450" t="s">
        <v>6</v>
      </c>
      <c r="O9" s="450" t="s">
        <v>7</v>
      </c>
      <c r="P9" s="450" t="s">
        <v>8</v>
      </c>
      <c r="Q9" s="450" t="s">
        <v>39</v>
      </c>
      <c r="R9" s="450" t="s">
        <v>245</v>
      </c>
      <c r="S9" s="450" t="s">
        <v>11</v>
      </c>
      <c r="T9" s="450" t="s">
        <v>12</v>
      </c>
      <c r="U9" s="450" t="s">
        <v>13</v>
      </c>
      <c r="V9" s="450" t="s">
        <v>14</v>
      </c>
      <c r="W9" s="450" t="s">
        <v>15</v>
      </c>
      <c r="X9" s="450" t="s">
        <v>16</v>
      </c>
      <c r="Y9" s="450" t="s">
        <v>50</v>
      </c>
      <c r="Z9" s="450" t="s">
        <v>51</v>
      </c>
      <c r="AA9" s="450" t="s">
        <v>248</v>
      </c>
      <c r="AB9" s="450" t="s">
        <v>246</v>
      </c>
      <c r="AC9" s="457" t="s">
        <v>247</v>
      </c>
    </row>
    <row r="10" spans="1:29" s="152" customFormat="1" ht="15.75" thickBot="1" x14ac:dyDescent="0.25">
      <c r="A10" s="71">
        <v>1</v>
      </c>
      <c r="B10" s="471"/>
      <c r="C10" s="471"/>
      <c r="D10" s="473"/>
      <c r="E10" s="47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  <c r="AC10" s="458"/>
    </row>
    <row r="11" spans="1:29" s="170" customFormat="1" ht="19.5" x14ac:dyDescent="0.2">
      <c r="A11" s="224">
        <v>1</v>
      </c>
      <c r="B11" s="225" t="s">
        <v>382</v>
      </c>
      <c r="C11" s="226" t="s">
        <v>114</v>
      </c>
      <c r="D11" s="327">
        <f>+D12+D245</f>
        <v>707007905818</v>
      </c>
      <c r="E11" s="307">
        <f>SUM('ADICIONES  2021'!C11:I11)</f>
        <v>324396293021.59991</v>
      </c>
      <c r="F11" s="327">
        <f t="shared" ref="F11:J11" si="0">+F12+F245</f>
        <v>2634273900</v>
      </c>
      <c r="G11" s="327">
        <f t="shared" si="0"/>
        <v>350000000</v>
      </c>
      <c r="H11" s="327">
        <f t="shared" si="0"/>
        <v>2500000000</v>
      </c>
      <c r="I11" s="327">
        <f t="shared" si="0"/>
        <v>0</v>
      </c>
      <c r="J11" s="327">
        <f t="shared" si="0"/>
        <v>0</v>
      </c>
      <c r="K11" s="227">
        <f t="shared" ref="K11:K74" si="1">+D11+E11-F11+G11-H11</f>
        <v>1026619924939.5999</v>
      </c>
      <c r="L11" s="327">
        <f t="shared" ref="L11:Q11" si="2">+L12+L245</f>
        <v>62802238400.790802</v>
      </c>
      <c r="M11" s="327">
        <f t="shared" si="2"/>
        <v>58423450867.341599</v>
      </c>
      <c r="N11" s="327">
        <f t="shared" si="2"/>
        <v>70401016286.063797</v>
      </c>
      <c r="O11" s="327">
        <f t="shared" si="2"/>
        <v>51327542578.488396</v>
      </c>
      <c r="P11" s="327">
        <f t="shared" si="2"/>
        <v>191151139764.5152</v>
      </c>
      <c r="Q11" s="446">
        <f t="shared" si="2"/>
        <v>67443652601.886795</v>
      </c>
      <c r="R11" s="227">
        <f>SUM(L11:Q11)</f>
        <v>501549040499.08661</v>
      </c>
      <c r="S11" s="327">
        <f t="shared" ref="S11:Z11" si="3">+S12+S245</f>
        <v>47386734909.559204</v>
      </c>
      <c r="T11" s="327">
        <f t="shared" si="3"/>
        <v>0</v>
      </c>
      <c r="U11" s="327">
        <f t="shared" si="3"/>
        <v>0</v>
      </c>
      <c r="V11" s="327">
        <f t="shared" si="3"/>
        <v>0</v>
      </c>
      <c r="W11" s="327">
        <f t="shared" si="3"/>
        <v>0</v>
      </c>
      <c r="X11" s="327">
        <f t="shared" si="3"/>
        <v>0</v>
      </c>
      <c r="Y11" s="327">
        <f t="shared" si="3"/>
        <v>-526413195</v>
      </c>
      <c r="Z11" s="327">
        <f t="shared" si="3"/>
        <v>0</v>
      </c>
      <c r="AA11" s="227">
        <f>SUM(S11:Z11)</f>
        <v>46860321714.559204</v>
      </c>
      <c r="AB11" s="227">
        <f>+R11+AA11</f>
        <v>548409362213.64581</v>
      </c>
      <c r="AC11" s="228">
        <f>+AB11/K11</f>
        <v>0.53418928358117623</v>
      </c>
    </row>
    <row r="12" spans="1:29" s="170" customFormat="1" ht="19.5" x14ac:dyDescent="0.2">
      <c r="A12" s="224">
        <v>1</v>
      </c>
      <c r="B12" s="229" t="s">
        <v>383</v>
      </c>
      <c r="C12" s="230" t="s">
        <v>84</v>
      </c>
      <c r="D12" s="328">
        <f>+D13+D142</f>
        <v>582619008818</v>
      </c>
      <c r="E12" s="197">
        <f>SUM('ADICIONES  2021'!C12:I12)</f>
        <v>0</v>
      </c>
      <c r="F12" s="219">
        <f t="shared" ref="F12:J12" si="4">+F13+F142</f>
        <v>684211000</v>
      </c>
      <c r="G12" s="219">
        <f t="shared" si="4"/>
        <v>350000000</v>
      </c>
      <c r="H12" s="219">
        <f t="shared" si="4"/>
        <v>0</v>
      </c>
      <c r="I12" s="219">
        <f t="shared" si="4"/>
        <v>0</v>
      </c>
      <c r="J12" s="219">
        <f t="shared" si="4"/>
        <v>0</v>
      </c>
      <c r="K12" s="231">
        <f t="shared" si="1"/>
        <v>582284797818</v>
      </c>
      <c r="L12" s="219">
        <f t="shared" ref="L12:Q12" si="5">+L13+L142</f>
        <v>62367276215.010803</v>
      </c>
      <c r="M12" s="219">
        <f t="shared" si="5"/>
        <v>57824089436.351601</v>
      </c>
      <c r="N12" s="219">
        <f t="shared" si="5"/>
        <v>62329162730.733803</v>
      </c>
      <c r="O12" s="219">
        <f t="shared" si="5"/>
        <v>50508784969.118393</v>
      </c>
      <c r="P12" s="219">
        <f t="shared" si="5"/>
        <v>45843322928.315201</v>
      </c>
      <c r="Q12" s="220">
        <f t="shared" si="5"/>
        <v>52420895799.0168</v>
      </c>
      <c r="R12" s="231">
        <f>SUM(L12:Q12)</f>
        <v>331293532078.54657</v>
      </c>
      <c r="S12" s="219">
        <f t="shared" ref="S12:Z12" si="6">+S13+S142</f>
        <v>46848926824.759201</v>
      </c>
      <c r="T12" s="219">
        <f t="shared" si="6"/>
        <v>0</v>
      </c>
      <c r="U12" s="219">
        <f t="shared" si="6"/>
        <v>0</v>
      </c>
      <c r="V12" s="219">
        <f t="shared" si="6"/>
        <v>0</v>
      </c>
      <c r="W12" s="219">
        <f t="shared" si="6"/>
        <v>0</v>
      </c>
      <c r="X12" s="219">
        <f t="shared" si="6"/>
        <v>0</v>
      </c>
      <c r="Y12" s="219">
        <f t="shared" si="6"/>
        <v>-526413195</v>
      </c>
      <c r="Z12" s="219">
        <f t="shared" si="6"/>
        <v>0</v>
      </c>
      <c r="AA12" s="231">
        <f>SUM(S12:Z12)</f>
        <v>46322513629.759201</v>
      </c>
      <c r="AB12" s="231">
        <f>+R12+AA12</f>
        <v>377616045708.30579</v>
      </c>
      <c r="AC12" s="232">
        <f>+AB12/K12</f>
        <v>0.64850747799590358</v>
      </c>
    </row>
    <row r="13" spans="1:29" s="170" customFormat="1" ht="19.5" x14ac:dyDescent="0.2">
      <c r="A13" s="224">
        <v>1</v>
      </c>
      <c r="B13" s="229" t="s">
        <v>384</v>
      </c>
      <c r="C13" s="230" t="s">
        <v>124</v>
      </c>
      <c r="D13" s="328">
        <f>+D14+D30</f>
        <v>455859200000</v>
      </c>
      <c r="E13" s="197">
        <f>SUM('ADICIONES  2021'!C13:I13)</f>
        <v>0</v>
      </c>
      <c r="F13" s="219">
        <f t="shared" ref="F13:J13" si="7">+F14+F30</f>
        <v>0</v>
      </c>
      <c r="G13" s="219">
        <f t="shared" si="7"/>
        <v>350000000</v>
      </c>
      <c r="H13" s="219">
        <f t="shared" si="7"/>
        <v>0</v>
      </c>
      <c r="I13" s="219">
        <f t="shared" si="7"/>
        <v>0</v>
      </c>
      <c r="J13" s="219">
        <f t="shared" si="7"/>
        <v>0</v>
      </c>
      <c r="K13" s="231">
        <f t="shared" si="1"/>
        <v>456209200000</v>
      </c>
      <c r="L13" s="219">
        <f t="shared" ref="L13:Q13" si="8">+L14+L30</f>
        <v>50756265093.7808</v>
      </c>
      <c r="M13" s="219">
        <f t="shared" si="8"/>
        <v>46379196831.062401</v>
      </c>
      <c r="N13" s="219">
        <f t="shared" si="8"/>
        <v>49545698155.124802</v>
      </c>
      <c r="O13" s="219">
        <f t="shared" si="8"/>
        <v>40399733288.958397</v>
      </c>
      <c r="P13" s="219">
        <f t="shared" si="8"/>
        <v>34054135695.235199</v>
      </c>
      <c r="Q13" s="220">
        <f t="shared" si="8"/>
        <v>38808368131.676804</v>
      </c>
      <c r="R13" s="231">
        <f t="shared" ref="R13:R76" si="9">SUM(L13:Q13)</f>
        <v>259943397195.83844</v>
      </c>
      <c r="S13" s="219">
        <f t="shared" ref="S13:Z13" si="10">+S14+S30</f>
        <v>33399461059.579201</v>
      </c>
      <c r="T13" s="219">
        <f t="shared" si="10"/>
        <v>0</v>
      </c>
      <c r="U13" s="219">
        <f t="shared" si="10"/>
        <v>0</v>
      </c>
      <c r="V13" s="219">
        <f t="shared" si="10"/>
        <v>0</v>
      </c>
      <c r="W13" s="219">
        <f t="shared" si="10"/>
        <v>0</v>
      </c>
      <c r="X13" s="219">
        <f t="shared" si="10"/>
        <v>0</v>
      </c>
      <c r="Y13" s="219">
        <f t="shared" si="10"/>
        <v>-526413195</v>
      </c>
      <c r="Z13" s="219">
        <f t="shared" si="10"/>
        <v>0</v>
      </c>
      <c r="AA13" s="231">
        <f t="shared" ref="AA13:AA16" si="11">SUM(S13:Z13)</f>
        <v>32873047864.579201</v>
      </c>
      <c r="AB13" s="231">
        <f t="shared" ref="AB13:AB76" si="12">+R13+AA13</f>
        <v>292816445060.41766</v>
      </c>
      <c r="AC13" s="232">
        <f t="shared" ref="AC13:AC76" si="13">+AB13/K13</f>
        <v>0.64184686556171522</v>
      </c>
    </row>
    <row r="14" spans="1:29" s="63" customFormat="1" ht="19.5" x14ac:dyDescent="0.2">
      <c r="A14" s="399">
        <v>1</v>
      </c>
      <c r="B14" s="81" t="s">
        <v>385</v>
      </c>
      <c r="C14" s="79" t="s">
        <v>386</v>
      </c>
      <c r="D14" s="329">
        <f>+D15</f>
        <v>73750000000</v>
      </c>
      <c r="E14" s="306">
        <f>SUM('ADICIONES  2021'!C14:I14)</f>
        <v>0</v>
      </c>
      <c r="F14" s="223">
        <f t="shared" ref="F14:Z14" si="14">+F15</f>
        <v>0</v>
      </c>
      <c r="G14" s="223">
        <f t="shared" si="14"/>
        <v>0</v>
      </c>
      <c r="H14" s="223">
        <f t="shared" si="14"/>
        <v>0</v>
      </c>
      <c r="I14" s="223">
        <f t="shared" si="14"/>
        <v>0</v>
      </c>
      <c r="J14" s="223">
        <f t="shared" si="14"/>
        <v>0</v>
      </c>
      <c r="K14" s="78">
        <f t="shared" si="1"/>
        <v>73750000000</v>
      </c>
      <c r="L14" s="223">
        <f t="shared" si="14"/>
        <v>7045710279</v>
      </c>
      <c r="M14" s="223">
        <f t="shared" si="14"/>
        <v>10591392132</v>
      </c>
      <c r="N14" s="223">
        <f t="shared" si="14"/>
        <v>21843042324</v>
      </c>
      <c r="O14" s="223">
        <f t="shared" si="14"/>
        <v>9616536676</v>
      </c>
      <c r="P14" s="223">
        <f t="shared" si="14"/>
        <v>3967908499</v>
      </c>
      <c r="Q14" s="223">
        <f t="shared" si="14"/>
        <v>9155983000</v>
      </c>
      <c r="R14" s="78">
        <f t="shared" si="9"/>
        <v>62220572910</v>
      </c>
      <c r="S14" s="223">
        <f t="shared" si="14"/>
        <v>3806088859</v>
      </c>
      <c r="T14" s="223">
        <f t="shared" si="14"/>
        <v>0</v>
      </c>
      <c r="U14" s="223">
        <f t="shared" si="14"/>
        <v>0</v>
      </c>
      <c r="V14" s="223">
        <f t="shared" si="14"/>
        <v>0</v>
      </c>
      <c r="W14" s="223">
        <f t="shared" si="14"/>
        <v>0</v>
      </c>
      <c r="X14" s="223">
        <f t="shared" si="14"/>
        <v>0</v>
      </c>
      <c r="Y14" s="223">
        <f t="shared" si="14"/>
        <v>0</v>
      </c>
      <c r="Z14" s="223">
        <f t="shared" si="14"/>
        <v>0</v>
      </c>
      <c r="AA14" s="78">
        <f t="shared" si="11"/>
        <v>3806088859</v>
      </c>
      <c r="AB14" s="78">
        <f t="shared" si="12"/>
        <v>66026661769</v>
      </c>
      <c r="AC14" s="174">
        <f t="shared" si="13"/>
        <v>0.89527676974915249</v>
      </c>
    </row>
    <row r="15" spans="1:29" s="63" customFormat="1" ht="33" customHeight="1" x14ac:dyDescent="0.2">
      <c r="A15" s="399">
        <v>1</v>
      </c>
      <c r="B15" s="81" t="s">
        <v>387</v>
      </c>
      <c r="C15" s="79" t="s">
        <v>168</v>
      </c>
      <c r="D15" s="329">
        <f>+D16+D23</f>
        <v>73750000000</v>
      </c>
      <c r="E15" s="306">
        <f>SUM('ADICIONES  2021'!C15:I15)</f>
        <v>0</v>
      </c>
      <c r="F15" s="223">
        <f t="shared" ref="F15:J15" si="15">+F16+F23</f>
        <v>0</v>
      </c>
      <c r="G15" s="223">
        <f t="shared" si="15"/>
        <v>0</v>
      </c>
      <c r="H15" s="223">
        <f t="shared" si="15"/>
        <v>0</v>
      </c>
      <c r="I15" s="223">
        <f t="shared" si="15"/>
        <v>0</v>
      </c>
      <c r="J15" s="223">
        <f t="shared" si="15"/>
        <v>0</v>
      </c>
      <c r="K15" s="78">
        <f t="shared" si="1"/>
        <v>73750000000</v>
      </c>
      <c r="L15" s="223">
        <f t="shared" ref="L15:Q15" si="16">+L16+L23</f>
        <v>7045710279</v>
      </c>
      <c r="M15" s="223">
        <f t="shared" si="16"/>
        <v>10591392132</v>
      </c>
      <c r="N15" s="223">
        <f t="shared" si="16"/>
        <v>21843042324</v>
      </c>
      <c r="O15" s="223">
        <f t="shared" si="16"/>
        <v>9616536676</v>
      </c>
      <c r="P15" s="223">
        <f t="shared" si="16"/>
        <v>3967908499</v>
      </c>
      <c r="Q15" s="223">
        <f t="shared" si="16"/>
        <v>9155983000</v>
      </c>
      <c r="R15" s="78">
        <f t="shared" si="9"/>
        <v>62220572910</v>
      </c>
      <c r="S15" s="223">
        <f t="shared" ref="S15:Z15" si="17">+S16+S23</f>
        <v>3806088859</v>
      </c>
      <c r="T15" s="223">
        <f t="shared" si="17"/>
        <v>0</v>
      </c>
      <c r="U15" s="223">
        <f t="shared" si="17"/>
        <v>0</v>
      </c>
      <c r="V15" s="223">
        <f t="shared" si="17"/>
        <v>0</v>
      </c>
      <c r="W15" s="223">
        <f t="shared" si="17"/>
        <v>0</v>
      </c>
      <c r="X15" s="223">
        <f t="shared" si="17"/>
        <v>0</v>
      </c>
      <c r="Y15" s="223">
        <f t="shared" si="17"/>
        <v>0</v>
      </c>
      <c r="Z15" s="223">
        <f t="shared" si="17"/>
        <v>0</v>
      </c>
      <c r="AA15" s="78">
        <f t="shared" si="11"/>
        <v>3806088859</v>
      </c>
      <c r="AB15" s="78">
        <f t="shared" si="12"/>
        <v>66026661769</v>
      </c>
      <c r="AC15" s="174">
        <f t="shared" si="13"/>
        <v>0.89527676974915249</v>
      </c>
    </row>
    <row r="16" spans="1:29" s="19" customFormat="1" ht="30" x14ac:dyDescent="0.2">
      <c r="A16" s="71">
        <v>1</v>
      </c>
      <c r="B16" s="82" t="s">
        <v>388</v>
      </c>
      <c r="C16" s="83" t="s">
        <v>169</v>
      </c>
      <c r="D16" s="329">
        <v>63750000000</v>
      </c>
      <c r="E16" s="187">
        <f>SUM('ADICIONES  2021'!C16:I16)</f>
        <v>0</v>
      </c>
      <c r="F16" s="78"/>
      <c r="G16" s="78"/>
      <c r="H16" s="78"/>
      <c r="I16" s="78"/>
      <c r="J16" s="78"/>
      <c r="K16" s="126">
        <f t="shared" si="1"/>
        <v>63750000000</v>
      </c>
      <c r="L16" s="126">
        <v>6104004590</v>
      </c>
      <c r="M16" s="126">
        <v>9271897650</v>
      </c>
      <c r="N16" s="126">
        <v>20274503880</v>
      </c>
      <c r="O16" s="126">
        <v>8569033250</v>
      </c>
      <c r="P16" s="126">
        <v>3349382400</v>
      </c>
      <c r="Q16" s="126">
        <v>8174259513</v>
      </c>
      <c r="R16" s="78">
        <f t="shared" si="9"/>
        <v>55743081283</v>
      </c>
      <c r="S16" s="126">
        <v>2453325169</v>
      </c>
      <c r="T16" s="78"/>
      <c r="U16" s="78"/>
      <c r="V16" s="78"/>
      <c r="W16" s="78"/>
      <c r="X16" s="78"/>
      <c r="Y16" s="126"/>
      <c r="Z16" s="78"/>
      <c r="AA16" s="78">
        <f t="shared" si="11"/>
        <v>2453325169</v>
      </c>
      <c r="AB16" s="126">
        <f t="shared" si="12"/>
        <v>58196406452</v>
      </c>
      <c r="AC16" s="180">
        <f t="shared" si="13"/>
        <v>0.91288480709019604</v>
      </c>
    </row>
    <row r="17" spans="1:29" ht="28.5" hidden="1" x14ac:dyDescent="0.2">
      <c r="B17" s="76" t="s">
        <v>389</v>
      </c>
      <c r="C17" s="77" t="s">
        <v>170</v>
      </c>
      <c r="D17" s="330">
        <f>+D16*69.7845456%</f>
        <v>44487647820</v>
      </c>
      <c r="E17" s="188">
        <f>SUM('ADICIONES  2021'!C17:I17)</f>
        <v>0</v>
      </c>
      <c r="F17" s="41">
        <f t="shared" ref="F17:J17" si="18">+F16*69.7845456%</f>
        <v>0</v>
      </c>
      <c r="G17" s="41">
        <f t="shared" si="18"/>
        <v>0</v>
      </c>
      <c r="H17" s="41">
        <f t="shared" si="18"/>
        <v>0</v>
      </c>
      <c r="I17" s="41">
        <f t="shared" si="18"/>
        <v>0</v>
      </c>
      <c r="J17" s="41">
        <f t="shared" si="18"/>
        <v>0</v>
      </c>
      <c r="K17" s="128">
        <f t="shared" si="1"/>
        <v>44487647820</v>
      </c>
      <c r="L17" s="41">
        <f t="shared" ref="L17:Q17" si="19">+L16*69.7845456%</f>
        <v>4259651866.5346432</v>
      </c>
      <c r="M17" s="41">
        <f t="shared" si="19"/>
        <v>6470351643.5495787</v>
      </c>
      <c r="N17" s="41">
        <f t="shared" si="19"/>
        <v>14148470405.31237</v>
      </c>
      <c r="O17" s="41">
        <f t="shared" si="19"/>
        <v>5979860915.8254118</v>
      </c>
      <c r="P17" s="41">
        <f t="shared" si="19"/>
        <v>2337351288.2463746</v>
      </c>
      <c r="Q17" s="409">
        <f t="shared" si="19"/>
        <v>5704369857.3118229</v>
      </c>
      <c r="R17" s="128">
        <f t="shared" si="9"/>
        <v>38900055976.780205</v>
      </c>
      <c r="S17" s="41">
        <f t="shared" ref="S17:Z17" si="20">+S16*69.7845456%</f>
        <v>1712041821.2770822</v>
      </c>
      <c r="T17" s="41">
        <f t="shared" si="20"/>
        <v>0</v>
      </c>
      <c r="U17" s="41">
        <f t="shared" si="20"/>
        <v>0</v>
      </c>
      <c r="V17" s="41">
        <f t="shared" si="20"/>
        <v>0</v>
      </c>
      <c r="W17" s="41">
        <f t="shared" si="20"/>
        <v>0</v>
      </c>
      <c r="X17" s="41">
        <f t="shared" si="20"/>
        <v>0</v>
      </c>
      <c r="Y17" s="41">
        <f t="shared" si="20"/>
        <v>0</v>
      </c>
      <c r="Z17" s="41">
        <f t="shared" si="20"/>
        <v>0</v>
      </c>
      <c r="AA17" s="128">
        <f>SUM(S17:Z17)</f>
        <v>1712041821.2770822</v>
      </c>
      <c r="AB17" s="128">
        <f t="shared" si="12"/>
        <v>40612097798.057289</v>
      </c>
      <c r="AC17" s="175">
        <f t="shared" si="13"/>
        <v>0.91288480709019626</v>
      </c>
    </row>
    <row r="18" spans="1:29" ht="28.5" hidden="1" x14ac:dyDescent="0.2">
      <c r="B18" s="76" t="s">
        <v>390</v>
      </c>
      <c r="C18" s="77" t="s">
        <v>171</v>
      </c>
      <c r="D18" s="330">
        <f>+D16*0.08%</f>
        <v>51000000</v>
      </c>
      <c r="E18" s="188">
        <f>SUM('ADICIONES  2021'!C18:I18)</f>
        <v>0</v>
      </c>
      <c r="F18" s="41">
        <f t="shared" ref="F18:J18" si="21">+F16*0.08%</f>
        <v>0</v>
      </c>
      <c r="G18" s="41">
        <f t="shared" si="21"/>
        <v>0</v>
      </c>
      <c r="H18" s="41">
        <f t="shared" si="21"/>
        <v>0</v>
      </c>
      <c r="I18" s="41">
        <f t="shared" si="21"/>
        <v>0</v>
      </c>
      <c r="J18" s="41">
        <f t="shared" si="21"/>
        <v>0</v>
      </c>
      <c r="K18" s="128">
        <f t="shared" si="1"/>
        <v>51000000</v>
      </c>
      <c r="L18" s="41">
        <f t="shared" ref="L18:Q18" si="22">+L16*0.08%</f>
        <v>4883203.6720000003</v>
      </c>
      <c r="M18" s="41">
        <f t="shared" si="22"/>
        <v>7417518.1200000001</v>
      </c>
      <c r="N18" s="41">
        <f t="shared" si="22"/>
        <v>16219603.104</v>
      </c>
      <c r="O18" s="41">
        <f t="shared" si="22"/>
        <v>6855226.6000000006</v>
      </c>
      <c r="P18" s="41">
        <f t="shared" si="22"/>
        <v>2679505.9199999999</v>
      </c>
      <c r="Q18" s="409">
        <f t="shared" si="22"/>
        <v>6539407.6104000006</v>
      </c>
      <c r="R18" s="128">
        <f t="shared" si="9"/>
        <v>44594465.0264</v>
      </c>
      <c r="S18" s="41">
        <f t="shared" ref="S18:Z18" si="23">+S16*0.08%</f>
        <v>1962660.1352000001</v>
      </c>
      <c r="T18" s="41">
        <f t="shared" si="23"/>
        <v>0</v>
      </c>
      <c r="U18" s="41">
        <f t="shared" si="23"/>
        <v>0</v>
      </c>
      <c r="V18" s="41">
        <f t="shared" si="23"/>
        <v>0</v>
      </c>
      <c r="W18" s="41">
        <f t="shared" si="23"/>
        <v>0</v>
      </c>
      <c r="X18" s="41">
        <f t="shared" si="23"/>
        <v>0</v>
      </c>
      <c r="Y18" s="41">
        <f t="shared" si="23"/>
        <v>0</v>
      </c>
      <c r="Z18" s="41">
        <f t="shared" si="23"/>
        <v>0</v>
      </c>
      <c r="AA18" s="128">
        <f t="shared" ref="AA18:AA81" si="24">SUM(S18:Z18)</f>
        <v>1962660.1352000001</v>
      </c>
      <c r="AB18" s="128">
        <f t="shared" si="12"/>
        <v>46557125.161600001</v>
      </c>
      <c r="AC18" s="175">
        <f t="shared" si="13"/>
        <v>0.91288480709019615</v>
      </c>
    </row>
    <row r="19" spans="1:29" ht="28.5" hidden="1" x14ac:dyDescent="0.2">
      <c r="B19" s="76" t="s">
        <v>391</v>
      </c>
      <c r="C19" s="77" t="s">
        <v>172</v>
      </c>
      <c r="D19" s="330">
        <f>+D16*7.992%</f>
        <v>5094900000</v>
      </c>
      <c r="E19" s="188">
        <f>SUM('ADICIONES  2021'!C19:I19)</f>
        <v>0</v>
      </c>
      <c r="F19" s="41">
        <f t="shared" ref="F19:J19" si="25">+F16*7.992%</f>
        <v>0</v>
      </c>
      <c r="G19" s="41">
        <f t="shared" si="25"/>
        <v>0</v>
      </c>
      <c r="H19" s="41">
        <f t="shared" si="25"/>
        <v>0</v>
      </c>
      <c r="I19" s="41">
        <f t="shared" si="25"/>
        <v>0</v>
      </c>
      <c r="J19" s="41">
        <f t="shared" si="25"/>
        <v>0</v>
      </c>
      <c r="K19" s="128">
        <f t="shared" si="1"/>
        <v>5094900000</v>
      </c>
      <c r="L19" s="41">
        <f t="shared" ref="L19:Q19" si="26">+L16*7.992%</f>
        <v>487832046.83280003</v>
      </c>
      <c r="M19" s="41">
        <f t="shared" si="26"/>
        <v>741010060.18800008</v>
      </c>
      <c r="N19" s="41">
        <f t="shared" si="26"/>
        <v>1620338350.0896001</v>
      </c>
      <c r="O19" s="41">
        <f t="shared" si="26"/>
        <v>684837137.34000003</v>
      </c>
      <c r="P19" s="41">
        <f t="shared" si="26"/>
        <v>267682641.40800002</v>
      </c>
      <c r="Q19" s="409">
        <f t="shared" si="26"/>
        <v>653286820.27895999</v>
      </c>
      <c r="R19" s="128">
        <f t="shared" si="9"/>
        <v>4454987056.1373606</v>
      </c>
      <c r="S19" s="41">
        <f t="shared" ref="S19:Z19" si="27">+S16*7.992%</f>
        <v>196069747.50648001</v>
      </c>
      <c r="T19" s="41">
        <f t="shared" si="27"/>
        <v>0</v>
      </c>
      <c r="U19" s="41">
        <f t="shared" si="27"/>
        <v>0</v>
      </c>
      <c r="V19" s="41">
        <f t="shared" si="27"/>
        <v>0</v>
      </c>
      <c r="W19" s="41">
        <f t="shared" si="27"/>
        <v>0</v>
      </c>
      <c r="X19" s="41">
        <f t="shared" si="27"/>
        <v>0</v>
      </c>
      <c r="Y19" s="41">
        <f t="shared" si="27"/>
        <v>0</v>
      </c>
      <c r="Z19" s="41">
        <f t="shared" si="27"/>
        <v>0</v>
      </c>
      <c r="AA19" s="128">
        <f t="shared" si="24"/>
        <v>196069747.50648001</v>
      </c>
      <c r="AB19" s="128">
        <f t="shared" si="12"/>
        <v>4651056803.6438408</v>
      </c>
      <c r="AC19" s="175">
        <f t="shared" si="13"/>
        <v>0.91288480709019626</v>
      </c>
    </row>
    <row r="20" spans="1:29" ht="28.5" hidden="1" x14ac:dyDescent="0.2">
      <c r="B20" s="76" t="s">
        <v>392</v>
      </c>
      <c r="C20" s="77" t="s">
        <v>173</v>
      </c>
      <c r="D20" s="330">
        <f>+D16*1.43856%</f>
        <v>917082000</v>
      </c>
      <c r="E20" s="188">
        <f>SUM('ADICIONES  2021'!C20:I20)</f>
        <v>0</v>
      </c>
      <c r="F20" s="41">
        <f t="shared" ref="F20:J20" si="28">+F16*1.43856%</f>
        <v>0</v>
      </c>
      <c r="G20" s="41">
        <f t="shared" si="28"/>
        <v>0</v>
      </c>
      <c r="H20" s="41">
        <f t="shared" si="28"/>
        <v>0</v>
      </c>
      <c r="I20" s="41">
        <f t="shared" si="28"/>
        <v>0</v>
      </c>
      <c r="J20" s="41">
        <f t="shared" si="28"/>
        <v>0</v>
      </c>
      <c r="K20" s="128">
        <f t="shared" si="1"/>
        <v>917082000</v>
      </c>
      <c r="L20" s="41">
        <f t="shared" ref="L20:Q20" si="29">+L16*1.43856%</f>
        <v>87809768.429903999</v>
      </c>
      <c r="M20" s="41">
        <f t="shared" si="29"/>
        <v>133381810.83384</v>
      </c>
      <c r="N20" s="41">
        <f t="shared" si="29"/>
        <v>291660903.016128</v>
      </c>
      <c r="O20" s="41">
        <f t="shared" si="29"/>
        <v>123270684.7212</v>
      </c>
      <c r="P20" s="41">
        <f t="shared" si="29"/>
        <v>48182875.453440003</v>
      </c>
      <c r="Q20" s="409">
        <f t="shared" si="29"/>
        <v>117591627.65021279</v>
      </c>
      <c r="R20" s="128">
        <f t="shared" si="9"/>
        <v>801897670.10472476</v>
      </c>
      <c r="S20" s="41">
        <f t="shared" ref="S20:Z20" si="30">+S16*1.43856%</f>
        <v>35292554.5511664</v>
      </c>
      <c r="T20" s="41">
        <f t="shared" si="30"/>
        <v>0</v>
      </c>
      <c r="U20" s="41">
        <f t="shared" si="30"/>
        <v>0</v>
      </c>
      <c r="V20" s="41">
        <f t="shared" si="30"/>
        <v>0</v>
      </c>
      <c r="W20" s="41">
        <f t="shared" si="30"/>
        <v>0</v>
      </c>
      <c r="X20" s="41">
        <f t="shared" si="30"/>
        <v>0</v>
      </c>
      <c r="Y20" s="41">
        <f t="shared" si="30"/>
        <v>0</v>
      </c>
      <c r="Z20" s="41">
        <f t="shared" si="30"/>
        <v>0</v>
      </c>
      <c r="AA20" s="128">
        <f t="shared" si="24"/>
        <v>35292554.5511664</v>
      </c>
      <c r="AB20" s="128">
        <f t="shared" si="12"/>
        <v>837190224.65589118</v>
      </c>
      <c r="AC20" s="175">
        <f t="shared" si="13"/>
        <v>0.91288480709019604</v>
      </c>
    </row>
    <row r="21" spans="1:29" ht="42.75" hidden="1" x14ac:dyDescent="0.2">
      <c r="B21" s="76" t="s">
        <v>393</v>
      </c>
      <c r="C21" s="155" t="s">
        <v>174</v>
      </c>
      <c r="D21" s="330">
        <f>+D16*0.7048944%</f>
        <v>449370180.00000006</v>
      </c>
      <c r="E21" s="188">
        <f>SUM('ADICIONES  2021'!C21:I21)</f>
        <v>0</v>
      </c>
      <c r="F21" s="41">
        <f t="shared" ref="F21:J21" si="31">+F16*0.7048944%</f>
        <v>0</v>
      </c>
      <c r="G21" s="41">
        <f t="shared" si="31"/>
        <v>0</v>
      </c>
      <c r="H21" s="41">
        <f t="shared" si="31"/>
        <v>0</v>
      </c>
      <c r="I21" s="41">
        <f t="shared" si="31"/>
        <v>0</v>
      </c>
      <c r="J21" s="41">
        <f t="shared" si="31"/>
        <v>0</v>
      </c>
      <c r="K21" s="128">
        <f t="shared" si="1"/>
        <v>449370180.00000006</v>
      </c>
      <c r="L21" s="41">
        <f t="shared" ref="L21:Q21" si="32">+L16*0.7048944%</f>
        <v>43026786.530652963</v>
      </c>
      <c r="M21" s="41">
        <f t="shared" si="32"/>
        <v>65357087.308581606</v>
      </c>
      <c r="N21" s="41">
        <f t="shared" si="32"/>
        <v>142913842.47790274</v>
      </c>
      <c r="O21" s="41">
        <f t="shared" si="32"/>
        <v>60402635.513388008</v>
      </c>
      <c r="P21" s="41">
        <f t="shared" si="32"/>
        <v>23609608.972185601</v>
      </c>
      <c r="Q21" s="409">
        <f t="shared" si="32"/>
        <v>57619897.54860428</v>
      </c>
      <c r="R21" s="128">
        <f t="shared" si="9"/>
        <v>392929858.35131514</v>
      </c>
      <c r="S21" s="41">
        <f t="shared" ref="S21:Z21" si="33">+S16*0.7048944%</f>
        <v>17293351.730071537</v>
      </c>
      <c r="T21" s="41">
        <f t="shared" si="33"/>
        <v>0</v>
      </c>
      <c r="U21" s="41">
        <f t="shared" si="33"/>
        <v>0</v>
      </c>
      <c r="V21" s="41">
        <f t="shared" si="33"/>
        <v>0</v>
      </c>
      <c r="W21" s="41">
        <f t="shared" si="33"/>
        <v>0</v>
      </c>
      <c r="X21" s="41">
        <f t="shared" si="33"/>
        <v>0</v>
      </c>
      <c r="Y21" s="41">
        <f t="shared" si="33"/>
        <v>0</v>
      </c>
      <c r="Z21" s="41">
        <f t="shared" si="33"/>
        <v>0</v>
      </c>
      <c r="AA21" s="128">
        <f t="shared" si="24"/>
        <v>17293351.730071537</v>
      </c>
      <c r="AB21" s="128">
        <f t="shared" si="12"/>
        <v>410223210.08138669</v>
      </c>
      <c r="AC21" s="175">
        <f t="shared" si="13"/>
        <v>0.91288480709019593</v>
      </c>
    </row>
    <row r="22" spans="1:29" ht="28.5" hidden="1" x14ac:dyDescent="0.2">
      <c r="B22" s="76" t="s">
        <v>394</v>
      </c>
      <c r="C22" s="77" t="s">
        <v>395</v>
      </c>
      <c r="D22" s="331">
        <f>+D16*20%</f>
        <v>12750000000</v>
      </c>
      <c r="E22" s="188">
        <f>SUM('ADICIONES  2021'!C22:I22)</f>
        <v>0</v>
      </c>
      <c r="F22" s="218">
        <f t="shared" ref="F22:J22" si="34">+F16*20%</f>
        <v>0</v>
      </c>
      <c r="G22" s="218">
        <f t="shared" si="34"/>
        <v>0</v>
      </c>
      <c r="H22" s="218">
        <f t="shared" si="34"/>
        <v>0</v>
      </c>
      <c r="I22" s="218">
        <f t="shared" si="34"/>
        <v>0</v>
      </c>
      <c r="J22" s="218">
        <f t="shared" si="34"/>
        <v>0</v>
      </c>
      <c r="K22" s="128">
        <f t="shared" si="1"/>
        <v>12750000000</v>
      </c>
      <c r="L22" s="218">
        <f t="shared" ref="L22:Q22" si="35">+L16*20%</f>
        <v>1220800918</v>
      </c>
      <c r="M22" s="218">
        <f t="shared" si="35"/>
        <v>1854379530</v>
      </c>
      <c r="N22" s="218">
        <f t="shared" si="35"/>
        <v>4054900776</v>
      </c>
      <c r="O22" s="218">
        <f t="shared" si="35"/>
        <v>1713806650</v>
      </c>
      <c r="P22" s="218">
        <f t="shared" si="35"/>
        <v>669876480</v>
      </c>
      <c r="Q22" s="410">
        <f t="shared" si="35"/>
        <v>1634851902.6000001</v>
      </c>
      <c r="R22" s="128">
        <f t="shared" si="9"/>
        <v>11148616256.6</v>
      </c>
      <c r="S22" s="218">
        <f t="shared" ref="S22:Z22" si="36">+S16*20%</f>
        <v>490665033.80000001</v>
      </c>
      <c r="T22" s="218">
        <f t="shared" si="36"/>
        <v>0</v>
      </c>
      <c r="U22" s="218">
        <f t="shared" si="36"/>
        <v>0</v>
      </c>
      <c r="V22" s="218">
        <f t="shared" si="36"/>
        <v>0</v>
      </c>
      <c r="W22" s="218">
        <f t="shared" si="36"/>
        <v>0</v>
      </c>
      <c r="X22" s="218">
        <f t="shared" si="36"/>
        <v>0</v>
      </c>
      <c r="Y22" s="218">
        <f t="shared" si="36"/>
        <v>0</v>
      </c>
      <c r="Z22" s="218">
        <f t="shared" si="36"/>
        <v>0</v>
      </c>
      <c r="AA22" s="128">
        <f t="shared" si="24"/>
        <v>490665033.80000001</v>
      </c>
      <c r="AB22" s="128">
        <f t="shared" si="12"/>
        <v>11639281290.4</v>
      </c>
      <c r="AC22" s="175">
        <f t="shared" si="13"/>
        <v>0.91288480709019604</v>
      </c>
    </row>
    <row r="23" spans="1:29" s="19" customFormat="1" ht="30" x14ac:dyDescent="0.2">
      <c r="A23" s="71">
        <v>1</v>
      </c>
      <c r="B23" s="82" t="s">
        <v>396</v>
      </c>
      <c r="C23" s="83" t="s">
        <v>175</v>
      </c>
      <c r="D23" s="329">
        <v>10000000000</v>
      </c>
      <c r="E23" s="187">
        <f>SUM('ADICIONES  2021'!C23:I23)</f>
        <v>0</v>
      </c>
      <c r="F23" s="78"/>
      <c r="G23" s="78"/>
      <c r="H23" s="78"/>
      <c r="I23" s="78"/>
      <c r="J23" s="78"/>
      <c r="K23" s="126">
        <f t="shared" si="1"/>
        <v>10000000000</v>
      </c>
      <c r="L23" s="126">
        <v>941705689</v>
      </c>
      <c r="M23" s="126">
        <v>1319494482</v>
      </c>
      <c r="N23" s="126">
        <v>1568538444</v>
      </c>
      <c r="O23" s="126">
        <v>1047503426</v>
      </c>
      <c r="P23" s="126">
        <v>618526099</v>
      </c>
      <c r="Q23" s="126">
        <v>981723487</v>
      </c>
      <c r="R23" s="78">
        <f t="shared" si="9"/>
        <v>6477491627</v>
      </c>
      <c r="S23" s="126">
        <v>1352763690</v>
      </c>
      <c r="T23" s="78"/>
      <c r="U23" s="78"/>
      <c r="V23" s="78"/>
      <c r="W23" s="78"/>
      <c r="X23" s="78"/>
      <c r="Y23" s="126"/>
      <c r="Z23" s="78"/>
      <c r="AA23" s="78">
        <f t="shared" si="24"/>
        <v>1352763690</v>
      </c>
      <c r="AB23" s="126">
        <f t="shared" si="12"/>
        <v>7830255317</v>
      </c>
      <c r="AC23" s="180">
        <f t="shared" si="13"/>
        <v>0.7830255317</v>
      </c>
    </row>
    <row r="24" spans="1:29" ht="28.5" hidden="1" x14ac:dyDescent="0.2">
      <c r="B24" s="76" t="s">
        <v>397</v>
      </c>
      <c r="C24" s="77" t="s">
        <v>176</v>
      </c>
      <c r="D24" s="330">
        <f>+D23*69.7845456%</f>
        <v>6978454560</v>
      </c>
      <c r="E24" s="188">
        <f>SUM('ADICIONES  2021'!C24:I24)</f>
        <v>0</v>
      </c>
      <c r="F24" s="41">
        <f t="shared" ref="F24:J24" si="37">+F23*69.7845456%</f>
        <v>0</v>
      </c>
      <c r="G24" s="41">
        <f t="shared" si="37"/>
        <v>0</v>
      </c>
      <c r="H24" s="41">
        <f t="shared" si="37"/>
        <v>0</v>
      </c>
      <c r="I24" s="41">
        <f t="shared" si="37"/>
        <v>0</v>
      </c>
      <c r="J24" s="41">
        <f t="shared" si="37"/>
        <v>0</v>
      </c>
      <c r="K24" s="128">
        <f t="shared" si="1"/>
        <v>6978454560</v>
      </c>
      <c r="L24" s="41">
        <f t="shared" ref="L24:Q24" si="38">+L23*69.7845456%</f>
        <v>657165035.95799923</v>
      </c>
      <c r="M24" s="41">
        <f t="shared" si="38"/>
        <v>920803228.48077381</v>
      </c>
      <c r="N24" s="41">
        <f t="shared" si="38"/>
        <v>1094597425.7067106</v>
      </c>
      <c r="O24" s="41">
        <f t="shared" si="38"/>
        <v>730995505.97853231</v>
      </c>
      <c r="P24" s="41">
        <f t="shared" si="38"/>
        <v>431635627.60455614</v>
      </c>
      <c r="Q24" s="409">
        <f t="shared" si="38"/>
        <v>685091274.45142508</v>
      </c>
      <c r="R24" s="128">
        <f t="shared" si="9"/>
        <v>4520288098.1799974</v>
      </c>
      <c r="S24" s="41">
        <f t="shared" ref="S24:Z24" si="39">+S23*69.7845456%</f>
        <v>944019994.1082927</v>
      </c>
      <c r="T24" s="41">
        <f t="shared" si="39"/>
        <v>0</v>
      </c>
      <c r="U24" s="41">
        <f t="shared" si="39"/>
        <v>0</v>
      </c>
      <c r="V24" s="41">
        <f t="shared" si="39"/>
        <v>0</v>
      </c>
      <c r="W24" s="41">
        <f t="shared" si="39"/>
        <v>0</v>
      </c>
      <c r="X24" s="41">
        <f t="shared" si="39"/>
        <v>0</v>
      </c>
      <c r="Y24" s="41">
        <f t="shared" si="39"/>
        <v>0</v>
      </c>
      <c r="Z24" s="41">
        <f t="shared" si="39"/>
        <v>0</v>
      </c>
      <c r="AA24" s="128">
        <f t="shared" si="24"/>
        <v>944019994.1082927</v>
      </c>
      <c r="AB24" s="128">
        <f t="shared" si="12"/>
        <v>5464308092.28829</v>
      </c>
      <c r="AC24" s="175">
        <f t="shared" si="13"/>
        <v>0.78302553170000011</v>
      </c>
    </row>
    <row r="25" spans="1:29" ht="28.5" hidden="1" x14ac:dyDescent="0.2">
      <c r="B25" s="76" t="s">
        <v>398</v>
      </c>
      <c r="C25" s="77" t="s">
        <v>177</v>
      </c>
      <c r="D25" s="330">
        <f>+D23*0.08%</f>
        <v>8000000</v>
      </c>
      <c r="E25" s="188">
        <f>SUM('ADICIONES  2021'!C25:I25)</f>
        <v>0</v>
      </c>
      <c r="F25" s="41">
        <f t="shared" ref="F25:J25" si="40">+F23*0.08%</f>
        <v>0</v>
      </c>
      <c r="G25" s="41">
        <f t="shared" si="40"/>
        <v>0</v>
      </c>
      <c r="H25" s="41">
        <f t="shared" si="40"/>
        <v>0</v>
      </c>
      <c r="I25" s="41">
        <f t="shared" si="40"/>
        <v>0</v>
      </c>
      <c r="J25" s="41">
        <f t="shared" si="40"/>
        <v>0</v>
      </c>
      <c r="K25" s="128">
        <f t="shared" si="1"/>
        <v>8000000</v>
      </c>
      <c r="L25" s="41">
        <f t="shared" ref="L25:Q25" si="41">+L23*0.08%</f>
        <v>753364.55119999999</v>
      </c>
      <c r="M25" s="41">
        <f t="shared" si="41"/>
        <v>1055595.5856000001</v>
      </c>
      <c r="N25" s="41">
        <f t="shared" si="41"/>
        <v>1254830.7552</v>
      </c>
      <c r="O25" s="41">
        <f t="shared" si="41"/>
        <v>838002.74080000003</v>
      </c>
      <c r="P25" s="41">
        <f t="shared" si="41"/>
        <v>494820.87920000002</v>
      </c>
      <c r="Q25" s="409">
        <f t="shared" si="41"/>
        <v>785378.78960000002</v>
      </c>
      <c r="R25" s="128">
        <f t="shared" si="9"/>
        <v>5181993.3015999999</v>
      </c>
      <c r="S25" s="41">
        <f t="shared" ref="S25:Z25" si="42">+S23*0.08%</f>
        <v>1082210.952</v>
      </c>
      <c r="T25" s="41">
        <f t="shared" si="42"/>
        <v>0</v>
      </c>
      <c r="U25" s="41">
        <f t="shared" si="42"/>
        <v>0</v>
      </c>
      <c r="V25" s="41">
        <f t="shared" si="42"/>
        <v>0</v>
      </c>
      <c r="W25" s="41">
        <f t="shared" si="42"/>
        <v>0</v>
      </c>
      <c r="X25" s="41">
        <f t="shared" si="42"/>
        <v>0</v>
      </c>
      <c r="Y25" s="41">
        <f t="shared" si="42"/>
        <v>0</v>
      </c>
      <c r="Z25" s="41">
        <f t="shared" si="42"/>
        <v>0</v>
      </c>
      <c r="AA25" s="128">
        <f t="shared" si="24"/>
        <v>1082210.952</v>
      </c>
      <c r="AB25" s="128">
        <f t="shared" si="12"/>
        <v>6264204.2535999995</v>
      </c>
      <c r="AC25" s="175">
        <f t="shared" si="13"/>
        <v>0.78302553169999989</v>
      </c>
    </row>
    <row r="26" spans="1:29" ht="28.5" hidden="1" x14ac:dyDescent="0.2">
      <c r="B26" s="76" t="s">
        <v>399</v>
      </c>
      <c r="C26" s="77" t="s">
        <v>178</v>
      </c>
      <c r="D26" s="330">
        <f>+D23*7.992%</f>
        <v>799200000</v>
      </c>
      <c r="E26" s="188">
        <f>SUM('ADICIONES  2021'!C26:I26)</f>
        <v>0</v>
      </c>
      <c r="F26" s="41">
        <f t="shared" ref="F26:J26" si="43">+F23*7.992%</f>
        <v>0</v>
      </c>
      <c r="G26" s="41">
        <f t="shared" si="43"/>
        <v>0</v>
      </c>
      <c r="H26" s="41">
        <f t="shared" si="43"/>
        <v>0</v>
      </c>
      <c r="I26" s="41">
        <f t="shared" si="43"/>
        <v>0</v>
      </c>
      <c r="J26" s="41">
        <f t="shared" si="43"/>
        <v>0</v>
      </c>
      <c r="K26" s="128">
        <f t="shared" si="1"/>
        <v>799200000</v>
      </c>
      <c r="L26" s="41">
        <f t="shared" ref="L26:Q26" si="44">+L23*7.992%</f>
        <v>75261118.664880008</v>
      </c>
      <c r="M26" s="41">
        <f t="shared" si="44"/>
        <v>105453999.00144</v>
      </c>
      <c r="N26" s="41">
        <f t="shared" si="44"/>
        <v>125357592.44448</v>
      </c>
      <c r="O26" s="41">
        <f t="shared" si="44"/>
        <v>83716473.805920005</v>
      </c>
      <c r="P26" s="41">
        <f t="shared" si="44"/>
        <v>49432605.832080007</v>
      </c>
      <c r="Q26" s="409">
        <f t="shared" si="44"/>
        <v>78459341.08104001</v>
      </c>
      <c r="R26" s="128">
        <f t="shared" si="9"/>
        <v>517681130.82984006</v>
      </c>
      <c r="S26" s="41">
        <f t="shared" ref="S26:Z26" si="45">+S23*7.992%</f>
        <v>108112874.1048</v>
      </c>
      <c r="T26" s="41">
        <f t="shared" si="45"/>
        <v>0</v>
      </c>
      <c r="U26" s="41">
        <f t="shared" si="45"/>
        <v>0</v>
      </c>
      <c r="V26" s="41">
        <f t="shared" si="45"/>
        <v>0</v>
      </c>
      <c r="W26" s="41">
        <f t="shared" si="45"/>
        <v>0</v>
      </c>
      <c r="X26" s="41">
        <f t="shared" si="45"/>
        <v>0</v>
      </c>
      <c r="Y26" s="41">
        <f t="shared" si="45"/>
        <v>0</v>
      </c>
      <c r="Z26" s="41">
        <f t="shared" si="45"/>
        <v>0</v>
      </c>
      <c r="AA26" s="128">
        <f t="shared" si="24"/>
        <v>108112874.1048</v>
      </c>
      <c r="AB26" s="128">
        <f t="shared" si="12"/>
        <v>625794004.93464005</v>
      </c>
      <c r="AC26" s="175">
        <f t="shared" si="13"/>
        <v>0.78302553170000011</v>
      </c>
    </row>
    <row r="27" spans="1:29" ht="28.5" hidden="1" x14ac:dyDescent="0.2">
      <c r="B27" s="76" t="s">
        <v>400</v>
      </c>
      <c r="C27" s="77" t="s">
        <v>179</v>
      </c>
      <c r="D27" s="330">
        <f>+D23*1.43856%</f>
        <v>143856000</v>
      </c>
      <c r="E27" s="188">
        <f>SUM('ADICIONES  2021'!C27:I27)</f>
        <v>0</v>
      </c>
      <c r="F27" s="41">
        <f t="shared" ref="F27:J27" si="46">+F23*1.43856%</f>
        <v>0</v>
      </c>
      <c r="G27" s="41">
        <f t="shared" si="46"/>
        <v>0</v>
      </c>
      <c r="H27" s="41">
        <f t="shared" si="46"/>
        <v>0</v>
      </c>
      <c r="I27" s="41">
        <f t="shared" si="46"/>
        <v>0</v>
      </c>
      <c r="J27" s="41">
        <f t="shared" si="46"/>
        <v>0</v>
      </c>
      <c r="K27" s="128">
        <f t="shared" si="1"/>
        <v>143856000</v>
      </c>
      <c r="L27" s="41">
        <f t="shared" ref="L27:Q27" si="47">+L23*1.43856%</f>
        <v>13547001.359678401</v>
      </c>
      <c r="M27" s="41">
        <f t="shared" si="47"/>
        <v>18981719.820259199</v>
      </c>
      <c r="N27" s="41">
        <f t="shared" si="47"/>
        <v>22564366.640006401</v>
      </c>
      <c r="O27" s="41">
        <f t="shared" si="47"/>
        <v>15068965.285065601</v>
      </c>
      <c r="P27" s="41">
        <f t="shared" si="47"/>
        <v>8897869.0497744009</v>
      </c>
      <c r="Q27" s="409">
        <f t="shared" si="47"/>
        <v>14122681.3945872</v>
      </c>
      <c r="R27" s="128">
        <f t="shared" si="9"/>
        <v>93182603.549371198</v>
      </c>
      <c r="S27" s="41">
        <f t="shared" ref="S27:Z27" si="48">+S23*1.43856%</f>
        <v>19460317.338863999</v>
      </c>
      <c r="T27" s="41">
        <f t="shared" si="48"/>
        <v>0</v>
      </c>
      <c r="U27" s="41">
        <f t="shared" si="48"/>
        <v>0</v>
      </c>
      <c r="V27" s="41">
        <f t="shared" si="48"/>
        <v>0</v>
      </c>
      <c r="W27" s="41">
        <f t="shared" si="48"/>
        <v>0</v>
      </c>
      <c r="X27" s="41">
        <f t="shared" si="48"/>
        <v>0</v>
      </c>
      <c r="Y27" s="41">
        <f t="shared" si="48"/>
        <v>0</v>
      </c>
      <c r="Z27" s="41">
        <f t="shared" si="48"/>
        <v>0</v>
      </c>
      <c r="AA27" s="128">
        <f t="shared" si="24"/>
        <v>19460317.338863999</v>
      </c>
      <c r="AB27" s="128">
        <f t="shared" si="12"/>
        <v>112642920.8882352</v>
      </c>
      <c r="AC27" s="175">
        <f t="shared" si="13"/>
        <v>0.7830255317</v>
      </c>
    </row>
    <row r="28" spans="1:29" ht="42.75" hidden="1" x14ac:dyDescent="0.2">
      <c r="B28" s="76" t="s">
        <v>401</v>
      </c>
      <c r="C28" s="77" t="s">
        <v>180</v>
      </c>
      <c r="D28" s="330">
        <f>+D23*0.7048944%</f>
        <v>70489440</v>
      </c>
      <c r="E28" s="188">
        <f>SUM('ADICIONES  2021'!C28:I28)</f>
        <v>0</v>
      </c>
      <c r="F28" s="41">
        <f t="shared" ref="F28:J28" si="49">+F23*0.7048944%</f>
        <v>0</v>
      </c>
      <c r="G28" s="41">
        <f t="shared" si="49"/>
        <v>0</v>
      </c>
      <c r="H28" s="41">
        <f t="shared" si="49"/>
        <v>0</v>
      </c>
      <c r="I28" s="41">
        <f t="shared" si="49"/>
        <v>0</v>
      </c>
      <c r="J28" s="41">
        <f t="shared" si="49"/>
        <v>0</v>
      </c>
      <c r="K28" s="128">
        <f t="shared" si="1"/>
        <v>70489440</v>
      </c>
      <c r="L28" s="41">
        <f t="shared" ref="L28:Q28" si="50">+L23*0.7048944%</f>
        <v>6638030.6662424169</v>
      </c>
      <c r="M28" s="41">
        <f t="shared" si="50"/>
        <v>9301042.7119270079</v>
      </c>
      <c r="N28" s="41">
        <f t="shared" si="50"/>
        <v>11056539.653603137</v>
      </c>
      <c r="O28" s="41">
        <f t="shared" si="50"/>
        <v>7383792.9896821445</v>
      </c>
      <c r="P28" s="41">
        <f t="shared" si="50"/>
        <v>4359955.8343894565</v>
      </c>
      <c r="Q28" s="409">
        <f t="shared" si="50"/>
        <v>6920113.8833477283</v>
      </c>
      <c r="R28" s="128">
        <f t="shared" si="9"/>
        <v>45659475.73919189</v>
      </c>
      <c r="S28" s="41">
        <f t="shared" ref="S28:Z28" si="51">+S23*0.7048944%</f>
        <v>9535555.4960433599</v>
      </c>
      <c r="T28" s="41">
        <f t="shared" si="51"/>
        <v>0</v>
      </c>
      <c r="U28" s="41">
        <f t="shared" si="51"/>
        <v>0</v>
      </c>
      <c r="V28" s="41">
        <f t="shared" si="51"/>
        <v>0</v>
      </c>
      <c r="W28" s="41">
        <f t="shared" si="51"/>
        <v>0</v>
      </c>
      <c r="X28" s="41">
        <f t="shared" si="51"/>
        <v>0</v>
      </c>
      <c r="Y28" s="41">
        <f t="shared" si="51"/>
        <v>0</v>
      </c>
      <c r="Z28" s="41">
        <f t="shared" si="51"/>
        <v>0</v>
      </c>
      <c r="AA28" s="128">
        <f t="shared" si="24"/>
        <v>9535555.4960433599</v>
      </c>
      <c r="AB28" s="128">
        <f t="shared" si="12"/>
        <v>55195031.235235251</v>
      </c>
      <c r="AC28" s="175">
        <f t="shared" si="13"/>
        <v>0.7830255317</v>
      </c>
    </row>
    <row r="29" spans="1:29" ht="28.5" hidden="1" x14ac:dyDescent="0.2">
      <c r="B29" s="76" t="s">
        <v>402</v>
      </c>
      <c r="C29" s="77" t="s">
        <v>403</v>
      </c>
      <c r="D29" s="331">
        <f>+D23*20%</f>
        <v>2000000000</v>
      </c>
      <c r="E29" s="188">
        <f>SUM('ADICIONES  2021'!C29:I29)</f>
        <v>0</v>
      </c>
      <c r="F29" s="218">
        <f t="shared" ref="F29:J29" si="52">+F23*20%</f>
        <v>0</v>
      </c>
      <c r="G29" s="218">
        <f t="shared" si="52"/>
        <v>0</v>
      </c>
      <c r="H29" s="218">
        <f t="shared" si="52"/>
        <v>0</v>
      </c>
      <c r="I29" s="218">
        <f t="shared" si="52"/>
        <v>0</v>
      </c>
      <c r="J29" s="218">
        <f t="shared" si="52"/>
        <v>0</v>
      </c>
      <c r="K29" s="128">
        <f t="shared" si="1"/>
        <v>2000000000</v>
      </c>
      <c r="L29" s="218">
        <f t="shared" ref="L29:Q29" si="53">+L23*20%</f>
        <v>188341137.80000001</v>
      </c>
      <c r="M29" s="218">
        <f t="shared" si="53"/>
        <v>263898896.40000001</v>
      </c>
      <c r="N29" s="218">
        <f t="shared" si="53"/>
        <v>313707688.80000001</v>
      </c>
      <c r="O29" s="218">
        <f t="shared" si="53"/>
        <v>209500685.20000002</v>
      </c>
      <c r="P29" s="218">
        <f t="shared" si="53"/>
        <v>123705219.80000001</v>
      </c>
      <c r="Q29" s="410">
        <f t="shared" si="53"/>
        <v>196344697.40000001</v>
      </c>
      <c r="R29" s="128">
        <f t="shared" si="9"/>
        <v>1295498325.4000001</v>
      </c>
      <c r="S29" s="218">
        <f t="shared" ref="S29:Z29" si="54">+S23*20%</f>
        <v>270552738</v>
      </c>
      <c r="T29" s="218">
        <f t="shared" si="54"/>
        <v>0</v>
      </c>
      <c r="U29" s="218">
        <f t="shared" si="54"/>
        <v>0</v>
      </c>
      <c r="V29" s="218">
        <f t="shared" si="54"/>
        <v>0</v>
      </c>
      <c r="W29" s="218">
        <f t="shared" si="54"/>
        <v>0</v>
      </c>
      <c r="X29" s="218">
        <f t="shared" si="54"/>
        <v>0</v>
      </c>
      <c r="Y29" s="218">
        <f t="shared" si="54"/>
        <v>0</v>
      </c>
      <c r="Z29" s="218">
        <f t="shared" si="54"/>
        <v>0</v>
      </c>
      <c r="AA29" s="128">
        <f t="shared" si="24"/>
        <v>270552738</v>
      </c>
      <c r="AB29" s="128">
        <f t="shared" si="12"/>
        <v>1566051063.4000001</v>
      </c>
      <c r="AC29" s="175">
        <f t="shared" si="13"/>
        <v>0.7830255317</v>
      </c>
    </row>
    <row r="30" spans="1:29" s="63" customFormat="1" ht="15.75" x14ac:dyDescent="0.2">
      <c r="A30" s="399">
        <v>1</v>
      </c>
      <c r="B30" s="81" t="s">
        <v>404</v>
      </c>
      <c r="C30" s="79" t="s">
        <v>405</v>
      </c>
      <c r="D30" s="329">
        <f>+D31+D46+D52+D79+D93+D109+D115</f>
        <v>382109200000</v>
      </c>
      <c r="E30" s="187">
        <f>SUM('ADICIONES  2021'!C30:I30)</f>
        <v>0</v>
      </c>
      <c r="F30" s="223">
        <f t="shared" ref="F30:J30" si="55">+F31+F46+F52+F79+F93+F109+F115</f>
        <v>0</v>
      </c>
      <c r="G30" s="223">
        <f t="shared" si="55"/>
        <v>350000000</v>
      </c>
      <c r="H30" s="223">
        <f t="shared" si="55"/>
        <v>0</v>
      </c>
      <c r="I30" s="223">
        <f t="shared" si="55"/>
        <v>0</v>
      </c>
      <c r="J30" s="223">
        <f t="shared" si="55"/>
        <v>0</v>
      </c>
      <c r="K30" s="78">
        <f t="shared" si="1"/>
        <v>382459200000</v>
      </c>
      <c r="L30" s="223">
        <f t="shared" ref="L30:Q30" si="56">+L31+L46+L52+L79+L93+L109+L115</f>
        <v>43710554814.7808</v>
      </c>
      <c r="M30" s="223">
        <f t="shared" si="56"/>
        <v>35787804699.062401</v>
      </c>
      <c r="N30" s="223">
        <f t="shared" si="56"/>
        <v>27702655831.124802</v>
      </c>
      <c r="O30" s="223">
        <f t="shared" si="56"/>
        <v>30783196612.958397</v>
      </c>
      <c r="P30" s="223">
        <f t="shared" si="56"/>
        <v>30086227196.235199</v>
      </c>
      <c r="Q30" s="223">
        <f t="shared" si="56"/>
        <v>29652385131.6768</v>
      </c>
      <c r="R30" s="78">
        <f t="shared" si="9"/>
        <v>197722824285.83838</v>
      </c>
      <c r="S30" s="223">
        <f t="shared" ref="S30:Z30" si="57">+S31+S46+S52+S79+S93+S109+S115</f>
        <v>29593372200.579201</v>
      </c>
      <c r="T30" s="223">
        <f t="shared" si="57"/>
        <v>0</v>
      </c>
      <c r="U30" s="223">
        <f t="shared" si="57"/>
        <v>0</v>
      </c>
      <c r="V30" s="223">
        <f t="shared" si="57"/>
        <v>0</v>
      </c>
      <c r="W30" s="223">
        <f t="shared" si="57"/>
        <v>0</v>
      </c>
      <c r="X30" s="223">
        <f t="shared" si="57"/>
        <v>0</v>
      </c>
      <c r="Y30" s="223">
        <f t="shared" si="57"/>
        <v>-526413195</v>
      </c>
      <c r="Z30" s="223">
        <f t="shared" si="57"/>
        <v>0</v>
      </c>
      <c r="AA30" s="78">
        <f t="shared" si="24"/>
        <v>29066959005.579201</v>
      </c>
      <c r="AB30" s="78">
        <f t="shared" si="12"/>
        <v>226789783291.41757</v>
      </c>
      <c r="AC30" s="174">
        <f t="shared" si="13"/>
        <v>0.59297771707784142</v>
      </c>
    </row>
    <row r="31" spans="1:29" s="63" customFormat="1" ht="15.75" x14ac:dyDescent="0.2">
      <c r="A31" s="399">
        <v>1</v>
      </c>
      <c r="B31" s="81" t="s">
        <v>406</v>
      </c>
      <c r="C31" s="79" t="s">
        <v>407</v>
      </c>
      <c r="D31" s="329">
        <f>+D32+D39</f>
        <v>54000000000</v>
      </c>
      <c r="E31" s="187">
        <f>SUM('ADICIONES  2021'!C31:I31)</f>
        <v>0</v>
      </c>
      <c r="F31" s="223">
        <f t="shared" ref="F31:J31" si="58">+F32+F39</f>
        <v>0</v>
      </c>
      <c r="G31" s="223">
        <f t="shared" si="58"/>
        <v>0</v>
      </c>
      <c r="H31" s="223">
        <f t="shared" si="58"/>
        <v>0</v>
      </c>
      <c r="I31" s="223">
        <f t="shared" si="58"/>
        <v>0</v>
      </c>
      <c r="J31" s="223">
        <f t="shared" si="58"/>
        <v>0</v>
      </c>
      <c r="K31" s="78">
        <f t="shared" si="1"/>
        <v>54000000000</v>
      </c>
      <c r="L31" s="223">
        <f t="shared" ref="L31:Q31" si="59">+L32+L39</f>
        <v>4430680200</v>
      </c>
      <c r="M31" s="223">
        <f t="shared" si="59"/>
        <v>4848747100</v>
      </c>
      <c r="N31" s="223">
        <f t="shared" si="59"/>
        <v>6027910300</v>
      </c>
      <c r="O31" s="223">
        <f t="shared" si="59"/>
        <v>4966344500</v>
      </c>
      <c r="P31" s="223">
        <f t="shared" si="59"/>
        <v>4194323700</v>
      </c>
      <c r="Q31" s="223">
        <f t="shared" si="59"/>
        <v>5263978300</v>
      </c>
      <c r="R31" s="78">
        <f t="shared" si="9"/>
        <v>29731984100</v>
      </c>
      <c r="S31" s="223">
        <f t="shared" ref="S31:Z31" si="60">+S32+S39</f>
        <v>4912084900</v>
      </c>
      <c r="T31" s="223">
        <f t="shared" si="60"/>
        <v>0</v>
      </c>
      <c r="U31" s="223">
        <f t="shared" si="60"/>
        <v>0</v>
      </c>
      <c r="V31" s="223">
        <f t="shared" si="60"/>
        <v>0</v>
      </c>
      <c r="W31" s="223">
        <f t="shared" si="60"/>
        <v>0</v>
      </c>
      <c r="X31" s="223">
        <f t="shared" si="60"/>
        <v>0</v>
      </c>
      <c r="Y31" s="223">
        <f t="shared" si="60"/>
        <v>0</v>
      </c>
      <c r="Z31" s="223">
        <f t="shared" si="60"/>
        <v>0</v>
      </c>
      <c r="AA31" s="78">
        <f t="shared" si="24"/>
        <v>4912084900</v>
      </c>
      <c r="AB31" s="78">
        <f t="shared" si="12"/>
        <v>34644069000</v>
      </c>
      <c r="AC31" s="174">
        <f t="shared" si="13"/>
        <v>0.64155683333333335</v>
      </c>
    </row>
    <row r="32" spans="1:29" s="19" customFormat="1" ht="30" x14ac:dyDescent="0.2">
      <c r="A32" s="71">
        <v>1</v>
      </c>
      <c r="B32" s="82" t="s">
        <v>408</v>
      </c>
      <c r="C32" s="83" t="s">
        <v>409</v>
      </c>
      <c r="D32" s="329">
        <v>5400000000</v>
      </c>
      <c r="E32" s="187">
        <f>SUM('ADICIONES  2021'!C32:I32)</f>
        <v>0</v>
      </c>
      <c r="F32" s="146"/>
      <c r="G32" s="146"/>
      <c r="H32" s="146"/>
      <c r="I32" s="146"/>
      <c r="J32" s="146"/>
      <c r="K32" s="126">
        <f t="shared" si="1"/>
        <v>5400000000</v>
      </c>
      <c r="L32" s="181">
        <v>255320000</v>
      </c>
      <c r="M32" s="181">
        <v>286645400</v>
      </c>
      <c r="N32" s="181">
        <v>484993400</v>
      </c>
      <c r="O32" s="181">
        <v>316533800</v>
      </c>
      <c r="P32" s="181">
        <v>231103000</v>
      </c>
      <c r="Q32" s="181">
        <v>292059200</v>
      </c>
      <c r="R32" s="78">
        <f t="shared" si="9"/>
        <v>1866654800</v>
      </c>
      <c r="S32" s="181">
        <v>207631400</v>
      </c>
      <c r="T32" s="146"/>
      <c r="U32" s="146"/>
      <c r="V32" s="146"/>
      <c r="W32" s="146"/>
      <c r="X32" s="146"/>
      <c r="Y32" s="181"/>
      <c r="Z32" s="146"/>
      <c r="AA32" s="78">
        <f t="shared" si="24"/>
        <v>207631400</v>
      </c>
      <c r="AB32" s="126">
        <f t="shared" si="12"/>
        <v>2074286200</v>
      </c>
      <c r="AC32" s="180">
        <f t="shared" si="13"/>
        <v>0.38412707407407409</v>
      </c>
    </row>
    <row r="33" spans="1:29" ht="28.5" hidden="1" x14ac:dyDescent="0.2">
      <c r="B33" s="76" t="s">
        <v>410</v>
      </c>
      <c r="C33" s="154" t="s">
        <v>125</v>
      </c>
      <c r="D33" s="330">
        <f>+D32*69.7845456%</f>
        <v>3768365462.4000001</v>
      </c>
      <c r="E33" s="188">
        <f>SUM('ADICIONES  2021'!C33:I33)</f>
        <v>0</v>
      </c>
      <c r="F33" s="41">
        <f t="shared" ref="F33:J33" si="61">+F32*69.7845456%</f>
        <v>0</v>
      </c>
      <c r="G33" s="41">
        <f t="shared" si="61"/>
        <v>0</v>
      </c>
      <c r="H33" s="41">
        <f t="shared" si="61"/>
        <v>0</v>
      </c>
      <c r="I33" s="41">
        <f t="shared" si="61"/>
        <v>0</v>
      </c>
      <c r="J33" s="41">
        <f t="shared" si="61"/>
        <v>0</v>
      </c>
      <c r="K33" s="128">
        <f t="shared" si="1"/>
        <v>3768365462.4000001</v>
      </c>
      <c r="L33" s="41">
        <f t="shared" ref="L33:Q33" si="62">+L32*69.7845456%</f>
        <v>178173901.82592002</v>
      </c>
      <c r="M33" s="41">
        <f t="shared" si="62"/>
        <v>200034189.8733024</v>
      </c>
      <c r="N33" s="41">
        <f t="shared" si="62"/>
        <v>338450440.3799904</v>
      </c>
      <c r="O33" s="41">
        <f t="shared" si="62"/>
        <v>220891674.00041282</v>
      </c>
      <c r="P33" s="41">
        <f t="shared" si="62"/>
        <v>161274178.417968</v>
      </c>
      <c r="Q33" s="409">
        <f t="shared" si="62"/>
        <v>203812185.60299522</v>
      </c>
      <c r="R33" s="128">
        <f t="shared" si="9"/>
        <v>1302636570.1005888</v>
      </c>
      <c r="S33" s="41">
        <f t="shared" ref="S33:Z33" si="63">+S32*69.7845456%</f>
        <v>144894629.01291841</v>
      </c>
      <c r="T33" s="41">
        <f t="shared" si="63"/>
        <v>0</v>
      </c>
      <c r="U33" s="41">
        <f t="shared" si="63"/>
        <v>0</v>
      </c>
      <c r="V33" s="41">
        <f t="shared" si="63"/>
        <v>0</v>
      </c>
      <c r="W33" s="41">
        <f t="shared" si="63"/>
        <v>0</v>
      </c>
      <c r="X33" s="41">
        <f t="shared" si="63"/>
        <v>0</v>
      </c>
      <c r="Y33" s="41">
        <f t="shared" si="63"/>
        <v>0</v>
      </c>
      <c r="Z33" s="41">
        <f t="shared" si="63"/>
        <v>0</v>
      </c>
      <c r="AA33" s="128">
        <f t="shared" si="24"/>
        <v>144894629.01291841</v>
      </c>
      <c r="AB33" s="128">
        <f t="shared" si="12"/>
        <v>1447531199.1135073</v>
      </c>
      <c r="AC33" s="175">
        <f t="shared" si="13"/>
        <v>0.38412707407407409</v>
      </c>
    </row>
    <row r="34" spans="1:29" ht="14.25" hidden="1" x14ac:dyDescent="0.2">
      <c r="B34" s="76" t="s">
        <v>411</v>
      </c>
      <c r="C34" s="77" t="s">
        <v>126</v>
      </c>
      <c r="D34" s="330">
        <f>+D32*7.992%</f>
        <v>431568000</v>
      </c>
      <c r="E34" s="188">
        <f>SUM('ADICIONES  2021'!C34:I34)</f>
        <v>0</v>
      </c>
      <c r="F34" s="41">
        <f t="shared" ref="F34:J34" si="64">+F32*7.992%</f>
        <v>0</v>
      </c>
      <c r="G34" s="41">
        <f t="shared" si="64"/>
        <v>0</v>
      </c>
      <c r="H34" s="41">
        <f t="shared" si="64"/>
        <v>0</v>
      </c>
      <c r="I34" s="41">
        <f t="shared" si="64"/>
        <v>0</v>
      </c>
      <c r="J34" s="41">
        <f t="shared" si="64"/>
        <v>0</v>
      </c>
      <c r="K34" s="128">
        <f t="shared" si="1"/>
        <v>431568000</v>
      </c>
      <c r="L34" s="41">
        <f t="shared" ref="L34:Q34" si="65">+L32*7.992%</f>
        <v>20405174.400000002</v>
      </c>
      <c r="M34" s="41">
        <f t="shared" si="65"/>
        <v>22908700.368000001</v>
      </c>
      <c r="N34" s="41">
        <f t="shared" si="65"/>
        <v>38760672.528000005</v>
      </c>
      <c r="O34" s="41">
        <f t="shared" si="65"/>
        <v>25297381.296</v>
      </c>
      <c r="P34" s="41">
        <f t="shared" si="65"/>
        <v>18469751.760000002</v>
      </c>
      <c r="Q34" s="409">
        <f t="shared" si="65"/>
        <v>23341371.264000002</v>
      </c>
      <c r="R34" s="128">
        <f t="shared" si="9"/>
        <v>149183051.61600003</v>
      </c>
      <c r="S34" s="41">
        <f t="shared" ref="S34:Z34" si="66">+S32*7.992%</f>
        <v>16593901.488000002</v>
      </c>
      <c r="T34" s="41">
        <f t="shared" si="66"/>
        <v>0</v>
      </c>
      <c r="U34" s="41">
        <f t="shared" si="66"/>
        <v>0</v>
      </c>
      <c r="V34" s="41">
        <f t="shared" si="66"/>
        <v>0</v>
      </c>
      <c r="W34" s="41">
        <f t="shared" si="66"/>
        <v>0</v>
      </c>
      <c r="X34" s="41">
        <f t="shared" si="66"/>
        <v>0</v>
      </c>
      <c r="Y34" s="41">
        <f t="shared" si="66"/>
        <v>0</v>
      </c>
      <c r="Z34" s="41">
        <f t="shared" si="66"/>
        <v>0</v>
      </c>
      <c r="AA34" s="128">
        <f t="shared" si="24"/>
        <v>16593901.488000002</v>
      </c>
      <c r="AB34" s="128">
        <f t="shared" si="12"/>
        <v>165776953.10400003</v>
      </c>
      <c r="AC34" s="175">
        <f t="shared" si="13"/>
        <v>0.38412707407407415</v>
      </c>
    </row>
    <row r="35" spans="1:29" ht="14.25" hidden="1" x14ac:dyDescent="0.2">
      <c r="B35" s="76" t="s">
        <v>412</v>
      </c>
      <c r="C35" s="77" t="s">
        <v>127</v>
      </c>
      <c r="D35" s="330">
        <f>+D32*20%</f>
        <v>1080000000</v>
      </c>
      <c r="E35" s="188">
        <f>SUM('ADICIONES  2021'!C35:I35)</f>
        <v>0</v>
      </c>
      <c r="F35" s="41">
        <f t="shared" ref="F35:J35" si="67">+F32*20%</f>
        <v>0</v>
      </c>
      <c r="G35" s="41">
        <f t="shared" si="67"/>
        <v>0</v>
      </c>
      <c r="H35" s="41">
        <f t="shared" si="67"/>
        <v>0</v>
      </c>
      <c r="I35" s="41">
        <f t="shared" si="67"/>
        <v>0</v>
      </c>
      <c r="J35" s="41">
        <f t="shared" si="67"/>
        <v>0</v>
      </c>
      <c r="K35" s="128">
        <f t="shared" si="1"/>
        <v>1080000000</v>
      </c>
      <c r="L35" s="41">
        <f t="shared" ref="L35:Q35" si="68">+L32*20%</f>
        <v>51064000</v>
      </c>
      <c r="M35" s="41">
        <f t="shared" si="68"/>
        <v>57329080</v>
      </c>
      <c r="N35" s="41">
        <f t="shared" si="68"/>
        <v>96998680</v>
      </c>
      <c r="O35" s="41">
        <f t="shared" si="68"/>
        <v>63306760</v>
      </c>
      <c r="P35" s="41">
        <f t="shared" si="68"/>
        <v>46220600</v>
      </c>
      <c r="Q35" s="409">
        <f t="shared" si="68"/>
        <v>58411840</v>
      </c>
      <c r="R35" s="128">
        <f t="shared" si="9"/>
        <v>373330960</v>
      </c>
      <c r="S35" s="41">
        <f t="shared" ref="S35:Z35" si="69">+S32*20%</f>
        <v>41526280</v>
      </c>
      <c r="T35" s="41">
        <f t="shared" si="69"/>
        <v>0</v>
      </c>
      <c r="U35" s="41">
        <f t="shared" si="69"/>
        <v>0</v>
      </c>
      <c r="V35" s="41">
        <f t="shared" si="69"/>
        <v>0</v>
      </c>
      <c r="W35" s="41">
        <f t="shared" si="69"/>
        <v>0</v>
      </c>
      <c r="X35" s="41">
        <f t="shared" si="69"/>
        <v>0</v>
      </c>
      <c r="Y35" s="41">
        <f t="shared" si="69"/>
        <v>0</v>
      </c>
      <c r="Z35" s="41">
        <f t="shared" si="69"/>
        <v>0</v>
      </c>
      <c r="AA35" s="128">
        <f t="shared" si="24"/>
        <v>41526280</v>
      </c>
      <c r="AB35" s="128">
        <f t="shared" si="12"/>
        <v>414857240</v>
      </c>
      <c r="AC35" s="175">
        <f t="shared" si="13"/>
        <v>0.38412707407407409</v>
      </c>
    </row>
    <row r="36" spans="1:29" ht="14.25" hidden="1" x14ac:dyDescent="0.2">
      <c r="B36" s="76" t="s">
        <v>413</v>
      </c>
      <c r="C36" s="77" t="s">
        <v>128</v>
      </c>
      <c r="D36" s="330">
        <f>+D32*0.08%</f>
        <v>4320000</v>
      </c>
      <c r="E36" s="188">
        <f>SUM('ADICIONES  2021'!C36:I36)</f>
        <v>0</v>
      </c>
      <c r="F36" s="41">
        <f t="shared" ref="F36:J36" si="70">+F32*0.08%</f>
        <v>0</v>
      </c>
      <c r="G36" s="41">
        <f t="shared" si="70"/>
        <v>0</v>
      </c>
      <c r="H36" s="41">
        <f t="shared" si="70"/>
        <v>0</v>
      </c>
      <c r="I36" s="41">
        <f t="shared" si="70"/>
        <v>0</v>
      </c>
      <c r="J36" s="41">
        <f t="shared" si="70"/>
        <v>0</v>
      </c>
      <c r="K36" s="128">
        <f t="shared" si="1"/>
        <v>4320000</v>
      </c>
      <c r="L36" s="41">
        <f t="shared" ref="L36:Q36" si="71">+L32*0.08%</f>
        <v>204256</v>
      </c>
      <c r="M36" s="41">
        <f t="shared" si="71"/>
        <v>229316.32</v>
      </c>
      <c r="N36" s="41">
        <f t="shared" si="71"/>
        <v>387994.72000000003</v>
      </c>
      <c r="O36" s="41">
        <f t="shared" si="71"/>
        <v>253227.04</v>
      </c>
      <c r="P36" s="41">
        <f t="shared" si="71"/>
        <v>184882.40000000002</v>
      </c>
      <c r="Q36" s="409">
        <f t="shared" si="71"/>
        <v>233647.36000000002</v>
      </c>
      <c r="R36" s="128">
        <f t="shared" si="9"/>
        <v>1493323.84</v>
      </c>
      <c r="S36" s="41">
        <f t="shared" ref="S36:Z36" si="72">+S32*0.08%</f>
        <v>166105.12</v>
      </c>
      <c r="T36" s="41">
        <f t="shared" si="72"/>
        <v>0</v>
      </c>
      <c r="U36" s="41">
        <f t="shared" si="72"/>
        <v>0</v>
      </c>
      <c r="V36" s="41">
        <f t="shared" si="72"/>
        <v>0</v>
      </c>
      <c r="W36" s="41">
        <f t="shared" si="72"/>
        <v>0</v>
      </c>
      <c r="X36" s="41">
        <f t="shared" si="72"/>
        <v>0</v>
      </c>
      <c r="Y36" s="41">
        <f t="shared" si="72"/>
        <v>0</v>
      </c>
      <c r="Z36" s="41">
        <f t="shared" si="72"/>
        <v>0</v>
      </c>
      <c r="AA36" s="128">
        <f t="shared" si="24"/>
        <v>166105.12</v>
      </c>
      <c r="AB36" s="128">
        <f t="shared" si="12"/>
        <v>1659428.96</v>
      </c>
      <c r="AC36" s="175">
        <f t="shared" si="13"/>
        <v>0.38412707407407409</v>
      </c>
    </row>
    <row r="37" spans="1:29" ht="14.25" hidden="1" x14ac:dyDescent="0.2">
      <c r="B37" s="76" t="s">
        <v>414</v>
      </c>
      <c r="C37" s="77" t="s">
        <v>129</v>
      </c>
      <c r="D37" s="330">
        <f>+D32*1.43856%</f>
        <v>77682240</v>
      </c>
      <c r="E37" s="188">
        <f>SUM('ADICIONES  2021'!C37:I37)</f>
        <v>0</v>
      </c>
      <c r="F37" s="41">
        <f t="shared" ref="F37:J37" si="73">+F32*1.43856%</f>
        <v>0</v>
      </c>
      <c r="G37" s="41">
        <f t="shared" si="73"/>
        <v>0</v>
      </c>
      <c r="H37" s="41">
        <f t="shared" si="73"/>
        <v>0</v>
      </c>
      <c r="I37" s="41">
        <f t="shared" si="73"/>
        <v>0</v>
      </c>
      <c r="J37" s="41">
        <f t="shared" si="73"/>
        <v>0</v>
      </c>
      <c r="K37" s="128">
        <f t="shared" si="1"/>
        <v>77682240</v>
      </c>
      <c r="L37" s="41">
        <f t="shared" ref="L37:Q37" si="74">+L32*1.43856%</f>
        <v>3672931.392</v>
      </c>
      <c r="M37" s="41">
        <f t="shared" si="74"/>
        <v>4123566.0662400001</v>
      </c>
      <c r="N37" s="41">
        <f t="shared" si="74"/>
        <v>6976921.05504</v>
      </c>
      <c r="O37" s="41">
        <f t="shared" si="74"/>
        <v>4553528.6332799997</v>
      </c>
      <c r="P37" s="41">
        <f t="shared" si="74"/>
        <v>3324555.3168000001</v>
      </c>
      <c r="Q37" s="409">
        <f t="shared" si="74"/>
        <v>4201446.8275199998</v>
      </c>
      <c r="R37" s="128">
        <f t="shared" si="9"/>
        <v>26852949.290879995</v>
      </c>
      <c r="S37" s="41">
        <f t="shared" ref="S37:Z37" si="75">+S32*1.43856%</f>
        <v>2986902.2678399999</v>
      </c>
      <c r="T37" s="41">
        <f t="shared" si="75"/>
        <v>0</v>
      </c>
      <c r="U37" s="41">
        <f t="shared" si="75"/>
        <v>0</v>
      </c>
      <c r="V37" s="41">
        <f t="shared" si="75"/>
        <v>0</v>
      </c>
      <c r="W37" s="41">
        <f t="shared" si="75"/>
        <v>0</v>
      </c>
      <c r="X37" s="41">
        <f t="shared" si="75"/>
        <v>0</v>
      </c>
      <c r="Y37" s="41">
        <f t="shared" si="75"/>
        <v>0</v>
      </c>
      <c r="Z37" s="41">
        <f t="shared" si="75"/>
        <v>0</v>
      </c>
      <c r="AA37" s="128">
        <f t="shared" si="24"/>
        <v>2986902.2678399999</v>
      </c>
      <c r="AB37" s="128">
        <f t="shared" si="12"/>
        <v>29839851.558719993</v>
      </c>
      <c r="AC37" s="175">
        <f t="shared" si="13"/>
        <v>0.38412707407407398</v>
      </c>
    </row>
    <row r="38" spans="1:29" ht="28.5" hidden="1" x14ac:dyDescent="0.2">
      <c r="B38" s="76" t="s">
        <v>415</v>
      </c>
      <c r="C38" s="77" t="s">
        <v>130</v>
      </c>
      <c r="D38" s="330">
        <f>+D32*0.7048944%</f>
        <v>38064297.600000001</v>
      </c>
      <c r="E38" s="188">
        <f>SUM('ADICIONES  2021'!C38:I38)</f>
        <v>0</v>
      </c>
      <c r="F38" s="41">
        <f t="shared" ref="F38:J38" si="76">+F32*0.7048944%</f>
        <v>0</v>
      </c>
      <c r="G38" s="41">
        <f t="shared" si="76"/>
        <v>0</v>
      </c>
      <c r="H38" s="41">
        <f t="shared" si="76"/>
        <v>0</v>
      </c>
      <c r="I38" s="41">
        <f t="shared" si="76"/>
        <v>0</v>
      </c>
      <c r="J38" s="41">
        <f t="shared" si="76"/>
        <v>0</v>
      </c>
      <c r="K38" s="128">
        <f t="shared" si="1"/>
        <v>38064297.600000001</v>
      </c>
      <c r="L38" s="41">
        <f t="shared" ref="L38:Q38" si="77">+L32*0.7048944%</f>
        <v>1799736.3820800001</v>
      </c>
      <c r="M38" s="41">
        <f t="shared" si="77"/>
        <v>2020547.3724576002</v>
      </c>
      <c r="N38" s="41">
        <f t="shared" si="77"/>
        <v>3418691.3169696005</v>
      </c>
      <c r="O38" s="41">
        <f t="shared" si="77"/>
        <v>2231229.0303072003</v>
      </c>
      <c r="P38" s="41">
        <f t="shared" si="77"/>
        <v>1629032.1052320001</v>
      </c>
      <c r="Q38" s="409">
        <f t="shared" si="77"/>
        <v>2058708.9454848003</v>
      </c>
      <c r="R38" s="128">
        <f t="shared" si="9"/>
        <v>13157945.152531201</v>
      </c>
      <c r="S38" s="41">
        <f t="shared" ref="S38:Z38" si="78">+S32*0.7048944%</f>
        <v>1463582.1112416</v>
      </c>
      <c r="T38" s="41">
        <f t="shared" si="78"/>
        <v>0</v>
      </c>
      <c r="U38" s="41">
        <f t="shared" si="78"/>
        <v>0</v>
      </c>
      <c r="V38" s="41">
        <f t="shared" si="78"/>
        <v>0</v>
      </c>
      <c r="W38" s="41">
        <f t="shared" si="78"/>
        <v>0</v>
      </c>
      <c r="X38" s="41">
        <f t="shared" si="78"/>
        <v>0</v>
      </c>
      <c r="Y38" s="41">
        <f t="shared" si="78"/>
        <v>0</v>
      </c>
      <c r="Z38" s="41">
        <f t="shared" si="78"/>
        <v>0</v>
      </c>
      <c r="AA38" s="128">
        <f t="shared" si="24"/>
        <v>1463582.1112416</v>
      </c>
      <c r="AB38" s="128">
        <f t="shared" si="12"/>
        <v>14621527.263772801</v>
      </c>
      <c r="AC38" s="175">
        <f t="shared" si="13"/>
        <v>0.38412707407407409</v>
      </c>
    </row>
    <row r="39" spans="1:29" s="19" customFormat="1" ht="30" x14ac:dyDescent="0.2">
      <c r="A39" s="71">
        <v>1</v>
      </c>
      <c r="B39" s="82" t="s">
        <v>416</v>
      </c>
      <c r="C39" s="83" t="s">
        <v>417</v>
      </c>
      <c r="D39" s="329">
        <v>48600000000</v>
      </c>
      <c r="E39" s="187">
        <f>SUM('ADICIONES  2021'!C39:I39)</f>
        <v>0</v>
      </c>
      <c r="F39" s="146"/>
      <c r="G39" s="146"/>
      <c r="H39" s="146"/>
      <c r="I39" s="146"/>
      <c r="J39" s="146"/>
      <c r="K39" s="126">
        <f t="shared" si="1"/>
        <v>48600000000</v>
      </c>
      <c r="L39" s="181">
        <v>4175360200</v>
      </c>
      <c r="M39" s="181">
        <v>4562101700</v>
      </c>
      <c r="N39" s="181">
        <v>5542916900</v>
      </c>
      <c r="O39" s="181">
        <v>4649810700</v>
      </c>
      <c r="P39" s="181">
        <v>3963220700</v>
      </c>
      <c r="Q39" s="181">
        <v>4971919100</v>
      </c>
      <c r="R39" s="78">
        <f t="shared" si="9"/>
        <v>27865329300</v>
      </c>
      <c r="S39" s="181">
        <v>4704453500</v>
      </c>
      <c r="T39" s="146"/>
      <c r="U39" s="146"/>
      <c r="V39" s="146"/>
      <c r="W39" s="146"/>
      <c r="X39" s="146"/>
      <c r="Y39" s="181"/>
      <c r="Z39" s="146"/>
      <c r="AA39" s="78">
        <f t="shared" si="24"/>
        <v>4704453500</v>
      </c>
      <c r="AB39" s="126">
        <f t="shared" si="12"/>
        <v>32569782800</v>
      </c>
      <c r="AC39" s="180">
        <f t="shared" si="13"/>
        <v>0.67016013991769552</v>
      </c>
    </row>
    <row r="40" spans="1:29" ht="28.5" hidden="1" x14ac:dyDescent="0.2">
      <c r="B40" s="76" t="s">
        <v>418</v>
      </c>
      <c r="C40" s="154" t="s">
        <v>125</v>
      </c>
      <c r="D40" s="330">
        <f>+D39*69.7845456%</f>
        <v>33915289161.600002</v>
      </c>
      <c r="E40" s="188">
        <f>SUM('ADICIONES  2021'!C40:I40)</f>
        <v>0</v>
      </c>
      <c r="F40" s="41">
        <f t="shared" ref="F40:J40" si="79">+F39*69.7845456%</f>
        <v>0</v>
      </c>
      <c r="G40" s="41">
        <f t="shared" si="79"/>
        <v>0</v>
      </c>
      <c r="H40" s="41">
        <f t="shared" si="79"/>
        <v>0</v>
      </c>
      <c r="I40" s="41">
        <f t="shared" si="79"/>
        <v>0</v>
      </c>
      <c r="J40" s="41">
        <f t="shared" si="79"/>
        <v>0</v>
      </c>
      <c r="K40" s="128">
        <f t="shared" si="1"/>
        <v>33915289161.600002</v>
      </c>
      <c r="L40" s="41">
        <f t="shared" ref="L40:Q40" si="80">+L39*69.7845456%</f>
        <v>2913756142.7332511</v>
      </c>
      <c r="M40" s="41">
        <f t="shared" si="80"/>
        <v>3183641941.1548753</v>
      </c>
      <c r="N40" s="41">
        <f t="shared" si="80"/>
        <v>3868099371.6506066</v>
      </c>
      <c r="O40" s="41">
        <f t="shared" si="80"/>
        <v>3244849268.2551794</v>
      </c>
      <c r="P40" s="41">
        <f t="shared" si="80"/>
        <v>2765715556.6201391</v>
      </c>
      <c r="Q40" s="409">
        <f t="shared" si="80"/>
        <v>3469631151.5346098</v>
      </c>
      <c r="R40" s="128">
        <f t="shared" si="9"/>
        <v>19445693431.948662</v>
      </c>
      <c r="S40" s="41">
        <f t="shared" ref="S40:Z40" si="81">+S39*69.7845456%</f>
        <v>3282981497.9382963</v>
      </c>
      <c r="T40" s="41">
        <f t="shared" si="81"/>
        <v>0</v>
      </c>
      <c r="U40" s="41">
        <f t="shared" si="81"/>
        <v>0</v>
      </c>
      <c r="V40" s="41">
        <f t="shared" si="81"/>
        <v>0</v>
      </c>
      <c r="W40" s="41">
        <f t="shared" si="81"/>
        <v>0</v>
      </c>
      <c r="X40" s="41">
        <f t="shared" si="81"/>
        <v>0</v>
      </c>
      <c r="Y40" s="41">
        <f t="shared" si="81"/>
        <v>0</v>
      </c>
      <c r="Z40" s="41">
        <f t="shared" si="81"/>
        <v>0</v>
      </c>
      <c r="AA40" s="128">
        <f t="shared" si="24"/>
        <v>3282981497.9382963</v>
      </c>
      <c r="AB40" s="128">
        <f t="shared" si="12"/>
        <v>22728674929.886959</v>
      </c>
      <c r="AC40" s="175">
        <f t="shared" si="13"/>
        <v>0.67016013991769552</v>
      </c>
    </row>
    <row r="41" spans="1:29" ht="14.25" hidden="1" x14ac:dyDescent="0.2">
      <c r="B41" s="76" t="s">
        <v>419</v>
      </c>
      <c r="C41" s="77" t="s">
        <v>126</v>
      </c>
      <c r="D41" s="330">
        <f>+D39*7.992%</f>
        <v>3884112000.0000005</v>
      </c>
      <c r="E41" s="188">
        <f>SUM('ADICIONES  2021'!C41:I41)</f>
        <v>0</v>
      </c>
      <c r="F41" s="41">
        <f t="shared" ref="F41:J41" si="82">+F39*7.992%</f>
        <v>0</v>
      </c>
      <c r="G41" s="41">
        <f t="shared" si="82"/>
        <v>0</v>
      </c>
      <c r="H41" s="41">
        <f t="shared" si="82"/>
        <v>0</v>
      </c>
      <c r="I41" s="41">
        <f t="shared" si="82"/>
        <v>0</v>
      </c>
      <c r="J41" s="41">
        <f t="shared" si="82"/>
        <v>0</v>
      </c>
      <c r="K41" s="128">
        <f t="shared" si="1"/>
        <v>3884112000.0000005</v>
      </c>
      <c r="L41" s="41">
        <f t="shared" ref="L41:Q41" si="83">+L39*7.992%</f>
        <v>333694787.18400002</v>
      </c>
      <c r="M41" s="41">
        <f t="shared" si="83"/>
        <v>364603167.86400002</v>
      </c>
      <c r="N41" s="41">
        <f t="shared" si="83"/>
        <v>442989918.648</v>
      </c>
      <c r="O41" s="41">
        <f t="shared" si="83"/>
        <v>371612871.14399999</v>
      </c>
      <c r="P41" s="41">
        <f t="shared" si="83"/>
        <v>316740598.34400004</v>
      </c>
      <c r="Q41" s="409">
        <f t="shared" si="83"/>
        <v>397355774.472</v>
      </c>
      <c r="R41" s="128">
        <f t="shared" si="9"/>
        <v>2226997117.6560001</v>
      </c>
      <c r="S41" s="41">
        <f t="shared" ref="S41:Z41" si="84">+S39*7.992%</f>
        <v>375979923.72000003</v>
      </c>
      <c r="T41" s="41">
        <f t="shared" si="84"/>
        <v>0</v>
      </c>
      <c r="U41" s="41">
        <f t="shared" si="84"/>
        <v>0</v>
      </c>
      <c r="V41" s="41">
        <f t="shared" si="84"/>
        <v>0</v>
      </c>
      <c r="W41" s="41">
        <f t="shared" si="84"/>
        <v>0</v>
      </c>
      <c r="X41" s="41">
        <f t="shared" si="84"/>
        <v>0</v>
      </c>
      <c r="Y41" s="41">
        <f t="shared" si="84"/>
        <v>0</v>
      </c>
      <c r="Z41" s="41">
        <f t="shared" si="84"/>
        <v>0</v>
      </c>
      <c r="AA41" s="128">
        <f t="shared" si="24"/>
        <v>375979923.72000003</v>
      </c>
      <c r="AB41" s="128">
        <f t="shared" si="12"/>
        <v>2602977041.3760004</v>
      </c>
      <c r="AC41" s="175">
        <f t="shared" si="13"/>
        <v>0.67016013991769552</v>
      </c>
    </row>
    <row r="42" spans="1:29" ht="14.25" hidden="1" x14ac:dyDescent="0.2">
      <c r="B42" s="76" t="s">
        <v>420</v>
      </c>
      <c r="C42" s="77" t="s">
        <v>127</v>
      </c>
      <c r="D42" s="330">
        <f>+D39*20%</f>
        <v>9720000000</v>
      </c>
      <c r="E42" s="188">
        <f>SUM('ADICIONES  2021'!C42:I42)</f>
        <v>0</v>
      </c>
      <c r="F42" s="41">
        <f t="shared" ref="F42:J42" si="85">+F39*20%</f>
        <v>0</v>
      </c>
      <c r="G42" s="41">
        <f t="shared" si="85"/>
        <v>0</v>
      </c>
      <c r="H42" s="41">
        <f t="shared" si="85"/>
        <v>0</v>
      </c>
      <c r="I42" s="41">
        <f t="shared" si="85"/>
        <v>0</v>
      </c>
      <c r="J42" s="41">
        <f t="shared" si="85"/>
        <v>0</v>
      </c>
      <c r="K42" s="128">
        <f t="shared" si="1"/>
        <v>9720000000</v>
      </c>
      <c r="L42" s="41">
        <f t="shared" ref="L42:Q42" si="86">+L39*20%</f>
        <v>835072040</v>
      </c>
      <c r="M42" s="41">
        <f t="shared" si="86"/>
        <v>912420340</v>
      </c>
      <c r="N42" s="41">
        <f t="shared" si="86"/>
        <v>1108583380</v>
      </c>
      <c r="O42" s="41">
        <f t="shared" si="86"/>
        <v>929962140</v>
      </c>
      <c r="P42" s="41">
        <f t="shared" si="86"/>
        <v>792644140</v>
      </c>
      <c r="Q42" s="409">
        <f t="shared" si="86"/>
        <v>994383820</v>
      </c>
      <c r="R42" s="128">
        <f t="shared" si="9"/>
        <v>5573065860</v>
      </c>
      <c r="S42" s="41">
        <f t="shared" ref="S42:Z42" si="87">+S39*20%</f>
        <v>940890700</v>
      </c>
      <c r="T42" s="41">
        <f t="shared" si="87"/>
        <v>0</v>
      </c>
      <c r="U42" s="41">
        <f t="shared" si="87"/>
        <v>0</v>
      </c>
      <c r="V42" s="41">
        <f t="shared" si="87"/>
        <v>0</v>
      </c>
      <c r="W42" s="41">
        <f t="shared" si="87"/>
        <v>0</v>
      </c>
      <c r="X42" s="41">
        <f t="shared" si="87"/>
        <v>0</v>
      </c>
      <c r="Y42" s="41">
        <f t="shared" si="87"/>
        <v>0</v>
      </c>
      <c r="Z42" s="41">
        <f t="shared" si="87"/>
        <v>0</v>
      </c>
      <c r="AA42" s="128">
        <f t="shared" si="24"/>
        <v>940890700</v>
      </c>
      <c r="AB42" s="128">
        <f t="shared" si="12"/>
        <v>6513956560</v>
      </c>
      <c r="AC42" s="175">
        <f t="shared" si="13"/>
        <v>0.67016013991769552</v>
      </c>
    </row>
    <row r="43" spans="1:29" ht="14.25" hidden="1" x14ac:dyDescent="0.2">
      <c r="B43" s="76" t="s">
        <v>421</v>
      </c>
      <c r="C43" s="77" t="s">
        <v>128</v>
      </c>
      <c r="D43" s="330">
        <f>+D39*0.08%</f>
        <v>38880000</v>
      </c>
      <c r="E43" s="188">
        <f>SUM('ADICIONES  2021'!C43:I43)</f>
        <v>0</v>
      </c>
      <c r="F43" s="41">
        <f t="shared" ref="F43:J43" si="88">+F39*0.08%</f>
        <v>0</v>
      </c>
      <c r="G43" s="41">
        <f t="shared" si="88"/>
        <v>0</v>
      </c>
      <c r="H43" s="41">
        <f t="shared" si="88"/>
        <v>0</v>
      </c>
      <c r="I43" s="41">
        <f t="shared" si="88"/>
        <v>0</v>
      </c>
      <c r="J43" s="41">
        <f t="shared" si="88"/>
        <v>0</v>
      </c>
      <c r="K43" s="128">
        <f t="shared" si="1"/>
        <v>38880000</v>
      </c>
      <c r="L43" s="41">
        <f t="shared" ref="L43:Q43" si="89">+L39*0.08%</f>
        <v>3340288.16</v>
      </c>
      <c r="M43" s="41">
        <f t="shared" si="89"/>
        <v>3649681.3600000003</v>
      </c>
      <c r="N43" s="41">
        <f t="shared" si="89"/>
        <v>4434333.5200000005</v>
      </c>
      <c r="O43" s="41">
        <f t="shared" si="89"/>
        <v>3719848.56</v>
      </c>
      <c r="P43" s="41">
        <f t="shared" si="89"/>
        <v>3170576.56</v>
      </c>
      <c r="Q43" s="409">
        <f t="shared" si="89"/>
        <v>3977535.2800000003</v>
      </c>
      <c r="R43" s="128">
        <f t="shared" si="9"/>
        <v>22292263.440000001</v>
      </c>
      <c r="S43" s="41">
        <f t="shared" ref="S43:Z43" si="90">+S39*0.08%</f>
        <v>3763562.8000000003</v>
      </c>
      <c r="T43" s="41">
        <f t="shared" si="90"/>
        <v>0</v>
      </c>
      <c r="U43" s="41">
        <f t="shared" si="90"/>
        <v>0</v>
      </c>
      <c r="V43" s="41">
        <f t="shared" si="90"/>
        <v>0</v>
      </c>
      <c r="W43" s="41">
        <f t="shared" si="90"/>
        <v>0</v>
      </c>
      <c r="X43" s="41">
        <f t="shared" si="90"/>
        <v>0</v>
      </c>
      <c r="Y43" s="41">
        <f t="shared" si="90"/>
        <v>0</v>
      </c>
      <c r="Z43" s="41">
        <f t="shared" si="90"/>
        <v>0</v>
      </c>
      <c r="AA43" s="128">
        <f t="shared" si="24"/>
        <v>3763562.8000000003</v>
      </c>
      <c r="AB43" s="128">
        <f t="shared" si="12"/>
        <v>26055826.240000002</v>
      </c>
      <c r="AC43" s="175">
        <f t="shared" si="13"/>
        <v>0.67016013991769552</v>
      </c>
    </row>
    <row r="44" spans="1:29" ht="14.25" hidden="1" x14ac:dyDescent="0.2">
      <c r="B44" s="76" t="s">
        <v>422</v>
      </c>
      <c r="C44" s="77" t="s">
        <v>129</v>
      </c>
      <c r="D44" s="330">
        <f>+D39*1.43856%</f>
        <v>699140160</v>
      </c>
      <c r="E44" s="188">
        <f>SUM('ADICIONES  2021'!C44:I44)</f>
        <v>0</v>
      </c>
      <c r="F44" s="41">
        <f t="shared" ref="F44:J44" si="91">+F39*1.43856%</f>
        <v>0</v>
      </c>
      <c r="G44" s="41">
        <f t="shared" si="91"/>
        <v>0</v>
      </c>
      <c r="H44" s="41">
        <f t="shared" si="91"/>
        <v>0</v>
      </c>
      <c r="I44" s="41">
        <f t="shared" si="91"/>
        <v>0</v>
      </c>
      <c r="J44" s="41">
        <f t="shared" si="91"/>
        <v>0</v>
      </c>
      <c r="K44" s="128">
        <f t="shared" si="1"/>
        <v>699140160</v>
      </c>
      <c r="L44" s="41">
        <f t="shared" ref="L44:Q44" si="92">+L39*1.43856%</f>
        <v>60065061.693120003</v>
      </c>
      <c r="M44" s="41">
        <f t="shared" si="92"/>
        <v>65628570.215520002</v>
      </c>
      <c r="N44" s="41">
        <f t="shared" si="92"/>
        <v>79738185.356639996</v>
      </c>
      <c r="O44" s="41">
        <f t="shared" si="92"/>
        <v>66890316.805919997</v>
      </c>
      <c r="P44" s="41">
        <f t="shared" si="92"/>
        <v>57013307.701920003</v>
      </c>
      <c r="Q44" s="409">
        <f t="shared" si="92"/>
        <v>71524039.404960006</v>
      </c>
      <c r="R44" s="128">
        <f t="shared" si="9"/>
        <v>400859481.17808008</v>
      </c>
      <c r="S44" s="41">
        <f t="shared" ref="S44:Z44" si="93">+S39*1.43856%</f>
        <v>67676386.269600004</v>
      </c>
      <c r="T44" s="41">
        <f t="shared" si="93"/>
        <v>0</v>
      </c>
      <c r="U44" s="41">
        <f t="shared" si="93"/>
        <v>0</v>
      </c>
      <c r="V44" s="41">
        <f t="shared" si="93"/>
        <v>0</v>
      </c>
      <c r="W44" s="41">
        <f t="shared" si="93"/>
        <v>0</v>
      </c>
      <c r="X44" s="41">
        <f t="shared" si="93"/>
        <v>0</v>
      </c>
      <c r="Y44" s="41">
        <f t="shared" si="93"/>
        <v>0</v>
      </c>
      <c r="Z44" s="41">
        <f t="shared" si="93"/>
        <v>0</v>
      </c>
      <c r="AA44" s="128">
        <f t="shared" si="24"/>
        <v>67676386.269600004</v>
      </c>
      <c r="AB44" s="128">
        <f t="shared" si="12"/>
        <v>468535867.44768012</v>
      </c>
      <c r="AC44" s="175">
        <f t="shared" si="13"/>
        <v>0.67016013991769563</v>
      </c>
    </row>
    <row r="45" spans="1:29" ht="28.5" hidden="1" x14ac:dyDescent="0.2">
      <c r="B45" s="76" t="s">
        <v>423</v>
      </c>
      <c r="C45" s="77" t="s">
        <v>130</v>
      </c>
      <c r="D45" s="330">
        <f>+D39*0.7048944%</f>
        <v>342578678.40000004</v>
      </c>
      <c r="E45" s="188">
        <f>SUM('ADICIONES  2021'!C45:I45)</f>
        <v>0</v>
      </c>
      <c r="F45" s="41">
        <f t="shared" ref="F45:J45" si="94">+F39*0.7048944%</f>
        <v>0</v>
      </c>
      <c r="G45" s="41">
        <f t="shared" si="94"/>
        <v>0</v>
      </c>
      <c r="H45" s="41">
        <f t="shared" si="94"/>
        <v>0</v>
      </c>
      <c r="I45" s="41">
        <f t="shared" si="94"/>
        <v>0</v>
      </c>
      <c r="J45" s="41">
        <f t="shared" si="94"/>
        <v>0</v>
      </c>
      <c r="K45" s="128">
        <f t="shared" si="1"/>
        <v>342578678.40000004</v>
      </c>
      <c r="L45" s="41">
        <f t="shared" ref="L45:Q45" si="95">+L39*0.7048944%</f>
        <v>29431880.229628801</v>
      </c>
      <c r="M45" s="41">
        <f t="shared" si="95"/>
        <v>32157999.405604802</v>
      </c>
      <c r="N45" s="41">
        <f t="shared" si="95"/>
        <v>39071710.824753605</v>
      </c>
      <c r="O45" s="41">
        <f t="shared" si="95"/>
        <v>32776255.234900802</v>
      </c>
      <c r="P45" s="41">
        <f t="shared" si="95"/>
        <v>27936520.773940802</v>
      </c>
      <c r="Q45" s="409">
        <f t="shared" si="95"/>
        <v>35046779.308430403</v>
      </c>
      <c r="R45" s="128">
        <f t="shared" si="9"/>
        <v>196421145.7772592</v>
      </c>
      <c r="S45" s="41">
        <f t="shared" ref="S45:Z45" si="96">+S39*0.7048944%</f>
        <v>33161429.272104003</v>
      </c>
      <c r="T45" s="41">
        <f t="shared" si="96"/>
        <v>0</v>
      </c>
      <c r="U45" s="41">
        <f t="shared" si="96"/>
        <v>0</v>
      </c>
      <c r="V45" s="41">
        <f t="shared" si="96"/>
        <v>0</v>
      </c>
      <c r="W45" s="41">
        <f t="shared" si="96"/>
        <v>0</v>
      </c>
      <c r="X45" s="41">
        <f t="shared" si="96"/>
        <v>0</v>
      </c>
      <c r="Y45" s="41">
        <f t="shared" si="96"/>
        <v>0</v>
      </c>
      <c r="Z45" s="41">
        <f t="shared" si="96"/>
        <v>0</v>
      </c>
      <c r="AA45" s="128">
        <f t="shared" si="24"/>
        <v>33161429.272104003</v>
      </c>
      <c r="AB45" s="128">
        <f t="shared" si="12"/>
        <v>229582575.0493632</v>
      </c>
      <c r="AC45" s="175">
        <f t="shared" si="13"/>
        <v>0.67016013991769541</v>
      </c>
    </row>
    <row r="46" spans="1:29" s="19" customFormat="1" ht="15.75" x14ac:dyDescent="0.2">
      <c r="A46" s="71">
        <v>1</v>
      </c>
      <c r="B46" s="81" t="s">
        <v>424</v>
      </c>
      <c r="C46" s="83" t="s">
        <v>425</v>
      </c>
      <c r="D46" s="329">
        <v>3000000000</v>
      </c>
      <c r="E46" s="187">
        <f>SUM('ADICIONES  2021'!C46:I46)</f>
        <v>0</v>
      </c>
      <c r="F46" s="146"/>
      <c r="G46" s="146"/>
      <c r="H46" s="146"/>
      <c r="I46" s="146"/>
      <c r="J46" s="146"/>
      <c r="K46" s="126">
        <f t="shared" si="1"/>
        <v>3000000000</v>
      </c>
      <c r="L46" s="181">
        <v>387155350</v>
      </c>
      <c r="M46" s="181">
        <v>385510900</v>
      </c>
      <c r="N46" s="181">
        <v>421700300</v>
      </c>
      <c r="O46" s="181">
        <v>434859000</v>
      </c>
      <c r="P46" s="181">
        <v>385099700</v>
      </c>
      <c r="Q46" s="181">
        <v>276530900</v>
      </c>
      <c r="R46" s="78">
        <f t="shared" si="9"/>
        <v>2290856150</v>
      </c>
      <c r="S46" s="181">
        <v>448945900</v>
      </c>
      <c r="T46" s="146"/>
      <c r="U46" s="146"/>
      <c r="V46" s="146"/>
      <c r="W46" s="146"/>
      <c r="X46" s="146"/>
      <c r="Y46" s="181"/>
      <c r="Z46" s="146"/>
      <c r="AA46" s="78">
        <f t="shared" si="24"/>
        <v>448945900</v>
      </c>
      <c r="AB46" s="126">
        <f t="shared" si="12"/>
        <v>2739802050</v>
      </c>
      <c r="AC46" s="180">
        <f t="shared" si="13"/>
        <v>0.91326735000000003</v>
      </c>
    </row>
    <row r="47" spans="1:29" ht="28.5" hidden="1" x14ac:dyDescent="0.2">
      <c r="B47" s="76" t="s">
        <v>426</v>
      </c>
      <c r="C47" s="77" t="s">
        <v>181</v>
      </c>
      <c r="D47" s="330">
        <f>+D46*87.230682%</f>
        <v>2616920460</v>
      </c>
      <c r="E47" s="188">
        <f>SUM('ADICIONES  2021'!C47:I47)</f>
        <v>0</v>
      </c>
      <c r="F47" s="41">
        <f t="shared" ref="F47:J47" si="97">+F46*87.230682%</f>
        <v>0</v>
      </c>
      <c r="G47" s="41">
        <f t="shared" si="97"/>
        <v>0</v>
      </c>
      <c r="H47" s="41">
        <f t="shared" si="97"/>
        <v>0</v>
      </c>
      <c r="I47" s="41">
        <f t="shared" si="97"/>
        <v>0</v>
      </c>
      <c r="J47" s="41">
        <f t="shared" si="97"/>
        <v>0</v>
      </c>
      <c r="K47" s="128">
        <f t="shared" si="1"/>
        <v>2616920460</v>
      </c>
      <c r="L47" s="41">
        <f t="shared" ref="L47:Q47" si="98">+L46*87.230682%</f>
        <v>337718252.20448703</v>
      </c>
      <c r="M47" s="41">
        <f t="shared" si="98"/>
        <v>336283787.25433803</v>
      </c>
      <c r="N47" s="41">
        <f t="shared" si="98"/>
        <v>367852047.686046</v>
      </c>
      <c r="O47" s="41">
        <f t="shared" si="98"/>
        <v>379330471.43838</v>
      </c>
      <c r="P47" s="41">
        <f t="shared" si="98"/>
        <v>335925094.68995404</v>
      </c>
      <c r="Q47" s="409">
        <f t="shared" si="98"/>
        <v>241219790.01073802</v>
      </c>
      <c r="R47" s="128">
        <f t="shared" si="9"/>
        <v>1998329443.2839432</v>
      </c>
      <c r="S47" s="41">
        <f t="shared" ref="S47:Z47" si="99">+S46*87.230682%</f>
        <v>391618570.38103801</v>
      </c>
      <c r="T47" s="41">
        <f t="shared" si="99"/>
        <v>0</v>
      </c>
      <c r="U47" s="41">
        <f t="shared" si="99"/>
        <v>0</v>
      </c>
      <c r="V47" s="41">
        <f t="shared" si="99"/>
        <v>0</v>
      </c>
      <c r="W47" s="41">
        <f t="shared" si="99"/>
        <v>0</v>
      </c>
      <c r="X47" s="41">
        <f t="shared" si="99"/>
        <v>0</v>
      </c>
      <c r="Y47" s="41">
        <f t="shared" si="99"/>
        <v>0</v>
      </c>
      <c r="Z47" s="41">
        <f t="shared" si="99"/>
        <v>0</v>
      </c>
      <c r="AA47" s="128">
        <f t="shared" si="24"/>
        <v>391618570.38103801</v>
      </c>
      <c r="AB47" s="128">
        <f t="shared" si="12"/>
        <v>2389948013.6649814</v>
      </c>
      <c r="AC47" s="175">
        <f t="shared" si="13"/>
        <v>0.91326735000000014</v>
      </c>
    </row>
    <row r="48" spans="1:29" ht="14.25" hidden="1" x14ac:dyDescent="0.2">
      <c r="B48" s="76" t="s">
        <v>427</v>
      </c>
      <c r="C48" s="77" t="s">
        <v>182</v>
      </c>
      <c r="D48" s="330">
        <f>+D46*0.1%</f>
        <v>3000000</v>
      </c>
      <c r="E48" s="188">
        <f>SUM('ADICIONES  2021'!C48:I48)</f>
        <v>0</v>
      </c>
      <c r="F48" s="41">
        <f t="shared" ref="F48:J48" si="100">+F46*0.1%</f>
        <v>0</v>
      </c>
      <c r="G48" s="41">
        <f t="shared" si="100"/>
        <v>0</v>
      </c>
      <c r="H48" s="41">
        <f t="shared" si="100"/>
        <v>0</v>
      </c>
      <c r="I48" s="41">
        <f t="shared" si="100"/>
        <v>0</v>
      </c>
      <c r="J48" s="41">
        <f t="shared" si="100"/>
        <v>0</v>
      </c>
      <c r="K48" s="128">
        <f t="shared" si="1"/>
        <v>3000000</v>
      </c>
      <c r="L48" s="41">
        <f t="shared" ref="L48:Q48" si="101">+L46*0.1%</f>
        <v>387155.35000000003</v>
      </c>
      <c r="M48" s="41">
        <f t="shared" si="101"/>
        <v>385510.9</v>
      </c>
      <c r="N48" s="41">
        <f t="shared" si="101"/>
        <v>421700.3</v>
      </c>
      <c r="O48" s="41">
        <f t="shared" si="101"/>
        <v>434859</v>
      </c>
      <c r="P48" s="41">
        <f t="shared" si="101"/>
        <v>385099.7</v>
      </c>
      <c r="Q48" s="409">
        <f t="shared" si="101"/>
        <v>276530.90000000002</v>
      </c>
      <c r="R48" s="128">
        <f t="shared" si="9"/>
        <v>2290856.15</v>
      </c>
      <c r="S48" s="41">
        <f t="shared" ref="S48:Z48" si="102">+S46*0.1%</f>
        <v>448945.9</v>
      </c>
      <c r="T48" s="41">
        <f t="shared" si="102"/>
        <v>0</v>
      </c>
      <c r="U48" s="41">
        <f t="shared" si="102"/>
        <v>0</v>
      </c>
      <c r="V48" s="41">
        <f t="shared" si="102"/>
        <v>0</v>
      </c>
      <c r="W48" s="41">
        <f t="shared" si="102"/>
        <v>0</v>
      </c>
      <c r="X48" s="41">
        <f t="shared" si="102"/>
        <v>0</v>
      </c>
      <c r="Y48" s="41">
        <f t="shared" si="102"/>
        <v>0</v>
      </c>
      <c r="Z48" s="41">
        <f t="shared" si="102"/>
        <v>0</v>
      </c>
      <c r="AA48" s="128">
        <f t="shared" si="24"/>
        <v>448945.9</v>
      </c>
      <c r="AB48" s="128">
        <f t="shared" si="12"/>
        <v>2739802.05</v>
      </c>
      <c r="AC48" s="175">
        <f t="shared" si="13"/>
        <v>0.91326734999999992</v>
      </c>
    </row>
    <row r="49" spans="1:29" ht="14.25" hidden="1" x14ac:dyDescent="0.2">
      <c r="B49" s="76" t="s">
        <v>428</v>
      </c>
      <c r="C49" s="154" t="s">
        <v>183</v>
      </c>
      <c r="D49" s="330">
        <f>+D46*9.99%</f>
        <v>299700000</v>
      </c>
      <c r="E49" s="188">
        <f>SUM('ADICIONES  2021'!C49:I49)</f>
        <v>0</v>
      </c>
      <c r="F49" s="41">
        <f t="shared" ref="F49:J49" si="103">+F46*9.99%</f>
        <v>0</v>
      </c>
      <c r="G49" s="41">
        <f t="shared" si="103"/>
        <v>0</v>
      </c>
      <c r="H49" s="41">
        <f t="shared" si="103"/>
        <v>0</v>
      </c>
      <c r="I49" s="41">
        <f t="shared" si="103"/>
        <v>0</v>
      </c>
      <c r="J49" s="41">
        <f t="shared" si="103"/>
        <v>0</v>
      </c>
      <c r="K49" s="128">
        <f t="shared" si="1"/>
        <v>299700000</v>
      </c>
      <c r="L49" s="41">
        <f t="shared" ref="L49:Q49" si="104">+L46*9.99%</f>
        <v>38676819.465000004</v>
      </c>
      <c r="M49" s="41">
        <f t="shared" si="104"/>
        <v>38512538.910000004</v>
      </c>
      <c r="N49" s="41">
        <f t="shared" si="104"/>
        <v>42127859.969999999</v>
      </c>
      <c r="O49" s="41">
        <f t="shared" si="104"/>
        <v>43442414.100000001</v>
      </c>
      <c r="P49" s="41">
        <f t="shared" si="104"/>
        <v>38471460.030000001</v>
      </c>
      <c r="Q49" s="409">
        <f t="shared" si="104"/>
        <v>27625436.91</v>
      </c>
      <c r="R49" s="128">
        <f t="shared" si="9"/>
        <v>228856529.38499999</v>
      </c>
      <c r="S49" s="41">
        <f t="shared" ref="S49:Z49" si="105">+S46*9.99%</f>
        <v>44849695.410000004</v>
      </c>
      <c r="T49" s="41">
        <f t="shared" si="105"/>
        <v>0</v>
      </c>
      <c r="U49" s="41">
        <f t="shared" si="105"/>
        <v>0</v>
      </c>
      <c r="V49" s="41">
        <f t="shared" si="105"/>
        <v>0</v>
      </c>
      <c r="W49" s="41">
        <f t="shared" si="105"/>
        <v>0</v>
      </c>
      <c r="X49" s="41">
        <f t="shared" si="105"/>
        <v>0</v>
      </c>
      <c r="Y49" s="41">
        <f t="shared" si="105"/>
        <v>0</v>
      </c>
      <c r="Z49" s="41">
        <f t="shared" si="105"/>
        <v>0</v>
      </c>
      <c r="AA49" s="128">
        <f t="shared" si="24"/>
        <v>44849695.410000004</v>
      </c>
      <c r="AB49" s="128">
        <f t="shared" si="12"/>
        <v>273706224.79500002</v>
      </c>
      <c r="AC49" s="175">
        <f t="shared" si="13"/>
        <v>0.91326735000000003</v>
      </c>
    </row>
    <row r="50" spans="1:29" ht="28.5" hidden="1" x14ac:dyDescent="0.2">
      <c r="B50" s="76" t="s">
        <v>429</v>
      </c>
      <c r="C50" s="77" t="s">
        <v>184</v>
      </c>
      <c r="D50" s="330">
        <f>+D46*1.7982%</f>
        <v>53946000.000000007</v>
      </c>
      <c r="E50" s="188">
        <f>SUM('ADICIONES  2021'!C50:I50)</f>
        <v>0</v>
      </c>
      <c r="F50" s="41">
        <f t="shared" ref="F50:J50" si="106">+F46*1.7982%</f>
        <v>0</v>
      </c>
      <c r="G50" s="41">
        <f t="shared" si="106"/>
        <v>0</v>
      </c>
      <c r="H50" s="41">
        <f t="shared" si="106"/>
        <v>0</v>
      </c>
      <c r="I50" s="41">
        <f t="shared" si="106"/>
        <v>0</v>
      </c>
      <c r="J50" s="41">
        <f t="shared" si="106"/>
        <v>0</v>
      </c>
      <c r="K50" s="128">
        <f t="shared" si="1"/>
        <v>53946000.000000007</v>
      </c>
      <c r="L50" s="41">
        <f t="shared" ref="L50:Q50" si="107">+L46*1.7982%</f>
        <v>6961827.5037000002</v>
      </c>
      <c r="M50" s="41">
        <f t="shared" si="107"/>
        <v>6932257.003800001</v>
      </c>
      <c r="N50" s="41">
        <f t="shared" si="107"/>
        <v>7583014.7946000006</v>
      </c>
      <c r="O50" s="41">
        <f t="shared" si="107"/>
        <v>7819634.5380000006</v>
      </c>
      <c r="P50" s="41">
        <f t="shared" si="107"/>
        <v>6924862.8054000009</v>
      </c>
      <c r="Q50" s="409">
        <f t="shared" si="107"/>
        <v>4972578.6438000007</v>
      </c>
      <c r="R50" s="128">
        <f t="shared" si="9"/>
        <v>41194175.289300002</v>
      </c>
      <c r="S50" s="41">
        <f t="shared" ref="S50:Z50" si="108">+S46*1.7982%</f>
        <v>8072945.1738000009</v>
      </c>
      <c r="T50" s="41">
        <f t="shared" si="108"/>
        <v>0</v>
      </c>
      <c r="U50" s="41">
        <f t="shared" si="108"/>
        <v>0</v>
      </c>
      <c r="V50" s="41">
        <f t="shared" si="108"/>
        <v>0</v>
      </c>
      <c r="W50" s="41">
        <f t="shared" si="108"/>
        <v>0</v>
      </c>
      <c r="X50" s="41">
        <f t="shared" si="108"/>
        <v>0</v>
      </c>
      <c r="Y50" s="41">
        <f t="shared" si="108"/>
        <v>0</v>
      </c>
      <c r="Z50" s="41">
        <f t="shared" si="108"/>
        <v>0</v>
      </c>
      <c r="AA50" s="128">
        <f t="shared" si="24"/>
        <v>8072945.1738000009</v>
      </c>
      <c r="AB50" s="128">
        <f t="shared" si="12"/>
        <v>49267120.463100001</v>
      </c>
      <c r="AC50" s="175">
        <f t="shared" si="13"/>
        <v>0.91326734999999992</v>
      </c>
    </row>
    <row r="51" spans="1:29" ht="28.5" hidden="1" x14ac:dyDescent="0.2">
      <c r="B51" s="76" t="s">
        <v>430</v>
      </c>
      <c r="C51" s="77" t="s">
        <v>185</v>
      </c>
      <c r="D51" s="330">
        <f>+D46*0.881118%</f>
        <v>26433540</v>
      </c>
      <c r="E51" s="188">
        <f>SUM('ADICIONES  2021'!C51:I51)</f>
        <v>0</v>
      </c>
      <c r="F51" s="41">
        <f t="shared" ref="F51:J51" si="109">+F46*0.881118%</f>
        <v>0</v>
      </c>
      <c r="G51" s="41">
        <f t="shared" si="109"/>
        <v>0</v>
      </c>
      <c r="H51" s="41">
        <f t="shared" si="109"/>
        <v>0</v>
      </c>
      <c r="I51" s="41">
        <f t="shared" si="109"/>
        <v>0</v>
      </c>
      <c r="J51" s="41">
        <f t="shared" si="109"/>
        <v>0</v>
      </c>
      <c r="K51" s="128">
        <f t="shared" si="1"/>
        <v>26433540</v>
      </c>
      <c r="L51" s="41">
        <f t="shared" ref="L51:Q51" si="110">+L46*0.881118%</f>
        <v>3411295.4768130002</v>
      </c>
      <c r="M51" s="41">
        <f t="shared" si="110"/>
        <v>3396805.9318619999</v>
      </c>
      <c r="N51" s="41">
        <f t="shared" si="110"/>
        <v>3715677.2493540002</v>
      </c>
      <c r="O51" s="41">
        <f t="shared" si="110"/>
        <v>3831620.92362</v>
      </c>
      <c r="P51" s="41">
        <f t="shared" si="110"/>
        <v>3393182.774646</v>
      </c>
      <c r="Q51" s="409">
        <f t="shared" si="110"/>
        <v>2436563.5354619999</v>
      </c>
      <c r="R51" s="128">
        <f t="shared" si="9"/>
        <v>20185145.891757</v>
      </c>
      <c r="S51" s="41">
        <f t="shared" ref="S51:Z51" si="111">+S46*0.881118%</f>
        <v>3955743.1351620001</v>
      </c>
      <c r="T51" s="41">
        <f t="shared" si="111"/>
        <v>0</v>
      </c>
      <c r="U51" s="41">
        <f t="shared" si="111"/>
        <v>0</v>
      </c>
      <c r="V51" s="41">
        <f t="shared" si="111"/>
        <v>0</v>
      </c>
      <c r="W51" s="41">
        <f t="shared" si="111"/>
        <v>0</v>
      </c>
      <c r="X51" s="41">
        <f t="shared" si="111"/>
        <v>0</v>
      </c>
      <c r="Y51" s="41">
        <f t="shared" si="111"/>
        <v>0</v>
      </c>
      <c r="Z51" s="41">
        <f t="shared" si="111"/>
        <v>0</v>
      </c>
      <c r="AA51" s="128">
        <f t="shared" si="24"/>
        <v>3955743.1351620001</v>
      </c>
      <c r="AB51" s="128">
        <f t="shared" si="12"/>
        <v>24140889.026919</v>
      </c>
      <c r="AC51" s="175">
        <f t="shared" si="13"/>
        <v>0.91326735000000003</v>
      </c>
    </row>
    <row r="52" spans="1:29" s="63" customFormat="1" ht="31.5" hidden="1" x14ac:dyDescent="0.2">
      <c r="A52" s="399"/>
      <c r="B52" s="81" t="s">
        <v>431</v>
      </c>
      <c r="C52" s="79" t="s">
        <v>432</v>
      </c>
      <c r="D52" s="329">
        <f>+D53+D66</f>
        <v>11210000000</v>
      </c>
      <c r="E52" s="187">
        <f>SUM('ADICIONES  2021'!C52:I52)</f>
        <v>0</v>
      </c>
      <c r="F52" s="223">
        <f t="shared" ref="F52:J52" si="112">+F53+F66</f>
        <v>0</v>
      </c>
      <c r="G52" s="223">
        <f t="shared" si="112"/>
        <v>0</v>
      </c>
      <c r="H52" s="223">
        <f t="shared" si="112"/>
        <v>0</v>
      </c>
      <c r="I52" s="223">
        <f t="shared" si="112"/>
        <v>0</v>
      </c>
      <c r="J52" s="223">
        <f t="shared" si="112"/>
        <v>0</v>
      </c>
      <c r="K52" s="78">
        <f t="shared" si="1"/>
        <v>11210000000</v>
      </c>
      <c r="L52" s="223">
        <f t="shared" ref="L52:Q52" si="113">+L53+L66</f>
        <v>2320488617</v>
      </c>
      <c r="M52" s="223">
        <f t="shared" si="113"/>
        <v>795897270</v>
      </c>
      <c r="N52" s="223">
        <f t="shared" si="113"/>
        <v>1526197728</v>
      </c>
      <c r="O52" s="223">
        <f t="shared" si="113"/>
        <v>1066083240</v>
      </c>
      <c r="P52" s="223">
        <f t="shared" si="113"/>
        <v>1066021600</v>
      </c>
      <c r="Q52" s="407">
        <f t="shared" si="113"/>
        <v>992006400</v>
      </c>
      <c r="R52" s="78">
        <f t="shared" si="9"/>
        <v>7766694855</v>
      </c>
      <c r="S52" s="223">
        <f t="shared" ref="S52:Z52" si="114">+S53+S66</f>
        <v>1459532200</v>
      </c>
      <c r="T52" s="223">
        <f t="shared" si="114"/>
        <v>0</v>
      </c>
      <c r="U52" s="223">
        <f t="shared" si="114"/>
        <v>0</v>
      </c>
      <c r="V52" s="223">
        <f t="shared" si="114"/>
        <v>0</v>
      </c>
      <c r="W52" s="223">
        <f t="shared" si="114"/>
        <v>0</v>
      </c>
      <c r="X52" s="223">
        <f t="shared" si="114"/>
        <v>0</v>
      </c>
      <c r="Y52" s="223">
        <f t="shared" si="114"/>
        <v>0</v>
      </c>
      <c r="Z52" s="223">
        <f t="shared" si="114"/>
        <v>0</v>
      </c>
      <c r="AA52" s="78">
        <f t="shared" si="24"/>
        <v>1459532200</v>
      </c>
      <c r="AB52" s="78">
        <f t="shared" si="12"/>
        <v>9226227055</v>
      </c>
      <c r="AC52" s="174">
        <f t="shared" si="13"/>
        <v>0.82303541971454064</v>
      </c>
    </row>
    <row r="53" spans="1:29" s="63" customFormat="1" ht="15.75" x14ac:dyDescent="0.2">
      <c r="A53" s="399">
        <v>1</v>
      </c>
      <c r="B53" s="81" t="s">
        <v>433</v>
      </c>
      <c r="C53" s="79" t="s">
        <v>434</v>
      </c>
      <c r="D53" s="329">
        <f>+D54+D60</f>
        <v>7010000000</v>
      </c>
      <c r="E53" s="187">
        <f>SUM('ADICIONES  2021'!C53:I53)</f>
        <v>0</v>
      </c>
      <c r="F53" s="223">
        <f t="shared" ref="F53:J53" si="115">+F54+F60</f>
        <v>0</v>
      </c>
      <c r="G53" s="223">
        <f t="shared" si="115"/>
        <v>0</v>
      </c>
      <c r="H53" s="223">
        <f t="shared" si="115"/>
        <v>0</v>
      </c>
      <c r="I53" s="223">
        <f t="shared" si="115"/>
        <v>0</v>
      </c>
      <c r="J53" s="223">
        <f t="shared" si="115"/>
        <v>0</v>
      </c>
      <c r="K53" s="78">
        <f t="shared" si="1"/>
        <v>7010000000</v>
      </c>
      <c r="L53" s="223">
        <f t="shared" ref="L53:Q53" si="116">+L54+L60</f>
        <v>1438428374</v>
      </c>
      <c r="M53" s="223">
        <f t="shared" si="116"/>
        <v>531566428</v>
      </c>
      <c r="N53" s="223">
        <f t="shared" si="116"/>
        <v>1022861813</v>
      </c>
      <c r="O53" s="223">
        <f t="shared" si="116"/>
        <v>695531310</v>
      </c>
      <c r="P53" s="223">
        <f t="shared" si="116"/>
        <v>694761809</v>
      </c>
      <c r="Q53" s="223">
        <f t="shared" si="116"/>
        <v>569638842</v>
      </c>
      <c r="R53" s="78">
        <f t="shared" si="9"/>
        <v>4952788576</v>
      </c>
      <c r="S53" s="223">
        <f t="shared" ref="S53:Z53" si="117">+S54+S60</f>
        <v>975943549</v>
      </c>
      <c r="T53" s="223">
        <f t="shared" si="117"/>
        <v>0</v>
      </c>
      <c r="U53" s="223">
        <f t="shared" si="117"/>
        <v>0</v>
      </c>
      <c r="V53" s="223">
        <f t="shared" si="117"/>
        <v>0</v>
      </c>
      <c r="W53" s="223">
        <f t="shared" si="117"/>
        <v>0</v>
      </c>
      <c r="X53" s="223">
        <f t="shared" si="117"/>
        <v>0</v>
      </c>
      <c r="Y53" s="223">
        <f t="shared" si="117"/>
        <v>0</v>
      </c>
      <c r="Z53" s="223">
        <f t="shared" si="117"/>
        <v>0</v>
      </c>
      <c r="AA53" s="78">
        <f t="shared" si="24"/>
        <v>975943549</v>
      </c>
      <c r="AB53" s="78">
        <f t="shared" si="12"/>
        <v>5928732125</v>
      </c>
      <c r="AC53" s="174">
        <f t="shared" si="13"/>
        <v>0.84575351283880174</v>
      </c>
    </row>
    <row r="54" spans="1:29" s="19" customFormat="1" ht="15.75" x14ac:dyDescent="0.2">
      <c r="A54" s="71">
        <v>1</v>
      </c>
      <c r="B54" s="82" t="s">
        <v>435</v>
      </c>
      <c r="C54" s="77" t="s">
        <v>436</v>
      </c>
      <c r="D54" s="332">
        <v>10000000</v>
      </c>
      <c r="E54" s="187">
        <f>SUM('ADICIONES  2021'!C54:I54)</f>
        <v>0</v>
      </c>
      <c r="F54" s="146"/>
      <c r="G54" s="146"/>
      <c r="H54" s="146"/>
      <c r="I54" s="146"/>
      <c r="J54" s="146"/>
      <c r="K54" s="126">
        <f t="shared" si="1"/>
        <v>10000000</v>
      </c>
      <c r="L54" s="181">
        <v>0</v>
      </c>
      <c r="M54" s="181">
        <v>0</v>
      </c>
      <c r="N54" s="181">
        <v>0</v>
      </c>
      <c r="O54" s="181">
        <v>0</v>
      </c>
      <c r="P54" s="181">
        <v>0</v>
      </c>
      <c r="Q54" s="181">
        <v>0</v>
      </c>
      <c r="R54" s="78">
        <f t="shared" si="9"/>
        <v>0</v>
      </c>
      <c r="S54" s="181">
        <v>0</v>
      </c>
      <c r="T54" s="146"/>
      <c r="U54" s="146"/>
      <c r="V54" s="146"/>
      <c r="W54" s="146"/>
      <c r="X54" s="146"/>
      <c r="Y54" s="181"/>
      <c r="Z54" s="146"/>
      <c r="AA54" s="78">
        <f t="shared" si="24"/>
        <v>0</v>
      </c>
      <c r="AB54" s="126">
        <f t="shared" si="12"/>
        <v>0</v>
      </c>
      <c r="AC54" s="180">
        <f t="shared" si="13"/>
        <v>0</v>
      </c>
    </row>
    <row r="55" spans="1:29" ht="42.75" hidden="1" x14ac:dyDescent="0.2">
      <c r="B55" s="76" t="s">
        <v>437</v>
      </c>
      <c r="C55" s="77" t="s">
        <v>131</v>
      </c>
      <c r="D55" s="330">
        <f>+D54*87.230682%</f>
        <v>8723068.2000000011</v>
      </c>
      <c r="E55" s="188">
        <f>SUM('ADICIONES  2021'!C55:I55)</f>
        <v>0</v>
      </c>
      <c r="F55" s="41">
        <f t="shared" ref="F55:J55" si="118">+F54*87.230682%</f>
        <v>0</v>
      </c>
      <c r="G55" s="41">
        <f t="shared" si="118"/>
        <v>0</v>
      </c>
      <c r="H55" s="41">
        <f t="shared" si="118"/>
        <v>0</v>
      </c>
      <c r="I55" s="41">
        <f t="shared" si="118"/>
        <v>0</v>
      </c>
      <c r="J55" s="41">
        <f t="shared" si="118"/>
        <v>0</v>
      </c>
      <c r="K55" s="128">
        <f t="shared" si="1"/>
        <v>8723068.2000000011</v>
      </c>
      <c r="L55" s="41">
        <f t="shared" ref="L55:Q55" si="119">+L54*87.230682%</f>
        <v>0</v>
      </c>
      <c r="M55" s="41">
        <f t="shared" si="119"/>
        <v>0</v>
      </c>
      <c r="N55" s="41">
        <f t="shared" si="119"/>
        <v>0</v>
      </c>
      <c r="O55" s="41">
        <f t="shared" si="119"/>
        <v>0</v>
      </c>
      <c r="P55" s="41">
        <f t="shared" si="119"/>
        <v>0</v>
      </c>
      <c r="Q55" s="409">
        <f t="shared" si="119"/>
        <v>0</v>
      </c>
      <c r="R55" s="128">
        <f t="shared" si="9"/>
        <v>0</v>
      </c>
      <c r="S55" s="41">
        <f t="shared" ref="S55:Z55" si="120">+S54*87.230682%</f>
        <v>0</v>
      </c>
      <c r="T55" s="41">
        <f t="shared" si="120"/>
        <v>0</v>
      </c>
      <c r="U55" s="41">
        <f t="shared" si="120"/>
        <v>0</v>
      </c>
      <c r="V55" s="41">
        <f t="shared" si="120"/>
        <v>0</v>
      </c>
      <c r="W55" s="41">
        <f t="shared" si="120"/>
        <v>0</v>
      </c>
      <c r="X55" s="41">
        <f t="shared" si="120"/>
        <v>0</v>
      </c>
      <c r="Y55" s="41">
        <f t="shared" si="120"/>
        <v>0</v>
      </c>
      <c r="Z55" s="41">
        <f t="shared" si="120"/>
        <v>0</v>
      </c>
      <c r="AA55" s="128">
        <f t="shared" si="24"/>
        <v>0</v>
      </c>
      <c r="AB55" s="128">
        <f t="shared" si="12"/>
        <v>0</v>
      </c>
      <c r="AC55" s="175">
        <f t="shared" si="13"/>
        <v>0</v>
      </c>
    </row>
    <row r="56" spans="1:29" ht="28.5" hidden="1" x14ac:dyDescent="0.2">
      <c r="B56" s="76" t="s">
        <v>438</v>
      </c>
      <c r="C56" s="154" t="s">
        <v>132</v>
      </c>
      <c r="D56" s="330">
        <f>+D54*0.1%</f>
        <v>10000</v>
      </c>
      <c r="E56" s="188">
        <f>SUM('ADICIONES  2021'!C56:I56)</f>
        <v>0</v>
      </c>
      <c r="F56" s="41">
        <f t="shared" ref="F56:J56" si="121">+F54*0.1%</f>
        <v>0</v>
      </c>
      <c r="G56" s="41">
        <f t="shared" si="121"/>
        <v>0</v>
      </c>
      <c r="H56" s="41">
        <f t="shared" si="121"/>
        <v>0</v>
      </c>
      <c r="I56" s="41">
        <f t="shared" si="121"/>
        <v>0</v>
      </c>
      <c r="J56" s="41">
        <f t="shared" si="121"/>
        <v>0</v>
      </c>
      <c r="K56" s="128">
        <f t="shared" si="1"/>
        <v>10000</v>
      </c>
      <c r="L56" s="41">
        <f t="shared" ref="L56:Q56" si="122">+L54*0.1%</f>
        <v>0</v>
      </c>
      <c r="M56" s="41">
        <f t="shared" si="122"/>
        <v>0</v>
      </c>
      <c r="N56" s="41">
        <f t="shared" si="122"/>
        <v>0</v>
      </c>
      <c r="O56" s="41">
        <f t="shared" si="122"/>
        <v>0</v>
      </c>
      <c r="P56" s="41">
        <f t="shared" si="122"/>
        <v>0</v>
      </c>
      <c r="Q56" s="409">
        <f t="shared" si="122"/>
        <v>0</v>
      </c>
      <c r="R56" s="128">
        <f t="shared" si="9"/>
        <v>0</v>
      </c>
      <c r="S56" s="41">
        <f t="shared" ref="S56:Z56" si="123">+S54*0.1%</f>
        <v>0</v>
      </c>
      <c r="T56" s="41">
        <f t="shared" si="123"/>
        <v>0</v>
      </c>
      <c r="U56" s="41">
        <f t="shared" si="123"/>
        <v>0</v>
      </c>
      <c r="V56" s="41">
        <f t="shared" si="123"/>
        <v>0</v>
      </c>
      <c r="W56" s="41">
        <f t="shared" si="123"/>
        <v>0</v>
      </c>
      <c r="X56" s="41">
        <f t="shared" si="123"/>
        <v>0</v>
      </c>
      <c r="Y56" s="41">
        <f t="shared" si="123"/>
        <v>0</v>
      </c>
      <c r="Z56" s="41">
        <f t="shared" si="123"/>
        <v>0</v>
      </c>
      <c r="AA56" s="128">
        <f t="shared" si="24"/>
        <v>0</v>
      </c>
      <c r="AB56" s="128">
        <f t="shared" si="12"/>
        <v>0</v>
      </c>
      <c r="AC56" s="175">
        <f t="shared" si="13"/>
        <v>0</v>
      </c>
    </row>
    <row r="57" spans="1:29" ht="28.5" hidden="1" x14ac:dyDescent="0.2">
      <c r="B57" s="76" t="s">
        <v>439</v>
      </c>
      <c r="C57" s="77" t="s">
        <v>133</v>
      </c>
      <c r="D57" s="330">
        <f>+D54*9.99%</f>
        <v>999000</v>
      </c>
      <c r="E57" s="188">
        <f>SUM('ADICIONES  2021'!C57:I57)</f>
        <v>0</v>
      </c>
      <c r="F57" s="41">
        <f t="shared" ref="F57:J57" si="124">+F54*9.99%</f>
        <v>0</v>
      </c>
      <c r="G57" s="41">
        <f t="shared" si="124"/>
        <v>0</v>
      </c>
      <c r="H57" s="41">
        <f t="shared" si="124"/>
        <v>0</v>
      </c>
      <c r="I57" s="41">
        <f t="shared" si="124"/>
        <v>0</v>
      </c>
      <c r="J57" s="41">
        <f t="shared" si="124"/>
        <v>0</v>
      </c>
      <c r="K57" s="128">
        <f t="shared" si="1"/>
        <v>999000</v>
      </c>
      <c r="L57" s="41">
        <f t="shared" ref="L57:Q57" si="125">+L54*9.99%</f>
        <v>0</v>
      </c>
      <c r="M57" s="41">
        <f t="shared" si="125"/>
        <v>0</v>
      </c>
      <c r="N57" s="41">
        <f t="shared" si="125"/>
        <v>0</v>
      </c>
      <c r="O57" s="41">
        <f t="shared" si="125"/>
        <v>0</v>
      </c>
      <c r="P57" s="41">
        <f t="shared" si="125"/>
        <v>0</v>
      </c>
      <c r="Q57" s="409">
        <f t="shared" si="125"/>
        <v>0</v>
      </c>
      <c r="R57" s="128">
        <f t="shared" si="9"/>
        <v>0</v>
      </c>
      <c r="S57" s="41">
        <f t="shared" ref="S57:Z57" si="126">+S54*9.99%</f>
        <v>0</v>
      </c>
      <c r="T57" s="41">
        <f t="shared" si="126"/>
        <v>0</v>
      </c>
      <c r="U57" s="41">
        <f t="shared" si="126"/>
        <v>0</v>
      </c>
      <c r="V57" s="41">
        <f t="shared" si="126"/>
        <v>0</v>
      </c>
      <c r="W57" s="41">
        <f t="shared" si="126"/>
        <v>0</v>
      </c>
      <c r="X57" s="41">
        <f t="shared" si="126"/>
        <v>0</v>
      </c>
      <c r="Y57" s="41">
        <f t="shared" si="126"/>
        <v>0</v>
      </c>
      <c r="Z57" s="41">
        <f t="shared" si="126"/>
        <v>0</v>
      </c>
      <c r="AA57" s="128">
        <f t="shared" si="24"/>
        <v>0</v>
      </c>
      <c r="AB57" s="128">
        <f t="shared" si="12"/>
        <v>0</v>
      </c>
      <c r="AC57" s="175">
        <f t="shared" si="13"/>
        <v>0</v>
      </c>
    </row>
    <row r="58" spans="1:29" ht="28.5" hidden="1" x14ac:dyDescent="0.2">
      <c r="B58" s="76" t="s">
        <v>440</v>
      </c>
      <c r="C58" s="77" t="s">
        <v>134</v>
      </c>
      <c r="D58" s="330">
        <f>+D54*1.7982%</f>
        <v>179820</v>
      </c>
      <c r="E58" s="188">
        <f>SUM('ADICIONES  2021'!C58:I58)</f>
        <v>0</v>
      </c>
      <c r="F58" s="41">
        <f t="shared" ref="F58:J58" si="127">+F54*1.7982%</f>
        <v>0</v>
      </c>
      <c r="G58" s="41">
        <f t="shared" si="127"/>
        <v>0</v>
      </c>
      <c r="H58" s="41">
        <f t="shared" si="127"/>
        <v>0</v>
      </c>
      <c r="I58" s="41">
        <f t="shared" si="127"/>
        <v>0</v>
      </c>
      <c r="J58" s="41">
        <f t="shared" si="127"/>
        <v>0</v>
      </c>
      <c r="K58" s="128">
        <f t="shared" si="1"/>
        <v>179820</v>
      </c>
      <c r="L58" s="41">
        <f t="shared" ref="L58:Q58" si="128">+L54*1.7982%</f>
        <v>0</v>
      </c>
      <c r="M58" s="41">
        <f t="shared" si="128"/>
        <v>0</v>
      </c>
      <c r="N58" s="41">
        <f t="shared" si="128"/>
        <v>0</v>
      </c>
      <c r="O58" s="41">
        <f t="shared" si="128"/>
        <v>0</v>
      </c>
      <c r="P58" s="41">
        <f t="shared" si="128"/>
        <v>0</v>
      </c>
      <c r="Q58" s="409">
        <f t="shared" si="128"/>
        <v>0</v>
      </c>
      <c r="R58" s="128">
        <f t="shared" si="9"/>
        <v>0</v>
      </c>
      <c r="S58" s="41">
        <f t="shared" ref="S58:Z58" si="129">+S54*1.7982%</f>
        <v>0</v>
      </c>
      <c r="T58" s="41">
        <f t="shared" si="129"/>
        <v>0</v>
      </c>
      <c r="U58" s="41">
        <f t="shared" si="129"/>
        <v>0</v>
      </c>
      <c r="V58" s="41">
        <f t="shared" si="129"/>
        <v>0</v>
      </c>
      <c r="W58" s="41">
        <f t="shared" si="129"/>
        <v>0</v>
      </c>
      <c r="X58" s="41">
        <f t="shared" si="129"/>
        <v>0</v>
      </c>
      <c r="Y58" s="41">
        <f t="shared" si="129"/>
        <v>0</v>
      </c>
      <c r="Z58" s="41">
        <f t="shared" si="129"/>
        <v>0</v>
      </c>
      <c r="AA58" s="128">
        <f t="shared" si="24"/>
        <v>0</v>
      </c>
      <c r="AB58" s="128">
        <f t="shared" si="12"/>
        <v>0</v>
      </c>
      <c r="AC58" s="175">
        <f t="shared" si="13"/>
        <v>0</v>
      </c>
    </row>
    <row r="59" spans="1:29" ht="42.75" hidden="1" x14ac:dyDescent="0.2">
      <c r="B59" s="76" t="s">
        <v>441</v>
      </c>
      <c r="C59" s="77" t="s">
        <v>135</v>
      </c>
      <c r="D59" s="330">
        <f>+D54*0.881118%</f>
        <v>88111.8</v>
      </c>
      <c r="E59" s="188">
        <f>SUM('ADICIONES  2021'!C59:I59)</f>
        <v>0</v>
      </c>
      <c r="F59" s="41">
        <f t="shared" ref="F59:J59" si="130">+F54*0.881118%</f>
        <v>0</v>
      </c>
      <c r="G59" s="41">
        <f t="shared" si="130"/>
        <v>0</v>
      </c>
      <c r="H59" s="41">
        <f t="shared" si="130"/>
        <v>0</v>
      </c>
      <c r="I59" s="41">
        <f t="shared" si="130"/>
        <v>0</v>
      </c>
      <c r="J59" s="41">
        <f t="shared" si="130"/>
        <v>0</v>
      </c>
      <c r="K59" s="128">
        <f t="shared" si="1"/>
        <v>88111.8</v>
      </c>
      <c r="L59" s="41">
        <f t="shared" ref="L59:Q59" si="131">+L54*0.881118%</f>
        <v>0</v>
      </c>
      <c r="M59" s="41">
        <f t="shared" si="131"/>
        <v>0</v>
      </c>
      <c r="N59" s="41">
        <f t="shared" si="131"/>
        <v>0</v>
      </c>
      <c r="O59" s="41">
        <f t="shared" si="131"/>
        <v>0</v>
      </c>
      <c r="P59" s="41">
        <f t="shared" si="131"/>
        <v>0</v>
      </c>
      <c r="Q59" s="409">
        <f t="shared" si="131"/>
        <v>0</v>
      </c>
      <c r="R59" s="128">
        <f t="shared" si="9"/>
        <v>0</v>
      </c>
      <c r="S59" s="41">
        <f t="shared" ref="S59:Z59" si="132">+S54*0.881118%</f>
        <v>0</v>
      </c>
      <c r="T59" s="41">
        <f t="shared" si="132"/>
        <v>0</v>
      </c>
      <c r="U59" s="41">
        <f t="shared" si="132"/>
        <v>0</v>
      </c>
      <c r="V59" s="41">
        <f t="shared" si="132"/>
        <v>0</v>
      </c>
      <c r="W59" s="41">
        <f t="shared" si="132"/>
        <v>0</v>
      </c>
      <c r="X59" s="41">
        <f t="shared" si="132"/>
        <v>0</v>
      </c>
      <c r="Y59" s="41">
        <f t="shared" si="132"/>
        <v>0</v>
      </c>
      <c r="Z59" s="41">
        <f t="shared" si="132"/>
        <v>0</v>
      </c>
      <c r="AA59" s="128">
        <f t="shared" si="24"/>
        <v>0</v>
      </c>
      <c r="AB59" s="128">
        <f t="shared" si="12"/>
        <v>0</v>
      </c>
      <c r="AC59" s="175">
        <f t="shared" si="13"/>
        <v>0</v>
      </c>
    </row>
    <row r="60" spans="1:29" s="19" customFormat="1" ht="15.75" x14ac:dyDescent="0.2">
      <c r="A60" s="71">
        <v>1</v>
      </c>
      <c r="B60" s="82" t="s">
        <v>442</v>
      </c>
      <c r="C60" s="77" t="s">
        <v>443</v>
      </c>
      <c r="D60" s="333">
        <v>7000000000</v>
      </c>
      <c r="E60" s="187">
        <f>SUM('ADICIONES  2021'!C60:I60)</f>
        <v>0</v>
      </c>
      <c r="F60" s="78"/>
      <c r="G60" s="78"/>
      <c r="H60" s="78"/>
      <c r="I60" s="78"/>
      <c r="J60" s="78"/>
      <c r="K60" s="126">
        <f t="shared" si="1"/>
        <v>7000000000</v>
      </c>
      <c r="L60" s="126">
        <v>1438428374</v>
      </c>
      <c r="M60" s="126">
        <v>531566428</v>
      </c>
      <c r="N60" s="126">
        <v>1022861813</v>
      </c>
      <c r="O60" s="126">
        <v>695531310</v>
      </c>
      <c r="P60" s="126">
        <v>694761809</v>
      </c>
      <c r="Q60" s="126">
        <v>569638842</v>
      </c>
      <c r="R60" s="78">
        <f t="shared" si="9"/>
        <v>4952788576</v>
      </c>
      <c r="S60" s="126">
        <v>975943549</v>
      </c>
      <c r="T60" s="78"/>
      <c r="U60" s="78"/>
      <c r="V60" s="78"/>
      <c r="W60" s="78"/>
      <c r="X60" s="78"/>
      <c r="Y60" s="126"/>
      <c r="Z60" s="78"/>
      <c r="AA60" s="78">
        <f t="shared" si="24"/>
        <v>975943549</v>
      </c>
      <c r="AB60" s="126">
        <f t="shared" si="12"/>
        <v>5928732125</v>
      </c>
      <c r="AC60" s="180">
        <f t="shared" si="13"/>
        <v>0.84696173214285719</v>
      </c>
    </row>
    <row r="61" spans="1:29" ht="28.5" hidden="1" x14ac:dyDescent="0.2">
      <c r="B61" s="76" t="s">
        <v>444</v>
      </c>
      <c r="C61" s="77" t="s">
        <v>136</v>
      </c>
      <c r="D61" s="330">
        <f>+D60*87.230682%</f>
        <v>6106147740</v>
      </c>
      <c r="E61" s="188">
        <f>SUM('ADICIONES  2021'!C61:I61)</f>
        <v>0</v>
      </c>
      <c r="F61" s="41">
        <f t="shared" ref="F61:J61" si="133">+F60*87.230682%</f>
        <v>0</v>
      </c>
      <c r="G61" s="41">
        <f t="shared" si="133"/>
        <v>0</v>
      </c>
      <c r="H61" s="41">
        <f t="shared" si="133"/>
        <v>0</v>
      </c>
      <c r="I61" s="41">
        <f t="shared" si="133"/>
        <v>0</v>
      </c>
      <c r="J61" s="41">
        <f t="shared" si="133"/>
        <v>0</v>
      </c>
      <c r="K61" s="128">
        <f t="shared" si="1"/>
        <v>6106147740</v>
      </c>
      <c r="L61" s="41">
        <f t="shared" ref="L61:Q61" si="134">+L60*87.230682%</f>
        <v>1254750880.7217107</v>
      </c>
      <c r="M61" s="41">
        <f t="shared" si="134"/>
        <v>463689020.42743897</v>
      </c>
      <c r="N61" s="41">
        <f t="shared" si="134"/>
        <v>892249335.39746475</v>
      </c>
      <c r="O61" s="41">
        <f t="shared" si="134"/>
        <v>606716705.23653424</v>
      </c>
      <c r="P61" s="41">
        <f t="shared" si="134"/>
        <v>606045464.26623738</v>
      </c>
      <c r="Q61" s="409">
        <f t="shared" si="134"/>
        <v>496899846.81350249</v>
      </c>
      <c r="R61" s="128">
        <f t="shared" si="9"/>
        <v>4320351252.8628883</v>
      </c>
      <c r="S61" s="41">
        <f t="shared" ref="S61:Z61" si="135">+S60*87.230682%</f>
        <v>851322213.72770417</v>
      </c>
      <c r="T61" s="41">
        <f t="shared" si="135"/>
        <v>0</v>
      </c>
      <c r="U61" s="41">
        <f t="shared" si="135"/>
        <v>0</v>
      </c>
      <c r="V61" s="41">
        <f t="shared" si="135"/>
        <v>0</v>
      </c>
      <c r="W61" s="41">
        <f t="shared" si="135"/>
        <v>0</v>
      </c>
      <c r="X61" s="41">
        <f t="shared" si="135"/>
        <v>0</v>
      </c>
      <c r="Y61" s="41">
        <f t="shared" si="135"/>
        <v>0</v>
      </c>
      <c r="Z61" s="41">
        <f t="shared" si="135"/>
        <v>0</v>
      </c>
      <c r="AA61" s="128">
        <f t="shared" si="24"/>
        <v>851322213.72770417</v>
      </c>
      <c r="AB61" s="128">
        <f t="shared" si="12"/>
        <v>5171673466.5905924</v>
      </c>
      <c r="AC61" s="175">
        <f t="shared" si="13"/>
        <v>0.84696173214285708</v>
      </c>
    </row>
    <row r="62" spans="1:29" ht="28.5" hidden="1" x14ac:dyDescent="0.2">
      <c r="B62" s="76" t="s">
        <v>445</v>
      </c>
      <c r="C62" s="77" t="s">
        <v>137</v>
      </c>
      <c r="D62" s="330">
        <f>+D60*0.1%</f>
        <v>7000000</v>
      </c>
      <c r="E62" s="188">
        <f>SUM('ADICIONES  2021'!C62:I62)</f>
        <v>0</v>
      </c>
      <c r="F62" s="41">
        <f t="shared" ref="F62:J62" si="136">+F60*0.1%</f>
        <v>0</v>
      </c>
      <c r="G62" s="41">
        <f t="shared" si="136"/>
        <v>0</v>
      </c>
      <c r="H62" s="41">
        <f t="shared" si="136"/>
        <v>0</v>
      </c>
      <c r="I62" s="41">
        <f t="shared" si="136"/>
        <v>0</v>
      </c>
      <c r="J62" s="41">
        <f t="shared" si="136"/>
        <v>0</v>
      </c>
      <c r="K62" s="128">
        <f t="shared" si="1"/>
        <v>7000000</v>
      </c>
      <c r="L62" s="41">
        <f t="shared" ref="L62:Q62" si="137">+L60*0.1%</f>
        <v>1438428.3740000001</v>
      </c>
      <c r="M62" s="41">
        <f t="shared" si="137"/>
        <v>531566.42799999996</v>
      </c>
      <c r="N62" s="41">
        <f t="shared" si="137"/>
        <v>1022861.813</v>
      </c>
      <c r="O62" s="41">
        <f t="shared" si="137"/>
        <v>695531.31</v>
      </c>
      <c r="P62" s="41">
        <f t="shared" si="137"/>
        <v>694761.80900000001</v>
      </c>
      <c r="Q62" s="409">
        <f t="shared" si="137"/>
        <v>569638.84200000006</v>
      </c>
      <c r="R62" s="128">
        <f t="shared" si="9"/>
        <v>4952788.5760000004</v>
      </c>
      <c r="S62" s="41">
        <f t="shared" ref="S62:Z62" si="138">+S60*0.1%</f>
        <v>975943.549</v>
      </c>
      <c r="T62" s="41">
        <f t="shared" si="138"/>
        <v>0</v>
      </c>
      <c r="U62" s="41">
        <f t="shared" si="138"/>
        <v>0</v>
      </c>
      <c r="V62" s="41">
        <f t="shared" si="138"/>
        <v>0</v>
      </c>
      <c r="W62" s="41">
        <f t="shared" si="138"/>
        <v>0</v>
      </c>
      <c r="X62" s="41">
        <f t="shared" si="138"/>
        <v>0</v>
      </c>
      <c r="Y62" s="41">
        <f t="shared" si="138"/>
        <v>0</v>
      </c>
      <c r="Z62" s="41">
        <f t="shared" si="138"/>
        <v>0</v>
      </c>
      <c r="AA62" s="128">
        <f t="shared" si="24"/>
        <v>975943.549</v>
      </c>
      <c r="AB62" s="128">
        <f t="shared" si="12"/>
        <v>5928732.125</v>
      </c>
      <c r="AC62" s="175">
        <f t="shared" si="13"/>
        <v>0.84696173214285719</v>
      </c>
    </row>
    <row r="63" spans="1:29" ht="28.5" hidden="1" x14ac:dyDescent="0.2">
      <c r="B63" s="76" t="s">
        <v>446</v>
      </c>
      <c r="C63" s="77" t="s">
        <v>138</v>
      </c>
      <c r="D63" s="330">
        <f>+D60*9.99%</f>
        <v>699300000</v>
      </c>
      <c r="E63" s="188">
        <f>SUM('ADICIONES  2021'!C63:I63)</f>
        <v>0</v>
      </c>
      <c r="F63" s="41">
        <f t="shared" ref="F63:J63" si="139">+F60*9.99%</f>
        <v>0</v>
      </c>
      <c r="G63" s="41">
        <f t="shared" si="139"/>
        <v>0</v>
      </c>
      <c r="H63" s="41">
        <f t="shared" si="139"/>
        <v>0</v>
      </c>
      <c r="I63" s="41">
        <f t="shared" si="139"/>
        <v>0</v>
      </c>
      <c r="J63" s="41">
        <f t="shared" si="139"/>
        <v>0</v>
      </c>
      <c r="K63" s="128">
        <f t="shared" si="1"/>
        <v>699300000</v>
      </c>
      <c r="L63" s="41">
        <f t="shared" ref="L63:Q63" si="140">+L60*9.99%</f>
        <v>143698994.56260002</v>
      </c>
      <c r="M63" s="41">
        <f t="shared" si="140"/>
        <v>53103486.157200001</v>
      </c>
      <c r="N63" s="41">
        <f t="shared" si="140"/>
        <v>102183895.1187</v>
      </c>
      <c r="O63" s="41">
        <f t="shared" si="140"/>
        <v>69483577.869000003</v>
      </c>
      <c r="P63" s="41">
        <f t="shared" si="140"/>
        <v>69406704.719099998</v>
      </c>
      <c r="Q63" s="409">
        <f t="shared" si="140"/>
        <v>56906920.315800004</v>
      </c>
      <c r="R63" s="128">
        <f t="shared" si="9"/>
        <v>494783578.74240005</v>
      </c>
      <c r="S63" s="41">
        <f t="shared" ref="S63:Z63" si="141">+S60*9.99%</f>
        <v>97496760.545100003</v>
      </c>
      <c r="T63" s="41">
        <f t="shared" si="141"/>
        <v>0</v>
      </c>
      <c r="U63" s="41">
        <f t="shared" si="141"/>
        <v>0</v>
      </c>
      <c r="V63" s="41">
        <f t="shared" si="141"/>
        <v>0</v>
      </c>
      <c r="W63" s="41">
        <f t="shared" si="141"/>
        <v>0</v>
      </c>
      <c r="X63" s="41">
        <f t="shared" si="141"/>
        <v>0</v>
      </c>
      <c r="Y63" s="41">
        <f t="shared" si="141"/>
        <v>0</v>
      </c>
      <c r="Z63" s="41">
        <f t="shared" si="141"/>
        <v>0</v>
      </c>
      <c r="AA63" s="128">
        <f t="shared" si="24"/>
        <v>97496760.545100003</v>
      </c>
      <c r="AB63" s="128">
        <f t="shared" si="12"/>
        <v>592280339.28750002</v>
      </c>
      <c r="AC63" s="175">
        <f t="shared" si="13"/>
        <v>0.84696173214285719</v>
      </c>
    </row>
    <row r="64" spans="1:29" ht="28.5" hidden="1" x14ac:dyDescent="0.2">
      <c r="B64" s="76" t="s">
        <v>447</v>
      </c>
      <c r="C64" s="154" t="s">
        <v>139</v>
      </c>
      <c r="D64" s="330">
        <f>+D60*1.7982%</f>
        <v>125874000.00000001</v>
      </c>
      <c r="E64" s="188">
        <f>SUM('ADICIONES  2021'!C64:I64)</f>
        <v>0</v>
      </c>
      <c r="F64" s="41">
        <f t="shared" ref="F64:J64" si="142">+F60*1.7982%</f>
        <v>0</v>
      </c>
      <c r="G64" s="41">
        <f t="shared" si="142"/>
        <v>0</v>
      </c>
      <c r="H64" s="41">
        <f t="shared" si="142"/>
        <v>0</v>
      </c>
      <c r="I64" s="41">
        <f t="shared" si="142"/>
        <v>0</v>
      </c>
      <c r="J64" s="41">
        <f t="shared" si="142"/>
        <v>0</v>
      </c>
      <c r="K64" s="128">
        <f t="shared" si="1"/>
        <v>125874000.00000001</v>
      </c>
      <c r="L64" s="41">
        <f t="shared" ref="L64:Q64" si="143">+L60*1.7982%</f>
        <v>25865819.021268003</v>
      </c>
      <c r="M64" s="41">
        <f t="shared" si="143"/>
        <v>9558627.5082960017</v>
      </c>
      <c r="N64" s="41">
        <f t="shared" si="143"/>
        <v>18393101.121366002</v>
      </c>
      <c r="O64" s="41">
        <f t="shared" si="143"/>
        <v>12507044.016420001</v>
      </c>
      <c r="P64" s="41">
        <f t="shared" si="143"/>
        <v>12493206.849438</v>
      </c>
      <c r="Q64" s="409">
        <f t="shared" si="143"/>
        <v>10243245.656844001</v>
      </c>
      <c r="R64" s="128">
        <f t="shared" si="9"/>
        <v>89061044.173632011</v>
      </c>
      <c r="S64" s="41">
        <f t="shared" ref="S64:Z64" si="144">+S60*1.7982%</f>
        <v>17549416.898118</v>
      </c>
      <c r="T64" s="41">
        <f t="shared" si="144"/>
        <v>0</v>
      </c>
      <c r="U64" s="41">
        <f t="shared" si="144"/>
        <v>0</v>
      </c>
      <c r="V64" s="41">
        <f t="shared" si="144"/>
        <v>0</v>
      </c>
      <c r="W64" s="41">
        <f t="shared" si="144"/>
        <v>0</v>
      </c>
      <c r="X64" s="41">
        <f t="shared" si="144"/>
        <v>0</v>
      </c>
      <c r="Y64" s="41">
        <f t="shared" si="144"/>
        <v>0</v>
      </c>
      <c r="Z64" s="41">
        <f t="shared" si="144"/>
        <v>0</v>
      </c>
      <c r="AA64" s="128">
        <f t="shared" si="24"/>
        <v>17549416.898118</v>
      </c>
      <c r="AB64" s="128">
        <f t="shared" si="12"/>
        <v>106610461.07175002</v>
      </c>
      <c r="AC64" s="175">
        <f t="shared" si="13"/>
        <v>0.84696173214285719</v>
      </c>
    </row>
    <row r="65" spans="1:29" ht="42.75" hidden="1" x14ac:dyDescent="0.2">
      <c r="B65" s="76" t="s">
        <v>448</v>
      </c>
      <c r="C65" s="77" t="s">
        <v>140</v>
      </c>
      <c r="D65" s="330">
        <f>+D60*0.881118%</f>
        <v>61678260</v>
      </c>
      <c r="E65" s="188">
        <f>SUM('ADICIONES  2021'!C65:I65)</f>
        <v>0</v>
      </c>
      <c r="F65" s="41">
        <f t="shared" ref="F65:J65" si="145">+F60*0.881118%</f>
        <v>0</v>
      </c>
      <c r="G65" s="41">
        <f t="shared" si="145"/>
        <v>0</v>
      </c>
      <c r="H65" s="41">
        <f t="shared" si="145"/>
        <v>0</v>
      </c>
      <c r="I65" s="41">
        <f t="shared" si="145"/>
        <v>0</v>
      </c>
      <c r="J65" s="41">
        <f t="shared" si="145"/>
        <v>0</v>
      </c>
      <c r="K65" s="128">
        <f t="shared" si="1"/>
        <v>61678260</v>
      </c>
      <c r="L65" s="41">
        <f t="shared" ref="L65:Q65" si="146">+L60*0.881118%</f>
        <v>12674251.320421319</v>
      </c>
      <c r="M65" s="41">
        <f t="shared" si="146"/>
        <v>4683727.4790650401</v>
      </c>
      <c r="N65" s="41">
        <f t="shared" si="146"/>
        <v>9012619.5494693406</v>
      </c>
      <c r="O65" s="41">
        <f t="shared" si="146"/>
        <v>6128451.5680457996</v>
      </c>
      <c r="P65" s="41">
        <f t="shared" si="146"/>
        <v>6121671.3562246198</v>
      </c>
      <c r="Q65" s="409">
        <f t="shared" si="146"/>
        <v>5019190.3718535602</v>
      </c>
      <c r="R65" s="128">
        <f t="shared" si="9"/>
        <v>43639911.64507968</v>
      </c>
      <c r="S65" s="41">
        <f t="shared" ref="S65:Z65" si="147">+S60*0.881118%</f>
        <v>8599214.2800778206</v>
      </c>
      <c r="T65" s="41">
        <f t="shared" si="147"/>
        <v>0</v>
      </c>
      <c r="U65" s="41">
        <f t="shared" si="147"/>
        <v>0</v>
      </c>
      <c r="V65" s="41">
        <f t="shared" si="147"/>
        <v>0</v>
      </c>
      <c r="W65" s="41">
        <f t="shared" si="147"/>
        <v>0</v>
      </c>
      <c r="X65" s="41">
        <f t="shared" si="147"/>
        <v>0</v>
      </c>
      <c r="Y65" s="41">
        <f t="shared" si="147"/>
        <v>0</v>
      </c>
      <c r="Z65" s="41">
        <f t="shared" si="147"/>
        <v>0</v>
      </c>
      <c r="AA65" s="128">
        <f t="shared" si="24"/>
        <v>8599214.2800778206</v>
      </c>
      <c r="AB65" s="128">
        <f t="shared" si="12"/>
        <v>52239125.925157502</v>
      </c>
      <c r="AC65" s="175">
        <f t="shared" si="13"/>
        <v>0.84696173214285719</v>
      </c>
    </row>
    <row r="66" spans="1:29" s="63" customFormat="1" ht="31.5" x14ac:dyDescent="0.2">
      <c r="A66" s="399">
        <v>1</v>
      </c>
      <c r="B66" s="81" t="s">
        <v>449</v>
      </c>
      <c r="C66" s="79" t="s">
        <v>450</v>
      </c>
      <c r="D66" s="329">
        <f>+D67+D73</f>
        <v>4200000000</v>
      </c>
      <c r="E66" s="187">
        <f>SUM('ADICIONES  2021'!C66:I66)</f>
        <v>0</v>
      </c>
      <c r="F66" s="223">
        <f t="shared" ref="F66:J66" si="148">+F67+F73</f>
        <v>0</v>
      </c>
      <c r="G66" s="223">
        <f t="shared" si="148"/>
        <v>0</v>
      </c>
      <c r="H66" s="223">
        <f t="shared" si="148"/>
        <v>0</v>
      </c>
      <c r="I66" s="223">
        <f t="shared" si="148"/>
        <v>0</v>
      </c>
      <c r="J66" s="223">
        <f t="shared" si="148"/>
        <v>0</v>
      </c>
      <c r="K66" s="78">
        <f t="shared" si="1"/>
        <v>4200000000</v>
      </c>
      <c r="L66" s="223">
        <f t="shared" ref="L66:Q66" si="149">+L67+L73</f>
        <v>882060243</v>
      </c>
      <c r="M66" s="223">
        <f t="shared" si="149"/>
        <v>264330842</v>
      </c>
      <c r="N66" s="223">
        <f t="shared" si="149"/>
        <v>503335915</v>
      </c>
      <c r="O66" s="223">
        <f t="shared" si="149"/>
        <v>370551930</v>
      </c>
      <c r="P66" s="223">
        <f t="shared" si="149"/>
        <v>371259791</v>
      </c>
      <c r="Q66" s="223">
        <f t="shared" si="149"/>
        <v>422367558</v>
      </c>
      <c r="R66" s="78">
        <f t="shared" si="9"/>
        <v>2813906279</v>
      </c>
      <c r="S66" s="223">
        <f t="shared" ref="S66:Z66" si="150">+S67+S73</f>
        <v>483588651</v>
      </c>
      <c r="T66" s="223">
        <f t="shared" si="150"/>
        <v>0</v>
      </c>
      <c r="U66" s="223">
        <f t="shared" si="150"/>
        <v>0</v>
      </c>
      <c r="V66" s="223">
        <f t="shared" si="150"/>
        <v>0</v>
      </c>
      <c r="W66" s="223">
        <f t="shared" si="150"/>
        <v>0</v>
      </c>
      <c r="X66" s="223">
        <f t="shared" si="150"/>
        <v>0</v>
      </c>
      <c r="Y66" s="223">
        <f t="shared" si="150"/>
        <v>0</v>
      </c>
      <c r="Z66" s="223">
        <f t="shared" si="150"/>
        <v>0</v>
      </c>
      <c r="AA66" s="78">
        <f t="shared" si="24"/>
        <v>483588651</v>
      </c>
      <c r="AB66" s="78">
        <f t="shared" si="12"/>
        <v>3297494930</v>
      </c>
      <c r="AC66" s="174">
        <f t="shared" si="13"/>
        <v>0.78511784047619049</v>
      </c>
    </row>
    <row r="67" spans="1:29" s="19" customFormat="1" ht="30" x14ac:dyDescent="0.2">
      <c r="A67" s="71">
        <v>1</v>
      </c>
      <c r="B67" s="82" t="s">
        <v>451</v>
      </c>
      <c r="C67" s="83" t="s">
        <v>452</v>
      </c>
      <c r="D67" s="333">
        <v>700000000</v>
      </c>
      <c r="E67" s="187">
        <f>SUM('ADICIONES  2021'!C67:I67)</f>
        <v>0</v>
      </c>
      <c r="F67" s="78"/>
      <c r="G67" s="78"/>
      <c r="H67" s="78"/>
      <c r="I67" s="78"/>
      <c r="J67" s="78"/>
      <c r="K67" s="126">
        <f t="shared" si="1"/>
        <v>700000000</v>
      </c>
      <c r="L67" s="126">
        <v>149187000</v>
      </c>
      <c r="M67" s="126">
        <v>32551848</v>
      </c>
      <c r="N67" s="126">
        <v>106242600</v>
      </c>
      <c r="O67" s="126">
        <v>87298800</v>
      </c>
      <c r="P67" s="126">
        <v>87561600</v>
      </c>
      <c r="Q67" s="126">
        <v>47219400</v>
      </c>
      <c r="R67" s="78">
        <f t="shared" si="9"/>
        <v>510061248</v>
      </c>
      <c r="S67" s="126">
        <v>52471200</v>
      </c>
      <c r="T67" s="78"/>
      <c r="U67" s="78"/>
      <c r="V67" s="78"/>
      <c r="W67" s="78"/>
      <c r="X67" s="78"/>
      <c r="Y67" s="126"/>
      <c r="Z67" s="78"/>
      <c r="AA67" s="78">
        <f t="shared" si="24"/>
        <v>52471200</v>
      </c>
      <c r="AB67" s="126">
        <f t="shared" si="12"/>
        <v>562532448</v>
      </c>
      <c r="AC67" s="180">
        <f t="shared" si="13"/>
        <v>0.8036177828571428</v>
      </c>
    </row>
    <row r="68" spans="1:29" ht="42.75" hidden="1" x14ac:dyDescent="0.2">
      <c r="B68" s="76" t="s">
        <v>453</v>
      </c>
      <c r="C68" s="77" t="s">
        <v>141</v>
      </c>
      <c r="D68" s="330">
        <f>+D67*87.230682%</f>
        <v>610614774</v>
      </c>
      <c r="E68" s="188">
        <f>SUM('ADICIONES  2021'!C68:I68)</f>
        <v>0</v>
      </c>
      <c r="F68" s="41">
        <f t="shared" ref="F68:J68" si="151">+F67*87.230682%</f>
        <v>0</v>
      </c>
      <c r="G68" s="41">
        <f t="shared" si="151"/>
        <v>0</v>
      </c>
      <c r="H68" s="41">
        <f t="shared" si="151"/>
        <v>0</v>
      </c>
      <c r="I68" s="41">
        <f t="shared" si="151"/>
        <v>0</v>
      </c>
      <c r="J68" s="41">
        <f t="shared" si="151"/>
        <v>0</v>
      </c>
      <c r="K68" s="128">
        <f t="shared" si="1"/>
        <v>610614774</v>
      </c>
      <c r="L68" s="41">
        <f t="shared" ref="L68:Q68" si="152">+L67*87.230682%</f>
        <v>130136837.55534001</v>
      </c>
      <c r="M68" s="41">
        <f t="shared" si="152"/>
        <v>28395199.014003363</v>
      </c>
      <c r="N68" s="41">
        <f t="shared" si="152"/>
        <v>92676144.554532006</v>
      </c>
      <c r="O68" s="41">
        <f t="shared" si="152"/>
        <v>76151338.617816001</v>
      </c>
      <c r="P68" s="41">
        <f t="shared" si="152"/>
        <v>76380580.850112006</v>
      </c>
      <c r="Q68" s="409">
        <f t="shared" si="152"/>
        <v>41189804.656308003</v>
      </c>
      <c r="R68" s="128">
        <f t="shared" si="9"/>
        <v>444929905.24811137</v>
      </c>
      <c r="S68" s="41">
        <f t="shared" ref="S68:Z68" si="153">+S67*87.230682%</f>
        <v>45770985.613584004</v>
      </c>
      <c r="T68" s="41">
        <f t="shared" si="153"/>
        <v>0</v>
      </c>
      <c r="U68" s="41">
        <f t="shared" si="153"/>
        <v>0</v>
      </c>
      <c r="V68" s="41">
        <f t="shared" si="153"/>
        <v>0</v>
      </c>
      <c r="W68" s="41">
        <f t="shared" si="153"/>
        <v>0</v>
      </c>
      <c r="X68" s="41">
        <f t="shared" si="153"/>
        <v>0</v>
      </c>
      <c r="Y68" s="41">
        <f t="shared" si="153"/>
        <v>0</v>
      </c>
      <c r="Z68" s="41">
        <f t="shared" si="153"/>
        <v>0</v>
      </c>
      <c r="AA68" s="128">
        <f t="shared" si="24"/>
        <v>45770985.613584004</v>
      </c>
      <c r="AB68" s="128">
        <f t="shared" si="12"/>
        <v>490700890.86169535</v>
      </c>
      <c r="AC68" s="175">
        <f t="shared" si="13"/>
        <v>0.8036177828571428</v>
      </c>
    </row>
    <row r="69" spans="1:29" ht="28.5" hidden="1" x14ac:dyDescent="0.2">
      <c r="B69" s="76" t="s">
        <v>454</v>
      </c>
      <c r="C69" s="77" t="s">
        <v>142</v>
      </c>
      <c r="D69" s="330">
        <f>+D67*0.1%</f>
        <v>700000</v>
      </c>
      <c r="E69" s="188">
        <f>SUM('ADICIONES  2021'!C69:I69)</f>
        <v>0</v>
      </c>
      <c r="F69" s="41">
        <f t="shared" ref="F69:J69" si="154">+F67*0.1%</f>
        <v>0</v>
      </c>
      <c r="G69" s="41">
        <f t="shared" si="154"/>
        <v>0</v>
      </c>
      <c r="H69" s="41">
        <f t="shared" si="154"/>
        <v>0</v>
      </c>
      <c r="I69" s="41">
        <f t="shared" si="154"/>
        <v>0</v>
      </c>
      <c r="J69" s="41">
        <f t="shared" si="154"/>
        <v>0</v>
      </c>
      <c r="K69" s="128">
        <f t="shared" si="1"/>
        <v>700000</v>
      </c>
      <c r="L69" s="41">
        <f t="shared" ref="L69:Q69" si="155">+L67*0.1%</f>
        <v>149187</v>
      </c>
      <c r="M69" s="41">
        <f t="shared" si="155"/>
        <v>32551.848000000002</v>
      </c>
      <c r="N69" s="41">
        <f t="shared" si="155"/>
        <v>106242.6</v>
      </c>
      <c r="O69" s="41">
        <f t="shared" si="155"/>
        <v>87298.8</v>
      </c>
      <c r="P69" s="41">
        <f t="shared" si="155"/>
        <v>87561.600000000006</v>
      </c>
      <c r="Q69" s="409">
        <f t="shared" si="155"/>
        <v>47219.4</v>
      </c>
      <c r="R69" s="128">
        <f t="shared" si="9"/>
        <v>510061.24800000002</v>
      </c>
      <c r="S69" s="41">
        <f t="shared" ref="S69:Z69" si="156">+S67*0.1%</f>
        <v>52471.200000000004</v>
      </c>
      <c r="T69" s="41">
        <f t="shared" si="156"/>
        <v>0</v>
      </c>
      <c r="U69" s="41">
        <f t="shared" si="156"/>
        <v>0</v>
      </c>
      <c r="V69" s="41">
        <f t="shared" si="156"/>
        <v>0</v>
      </c>
      <c r="W69" s="41">
        <f t="shared" si="156"/>
        <v>0</v>
      </c>
      <c r="X69" s="41">
        <f t="shared" si="156"/>
        <v>0</v>
      </c>
      <c r="Y69" s="41">
        <f t="shared" si="156"/>
        <v>0</v>
      </c>
      <c r="Z69" s="41">
        <f t="shared" si="156"/>
        <v>0</v>
      </c>
      <c r="AA69" s="128">
        <f t="shared" si="24"/>
        <v>52471.200000000004</v>
      </c>
      <c r="AB69" s="128">
        <f t="shared" si="12"/>
        <v>562532.44799999997</v>
      </c>
      <c r="AC69" s="175">
        <f t="shared" si="13"/>
        <v>0.8036177828571428</v>
      </c>
    </row>
    <row r="70" spans="1:29" ht="28.5" hidden="1" x14ac:dyDescent="0.2">
      <c r="B70" s="76" t="s">
        <v>455</v>
      </c>
      <c r="C70" s="77" t="s">
        <v>143</v>
      </c>
      <c r="D70" s="330">
        <f>+D67*9.99%</f>
        <v>69930000</v>
      </c>
      <c r="E70" s="188">
        <f>SUM('ADICIONES  2021'!C70:I70)</f>
        <v>0</v>
      </c>
      <c r="F70" s="41">
        <f t="shared" ref="F70:J70" si="157">+F67*9.99%</f>
        <v>0</v>
      </c>
      <c r="G70" s="41">
        <f t="shared" si="157"/>
        <v>0</v>
      </c>
      <c r="H70" s="41">
        <f t="shared" si="157"/>
        <v>0</v>
      </c>
      <c r="I70" s="41">
        <f t="shared" si="157"/>
        <v>0</v>
      </c>
      <c r="J70" s="41">
        <f t="shared" si="157"/>
        <v>0</v>
      </c>
      <c r="K70" s="128">
        <f t="shared" si="1"/>
        <v>69930000</v>
      </c>
      <c r="L70" s="41">
        <f t="shared" ref="L70:Q70" si="158">+L67*9.99%</f>
        <v>14903781.300000001</v>
      </c>
      <c r="M70" s="41">
        <f t="shared" si="158"/>
        <v>3251929.6151999999</v>
      </c>
      <c r="N70" s="41">
        <f t="shared" si="158"/>
        <v>10613635.74</v>
      </c>
      <c r="O70" s="41">
        <f t="shared" si="158"/>
        <v>8721150.120000001</v>
      </c>
      <c r="P70" s="41">
        <f t="shared" si="158"/>
        <v>8747403.8399999999</v>
      </c>
      <c r="Q70" s="409">
        <f t="shared" si="158"/>
        <v>4717218.0600000005</v>
      </c>
      <c r="R70" s="128">
        <f t="shared" si="9"/>
        <v>50955118.675200015</v>
      </c>
      <c r="S70" s="41">
        <f t="shared" ref="S70:Z70" si="159">+S67*9.99%</f>
        <v>5241872.88</v>
      </c>
      <c r="T70" s="41">
        <f t="shared" si="159"/>
        <v>0</v>
      </c>
      <c r="U70" s="41">
        <f t="shared" si="159"/>
        <v>0</v>
      </c>
      <c r="V70" s="41">
        <f t="shared" si="159"/>
        <v>0</v>
      </c>
      <c r="W70" s="41">
        <f t="shared" si="159"/>
        <v>0</v>
      </c>
      <c r="X70" s="41">
        <f t="shared" si="159"/>
        <v>0</v>
      </c>
      <c r="Y70" s="41">
        <f t="shared" si="159"/>
        <v>0</v>
      </c>
      <c r="Z70" s="41">
        <f t="shared" si="159"/>
        <v>0</v>
      </c>
      <c r="AA70" s="128">
        <f t="shared" si="24"/>
        <v>5241872.88</v>
      </c>
      <c r="AB70" s="128">
        <f t="shared" si="12"/>
        <v>56196991.555200018</v>
      </c>
      <c r="AC70" s="175">
        <f t="shared" si="13"/>
        <v>0.80361778285714314</v>
      </c>
    </row>
    <row r="71" spans="1:29" s="116" customFormat="1" ht="28.5" hidden="1" x14ac:dyDescent="0.2">
      <c r="A71" s="398"/>
      <c r="B71" s="76" t="s">
        <v>456</v>
      </c>
      <c r="C71" s="154" t="s">
        <v>144</v>
      </c>
      <c r="D71" s="330">
        <f>+D67*1.7982%</f>
        <v>12587400.000000002</v>
      </c>
      <c r="E71" s="188">
        <f>SUM('ADICIONES  2021'!C71:I71)</f>
        <v>0</v>
      </c>
      <c r="F71" s="41">
        <f t="shared" ref="F71:J71" si="160">+F67*1.7982%</f>
        <v>0</v>
      </c>
      <c r="G71" s="41">
        <f t="shared" si="160"/>
        <v>0</v>
      </c>
      <c r="H71" s="41">
        <f t="shared" si="160"/>
        <v>0</v>
      </c>
      <c r="I71" s="41">
        <f t="shared" si="160"/>
        <v>0</v>
      </c>
      <c r="J71" s="41">
        <f t="shared" si="160"/>
        <v>0</v>
      </c>
      <c r="K71" s="128">
        <f t="shared" si="1"/>
        <v>12587400.000000002</v>
      </c>
      <c r="L71" s="41">
        <f t="shared" ref="L71:Q71" si="161">+L67*1.7982%</f>
        <v>2682680.6340000001</v>
      </c>
      <c r="M71" s="41">
        <f t="shared" si="161"/>
        <v>585347.33073600009</v>
      </c>
      <c r="N71" s="41">
        <f t="shared" si="161"/>
        <v>1910454.4332000001</v>
      </c>
      <c r="O71" s="41">
        <f t="shared" si="161"/>
        <v>1569807.0216000001</v>
      </c>
      <c r="P71" s="41">
        <f t="shared" si="161"/>
        <v>1574532.6912000002</v>
      </c>
      <c r="Q71" s="409">
        <f t="shared" si="161"/>
        <v>849099.25080000004</v>
      </c>
      <c r="R71" s="128">
        <f t="shared" si="9"/>
        <v>9171921.3615359999</v>
      </c>
      <c r="S71" s="41">
        <f t="shared" ref="S71:Z71" si="162">+S67*1.7982%</f>
        <v>943537.11840000004</v>
      </c>
      <c r="T71" s="41">
        <f t="shared" si="162"/>
        <v>0</v>
      </c>
      <c r="U71" s="41">
        <f t="shared" si="162"/>
        <v>0</v>
      </c>
      <c r="V71" s="41">
        <f t="shared" si="162"/>
        <v>0</v>
      </c>
      <c r="W71" s="41">
        <f t="shared" si="162"/>
        <v>0</v>
      </c>
      <c r="X71" s="41">
        <f t="shared" si="162"/>
        <v>0</v>
      </c>
      <c r="Y71" s="41">
        <f t="shared" si="162"/>
        <v>0</v>
      </c>
      <c r="Z71" s="41">
        <f t="shared" si="162"/>
        <v>0</v>
      </c>
      <c r="AA71" s="128">
        <f t="shared" si="24"/>
        <v>943537.11840000004</v>
      </c>
      <c r="AB71" s="128">
        <f t="shared" si="12"/>
        <v>10115458.479936</v>
      </c>
      <c r="AC71" s="175">
        <f t="shared" si="13"/>
        <v>0.80361778285714269</v>
      </c>
    </row>
    <row r="72" spans="1:29" ht="42.75" hidden="1" x14ac:dyDescent="0.2">
      <c r="B72" s="76" t="s">
        <v>457</v>
      </c>
      <c r="C72" s="77" t="s">
        <v>145</v>
      </c>
      <c r="D72" s="330">
        <f>+D67*0.881118%</f>
        <v>6167826</v>
      </c>
      <c r="E72" s="188">
        <f>SUM('ADICIONES  2021'!C72:I72)</f>
        <v>0</v>
      </c>
      <c r="F72" s="41">
        <f t="shared" ref="F72:J72" si="163">+F67*0.881118%</f>
        <v>0</v>
      </c>
      <c r="G72" s="41">
        <f t="shared" si="163"/>
        <v>0</v>
      </c>
      <c r="H72" s="41">
        <f t="shared" si="163"/>
        <v>0</v>
      </c>
      <c r="I72" s="41">
        <f t="shared" si="163"/>
        <v>0</v>
      </c>
      <c r="J72" s="41">
        <f t="shared" si="163"/>
        <v>0</v>
      </c>
      <c r="K72" s="128">
        <f t="shared" si="1"/>
        <v>6167826</v>
      </c>
      <c r="L72" s="41">
        <f t="shared" ref="L72:Q72" si="164">+L67*0.881118%</f>
        <v>1314513.5106599999</v>
      </c>
      <c r="M72" s="41">
        <f t="shared" si="164"/>
        <v>286820.19206064002</v>
      </c>
      <c r="N72" s="41">
        <f t="shared" si="164"/>
        <v>936122.67226799997</v>
      </c>
      <c r="O72" s="41">
        <f t="shared" si="164"/>
        <v>769205.44058399997</v>
      </c>
      <c r="P72" s="41">
        <f t="shared" si="164"/>
        <v>771521.01868800004</v>
      </c>
      <c r="Q72" s="409">
        <f t="shared" si="164"/>
        <v>416058.63289200002</v>
      </c>
      <c r="R72" s="128">
        <f t="shared" si="9"/>
        <v>4494241.4671526402</v>
      </c>
      <c r="S72" s="41">
        <f t="shared" ref="S72:Z72" si="165">+S67*0.881118%</f>
        <v>462333.18801600003</v>
      </c>
      <c r="T72" s="41">
        <f t="shared" si="165"/>
        <v>0</v>
      </c>
      <c r="U72" s="41">
        <f t="shared" si="165"/>
        <v>0</v>
      </c>
      <c r="V72" s="41">
        <f t="shared" si="165"/>
        <v>0</v>
      </c>
      <c r="W72" s="41">
        <f t="shared" si="165"/>
        <v>0</v>
      </c>
      <c r="X72" s="41">
        <f t="shared" si="165"/>
        <v>0</v>
      </c>
      <c r="Y72" s="41">
        <f t="shared" si="165"/>
        <v>0</v>
      </c>
      <c r="Z72" s="41">
        <f t="shared" si="165"/>
        <v>0</v>
      </c>
      <c r="AA72" s="128">
        <f t="shared" si="24"/>
        <v>462333.18801600003</v>
      </c>
      <c r="AB72" s="128">
        <f t="shared" si="12"/>
        <v>4956574.6551686404</v>
      </c>
      <c r="AC72" s="175">
        <f t="shared" si="13"/>
        <v>0.80361778285714291</v>
      </c>
    </row>
    <row r="73" spans="1:29" s="19" customFormat="1" ht="30" x14ac:dyDescent="0.2">
      <c r="A73" s="71">
        <v>1</v>
      </c>
      <c r="B73" s="82" t="s">
        <v>458</v>
      </c>
      <c r="C73" s="83" t="s">
        <v>459</v>
      </c>
      <c r="D73" s="332">
        <v>3500000000</v>
      </c>
      <c r="E73" s="187">
        <f>SUM('ADICIONES  2021'!C73:I73)</f>
        <v>0</v>
      </c>
      <c r="F73" s="146"/>
      <c r="G73" s="146"/>
      <c r="H73" s="146"/>
      <c r="I73" s="146"/>
      <c r="J73" s="146"/>
      <c r="K73" s="126">
        <f t="shared" si="1"/>
        <v>3500000000</v>
      </c>
      <c r="L73" s="181">
        <v>732873243</v>
      </c>
      <c r="M73" s="181">
        <v>231778994</v>
      </c>
      <c r="N73" s="181">
        <v>397093315</v>
      </c>
      <c r="O73" s="181">
        <v>283253130</v>
      </c>
      <c r="P73" s="181">
        <v>283698191</v>
      </c>
      <c r="Q73" s="181">
        <v>375148158</v>
      </c>
      <c r="R73" s="78">
        <f t="shared" si="9"/>
        <v>2303845031</v>
      </c>
      <c r="S73" s="181">
        <v>431117451</v>
      </c>
      <c r="T73" s="146"/>
      <c r="U73" s="146"/>
      <c r="V73" s="146"/>
      <c r="W73" s="146"/>
      <c r="X73" s="146"/>
      <c r="Y73" s="181"/>
      <c r="Z73" s="146"/>
      <c r="AA73" s="78">
        <f t="shared" si="24"/>
        <v>431117451</v>
      </c>
      <c r="AB73" s="126">
        <f t="shared" si="12"/>
        <v>2734962482</v>
      </c>
      <c r="AC73" s="180">
        <f t="shared" si="13"/>
        <v>0.78141785200000002</v>
      </c>
    </row>
    <row r="74" spans="1:29" ht="42.75" hidden="1" x14ac:dyDescent="0.2">
      <c r="B74" s="76" t="s">
        <v>460</v>
      </c>
      <c r="C74" s="77" t="s">
        <v>146</v>
      </c>
      <c r="D74" s="330">
        <f>+D73*87.230682%</f>
        <v>3053073870</v>
      </c>
      <c r="E74" s="188">
        <f>SUM('ADICIONES  2021'!C74:I74)</f>
        <v>0</v>
      </c>
      <c r="F74" s="41">
        <f t="shared" ref="F74:J74" si="166">+F73*87.230682%</f>
        <v>0</v>
      </c>
      <c r="G74" s="41">
        <f t="shared" si="166"/>
        <v>0</v>
      </c>
      <c r="H74" s="41">
        <f t="shared" si="166"/>
        <v>0</v>
      </c>
      <c r="I74" s="41">
        <f t="shared" si="166"/>
        <v>0</v>
      </c>
      <c r="J74" s="41">
        <f t="shared" si="166"/>
        <v>0</v>
      </c>
      <c r="K74" s="128">
        <f t="shared" si="1"/>
        <v>3053073870</v>
      </c>
      <c r="L74" s="41">
        <f t="shared" ref="L74:Q74" si="167">+L73*87.230682%</f>
        <v>639290328.06441724</v>
      </c>
      <c r="M74" s="41">
        <f t="shared" si="167"/>
        <v>202182397.19893909</v>
      </c>
      <c r="N74" s="41">
        <f t="shared" si="167"/>
        <v>346387206.85090834</v>
      </c>
      <c r="O74" s="41">
        <f t="shared" si="167"/>
        <v>247083637.08534661</v>
      </c>
      <c r="P74" s="41">
        <f t="shared" si="167"/>
        <v>247471866.83096263</v>
      </c>
      <c r="Q74" s="409">
        <f t="shared" si="167"/>
        <v>327244296.73383754</v>
      </c>
      <c r="R74" s="128">
        <f t="shared" si="9"/>
        <v>2009659732.7644117</v>
      </c>
      <c r="S74" s="41">
        <f t="shared" ref="S74:Z74" si="168">+S73*87.230682%</f>
        <v>376066692.72831583</v>
      </c>
      <c r="T74" s="41">
        <f t="shared" si="168"/>
        <v>0</v>
      </c>
      <c r="U74" s="41">
        <f t="shared" si="168"/>
        <v>0</v>
      </c>
      <c r="V74" s="41">
        <f t="shared" si="168"/>
        <v>0</v>
      </c>
      <c r="W74" s="41">
        <f t="shared" si="168"/>
        <v>0</v>
      </c>
      <c r="X74" s="41">
        <f t="shared" si="168"/>
        <v>0</v>
      </c>
      <c r="Y74" s="41">
        <f t="shared" si="168"/>
        <v>0</v>
      </c>
      <c r="Z74" s="41">
        <f t="shared" si="168"/>
        <v>0</v>
      </c>
      <c r="AA74" s="128">
        <f t="shared" si="24"/>
        <v>376066692.72831583</v>
      </c>
      <c r="AB74" s="128">
        <f t="shared" si="12"/>
        <v>2385726425.4927273</v>
      </c>
      <c r="AC74" s="175">
        <f t="shared" si="13"/>
        <v>0.78141785200000002</v>
      </c>
    </row>
    <row r="75" spans="1:29" ht="28.5" hidden="1" x14ac:dyDescent="0.2">
      <c r="B75" s="76" t="s">
        <v>461</v>
      </c>
      <c r="C75" s="77" t="s">
        <v>147</v>
      </c>
      <c r="D75" s="330">
        <f>+D73*0.1%</f>
        <v>3500000</v>
      </c>
      <c r="E75" s="188">
        <f>SUM('ADICIONES  2021'!C75:I75)</f>
        <v>0</v>
      </c>
      <c r="F75" s="41">
        <f t="shared" ref="F75:J75" si="169">+F73*0.1%</f>
        <v>0</v>
      </c>
      <c r="G75" s="41">
        <f t="shared" si="169"/>
        <v>0</v>
      </c>
      <c r="H75" s="41">
        <f t="shared" si="169"/>
        <v>0</v>
      </c>
      <c r="I75" s="41">
        <f t="shared" si="169"/>
        <v>0</v>
      </c>
      <c r="J75" s="41">
        <f t="shared" si="169"/>
        <v>0</v>
      </c>
      <c r="K75" s="128">
        <f t="shared" ref="K75:K139" si="170">+D75+E75-F75+G75-H75</f>
        <v>3500000</v>
      </c>
      <c r="L75" s="41">
        <f t="shared" ref="L75:Q75" si="171">+L73*0.1%</f>
        <v>732873.24300000002</v>
      </c>
      <c r="M75" s="41">
        <f t="shared" si="171"/>
        <v>231778.99400000001</v>
      </c>
      <c r="N75" s="41">
        <f t="shared" si="171"/>
        <v>397093.315</v>
      </c>
      <c r="O75" s="41">
        <f t="shared" si="171"/>
        <v>283253.13</v>
      </c>
      <c r="P75" s="41">
        <f t="shared" si="171"/>
        <v>283698.19099999999</v>
      </c>
      <c r="Q75" s="409">
        <f t="shared" si="171"/>
        <v>375148.158</v>
      </c>
      <c r="R75" s="128">
        <f t="shared" si="9"/>
        <v>2303845.031</v>
      </c>
      <c r="S75" s="41">
        <f t="shared" ref="S75:Z75" si="172">+S73*0.1%</f>
        <v>431117.451</v>
      </c>
      <c r="T75" s="41">
        <f t="shared" si="172"/>
        <v>0</v>
      </c>
      <c r="U75" s="41">
        <f t="shared" si="172"/>
        <v>0</v>
      </c>
      <c r="V75" s="41">
        <f t="shared" si="172"/>
        <v>0</v>
      </c>
      <c r="W75" s="41">
        <f t="shared" si="172"/>
        <v>0</v>
      </c>
      <c r="X75" s="41">
        <f t="shared" si="172"/>
        <v>0</v>
      </c>
      <c r="Y75" s="41">
        <f t="shared" si="172"/>
        <v>0</v>
      </c>
      <c r="Z75" s="41">
        <f t="shared" si="172"/>
        <v>0</v>
      </c>
      <c r="AA75" s="128">
        <f t="shared" si="24"/>
        <v>431117.451</v>
      </c>
      <c r="AB75" s="128">
        <f t="shared" si="12"/>
        <v>2734962.4819999998</v>
      </c>
      <c r="AC75" s="175">
        <f t="shared" si="13"/>
        <v>0.78141785199999991</v>
      </c>
    </row>
    <row r="76" spans="1:29" ht="28.5" hidden="1" x14ac:dyDescent="0.2">
      <c r="B76" s="76" t="s">
        <v>462</v>
      </c>
      <c r="C76" s="77" t="s">
        <v>148</v>
      </c>
      <c r="D76" s="330">
        <f>+D73*9.99%</f>
        <v>349650000</v>
      </c>
      <c r="E76" s="188">
        <f>SUM('ADICIONES  2021'!C76:I76)</f>
        <v>0</v>
      </c>
      <c r="F76" s="41">
        <f t="shared" ref="F76:J76" si="173">+F73*9.99%</f>
        <v>0</v>
      </c>
      <c r="G76" s="41">
        <f t="shared" si="173"/>
        <v>0</v>
      </c>
      <c r="H76" s="41">
        <f t="shared" si="173"/>
        <v>0</v>
      </c>
      <c r="I76" s="41">
        <f t="shared" si="173"/>
        <v>0</v>
      </c>
      <c r="J76" s="41">
        <f t="shared" si="173"/>
        <v>0</v>
      </c>
      <c r="K76" s="128">
        <f t="shared" si="170"/>
        <v>349650000</v>
      </c>
      <c r="L76" s="41">
        <f t="shared" ref="L76:Q76" si="174">+L73*9.99%</f>
        <v>73214036.975700006</v>
      </c>
      <c r="M76" s="41">
        <f t="shared" si="174"/>
        <v>23154721.500599999</v>
      </c>
      <c r="N76" s="41">
        <f t="shared" si="174"/>
        <v>39669622.168499999</v>
      </c>
      <c r="O76" s="41">
        <f t="shared" si="174"/>
        <v>28296987.686999999</v>
      </c>
      <c r="P76" s="41">
        <f t="shared" si="174"/>
        <v>28341449.280900002</v>
      </c>
      <c r="Q76" s="409">
        <f t="shared" si="174"/>
        <v>37477300.984200001</v>
      </c>
      <c r="R76" s="128">
        <f t="shared" si="9"/>
        <v>230154118.59690002</v>
      </c>
      <c r="S76" s="41">
        <f t="shared" ref="S76:Z76" si="175">+S73*9.99%</f>
        <v>43068633.354900002</v>
      </c>
      <c r="T76" s="41">
        <f t="shared" si="175"/>
        <v>0</v>
      </c>
      <c r="U76" s="41">
        <f t="shared" si="175"/>
        <v>0</v>
      </c>
      <c r="V76" s="41">
        <f t="shared" si="175"/>
        <v>0</v>
      </c>
      <c r="W76" s="41">
        <f t="shared" si="175"/>
        <v>0</v>
      </c>
      <c r="X76" s="41">
        <f t="shared" si="175"/>
        <v>0</v>
      </c>
      <c r="Y76" s="41">
        <f t="shared" si="175"/>
        <v>0</v>
      </c>
      <c r="Z76" s="41">
        <f t="shared" si="175"/>
        <v>0</v>
      </c>
      <c r="AA76" s="128">
        <f t="shared" si="24"/>
        <v>43068633.354900002</v>
      </c>
      <c r="AB76" s="128">
        <f t="shared" si="12"/>
        <v>273222751.95179999</v>
      </c>
      <c r="AC76" s="175">
        <f t="shared" si="13"/>
        <v>0.78141785199999991</v>
      </c>
    </row>
    <row r="77" spans="1:29" ht="28.5" hidden="1" x14ac:dyDescent="0.2">
      <c r="B77" s="76" t="s">
        <v>463</v>
      </c>
      <c r="C77" s="77" t="s">
        <v>149</v>
      </c>
      <c r="D77" s="330">
        <f>+D73*1.7982%</f>
        <v>62937000.000000007</v>
      </c>
      <c r="E77" s="188">
        <f>SUM('ADICIONES  2021'!C77:I77)</f>
        <v>0</v>
      </c>
      <c r="F77" s="41">
        <f t="shared" ref="F77:J77" si="176">+F73*1.7982%</f>
        <v>0</v>
      </c>
      <c r="G77" s="41">
        <f t="shared" si="176"/>
        <v>0</v>
      </c>
      <c r="H77" s="41">
        <f t="shared" si="176"/>
        <v>0</v>
      </c>
      <c r="I77" s="41">
        <f t="shared" si="176"/>
        <v>0</v>
      </c>
      <c r="J77" s="41">
        <f t="shared" si="176"/>
        <v>0</v>
      </c>
      <c r="K77" s="128">
        <f t="shared" si="170"/>
        <v>62937000.000000007</v>
      </c>
      <c r="L77" s="41">
        <f t="shared" ref="L77:Q77" si="177">+L73*1.7982%</f>
        <v>13178526.655626001</v>
      </c>
      <c r="M77" s="41">
        <f t="shared" si="177"/>
        <v>4167849.8701080005</v>
      </c>
      <c r="N77" s="41">
        <f t="shared" si="177"/>
        <v>7140531.9903300004</v>
      </c>
      <c r="O77" s="41">
        <f t="shared" si="177"/>
        <v>5093457.7836600002</v>
      </c>
      <c r="P77" s="41">
        <f t="shared" si="177"/>
        <v>5101460.8705620002</v>
      </c>
      <c r="Q77" s="409">
        <f t="shared" si="177"/>
        <v>6745914.1771560004</v>
      </c>
      <c r="R77" s="128">
        <f t="shared" ref="R77:R141" si="178">SUM(L77:Q77)</f>
        <v>41427741.347442001</v>
      </c>
      <c r="S77" s="41">
        <f t="shared" ref="S77:Z77" si="179">+S73*1.7982%</f>
        <v>7752354.0038820002</v>
      </c>
      <c r="T77" s="41">
        <f t="shared" si="179"/>
        <v>0</v>
      </c>
      <c r="U77" s="41">
        <f t="shared" si="179"/>
        <v>0</v>
      </c>
      <c r="V77" s="41">
        <f t="shared" si="179"/>
        <v>0</v>
      </c>
      <c r="W77" s="41">
        <f t="shared" si="179"/>
        <v>0</v>
      </c>
      <c r="X77" s="41">
        <f t="shared" si="179"/>
        <v>0</v>
      </c>
      <c r="Y77" s="41">
        <f t="shared" si="179"/>
        <v>0</v>
      </c>
      <c r="Z77" s="41">
        <f t="shared" si="179"/>
        <v>0</v>
      </c>
      <c r="AA77" s="128">
        <f t="shared" si="24"/>
        <v>7752354.0038820002</v>
      </c>
      <c r="AB77" s="128">
        <f t="shared" ref="AB77:AB141" si="180">+R77+AA77</f>
        <v>49180095.351323999</v>
      </c>
      <c r="AC77" s="175">
        <f t="shared" ref="AC77:AC141" si="181">+AB77/K77</f>
        <v>0.78141785199999991</v>
      </c>
    </row>
    <row r="78" spans="1:29" ht="42.75" hidden="1" x14ac:dyDescent="0.2">
      <c r="B78" s="76" t="s">
        <v>464</v>
      </c>
      <c r="C78" s="77" t="s">
        <v>150</v>
      </c>
      <c r="D78" s="330">
        <f>+D73*0.881118%</f>
        <v>30839130</v>
      </c>
      <c r="E78" s="188">
        <f>SUM('ADICIONES  2021'!C78:I78)</f>
        <v>0</v>
      </c>
      <c r="F78" s="41">
        <f t="shared" ref="F78:J78" si="182">+F73*0.881118%</f>
        <v>0</v>
      </c>
      <c r="G78" s="41">
        <f t="shared" si="182"/>
        <v>0</v>
      </c>
      <c r="H78" s="41">
        <f t="shared" si="182"/>
        <v>0</v>
      </c>
      <c r="I78" s="41">
        <f t="shared" si="182"/>
        <v>0</v>
      </c>
      <c r="J78" s="41">
        <f t="shared" si="182"/>
        <v>0</v>
      </c>
      <c r="K78" s="128">
        <f t="shared" si="170"/>
        <v>30839130</v>
      </c>
      <c r="L78" s="41">
        <f t="shared" ref="L78:Q78" si="183">+L73*0.881118%</f>
        <v>6457478.0612567402</v>
      </c>
      <c r="M78" s="41">
        <f t="shared" si="183"/>
        <v>2042246.43635292</v>
      </c>
      <c r="N78" s="41">
        <f t="shared" si="183"/>
        <v>3498860.6752617001</v>
      </c>
      <c r="O78" s="41">
        <f t="shared" si="183"/>
        <v>2495794.3139934</v>
      </c>
      <c r="P78" s="41">
        <f t="shared" si="183"/>
        <v>2499715.8265753798</v>
      </c>
      <c r="Q78" s="409">
        <f t="shared" si="183"/>
        <v>3305497.9468064401</v>
      </c>
      <c r="R78" s="128">
        <f t="shared" si="178"/>
        <v>20299593.260246582</v>
      </c>
      <c r="S78" s="41">
        <f t="shared" ref="S78:Z78" si="184">+S73*0.881118%</f>
        <v>3798653.4619021802</v>
      </c>
      <c r="T78" s="41">
        <f t="shared" si="184"/>
        <v>0</v>
      </c>
      <c r="U78" s="41">
        <f t="shared" si="184"/>
        <v>0</v>
      </c>
      <c r="V78" s="41">
        <f t="shared" si="184"/>
        <v>0</v>
      </c>
      <c r="W78" s="41">
        <f t="shared" si="184"/>
        <v>0</v>
      </c>
      <c r="X78" s="41">
        <f t="shared" si="184"/>
        <v>0</v>
      </c>
      <c r="Y78" s="41">
        <f t="shared" si="184"/>
        <v>0</v>
      </c>
      <c r="Z78" s="41">
        <f t="shared" si="184"/>
        <v>0</v>
      </c>
      <c r="AA78" s="128">
        <f t="shared" si="24"/>
        <v>3798653.4619021802</v>
      </c>
      <c r="AB78" s="128">
        <f t="shared" si="180"/>
        <v>24098246.722148761</v>
      </c>
      <c r="AC78" s="175">
        <f t="shared" si="181"/>
        <v>0.78141785200000002</v>
      </c>
    </row>
    <row r="79" spans="1:29" s="63" customFormat="1" ht="31.5" x14ac:dyDescent="0.2">
      <c r="A79" s="399">
        <v>1</v>
      </c>
      <c r="B79" s="81" t="s">
        <v>465</v>
      </c>
      <c r="C79" s="79" t="s">
        <v>466</v>
      </c>
      <c r="D79" s="329">
        <f>+D80+D87</f>
        <v>121699200000</v>
      </c>
      <c r="E79" s="187">
        <f>SUM('ADICIONES  2021'!C79:I79)</f>
        <v>0</v>
      </c>
      <c r="F79" s="223">
        <f t="shared" ref="F79:J79" si="185">+F80+F87</f>
        <v>0</v>
      </c>
      <c r="G79" s="223">
        <f t="shared" si="185"/>
        <v>350000000</v>
      </c>
      <c r="H79" s="223">
        <f t="shared" si="185"/>
        <v>0</v>
      </c>
      <c r="I79" s="223">
        <f t="shared" si="185"/>
        <v>0</v>
      </c>
      <c r="J79" s="223">
        <f t="shared" si="185"/>
        <v>0</v>
      </c>
      <c r="K79" s="78">
        <f t="shared" si="170"/>
        <v>122049200000</v>
      </c>
      <c r="L79" s="223">
        <f t="shared" ref="L79:Q79" si="186">+L80+L87</f>
        <v>14313551440.780798</v>
      </c>
      <c r="M79" s="223">
        <f t="shared" si="186"/>
        <v>12509345161.062401</v>
      </c>
      <c r="N79" s="223">
        <f t="shared" si="186"/>
        <v>9970196546.1247997</v>
      </c>
      <c r="O79" s="223">
        <f t="shared" si="186"/>
        <v>10331226345.958399</v>
      </c>
      <c r="P79" s="223">
        <f t="shared" si="186"/>
        <v>10668352261.235199</v>
      </c>
      <c r="Q79" s="223">
        <f t="shared" si="186"/>
        <v>9916741233.6767998</v>
      </c>
      <c r="R79" s="78">
        <f t="shared" si="178"/>
        <v>67709412988.838394</v>
      </c>
      <c r="S79" s="223">
        <f t="shared" ref="S79:Z79" si="187">+S80+S87</f>
        <v>8991385598.5791988</v>
      </c>
      <c r="T79" s="223">
        <f t="shared" si="187"/>
        <v>0</v>
      </c>
      <c r="U79" s="223">
        <f t="shared" si="187"/>
        <v>0</v>
      </c>
      <c r="V79" s="223">
        <f t="shared" si="187"/>
        <v>0</v>
      </c>
      <c r="W79" s="223">
        <f t="shared" si="187"/>
        <v>0</v>
      </c>
      <c r="X79" s="223">
        <f t="shared" si="187"/>
        <v>0</v>
      </c>
      <c r="Y79" s="223">
        <f t="shared" si="187"/>
        <v>0</v>
      </c>
      <c r="Z79" s="223">
        <f t="shared" si="187"/>
        <v>0</v>
      </c>
      <c r="AA79" s="78">
        <f t="shared" si="24"/>
        <v>8991385598.5791988</v>
      </c>
      <c r="AB79" s="78">
        <f t="shared" si="180"/>
        <v>76700798587.417587</v>
      </c>
      <c r="AC79" s="174">
        <f t="shared" si="181"/>
        <v>0.62844163327098901</v>
      </c>
    </row>
    <row r="80" spans="1:29" s="19" customFormat="1" ht="30" x14ac:dyDescent="0.2">
      <c r="A80" s="71">
        <v>1</v>
      </c>
      <c r="B80" s="82" t="s">
        <v>953</v>
      </c>
      <c r="C80" s="83" t="s">
        <v>954</v>
      </c>
      <c r="D80" s="329">
        <f>SUM(D81:D86)</f>
        <v>117699200000</v>
      </c>
      <c r="E80" s="187">
        <f>SUM('ADICIONES  2021'!C80:I80)</f>
        <v>0</v>
      </c>
      <c r="F80" s="146"/>
      <c r="G80" s="146">
        <f>SUM(G81:G86)</f>
        <v>350000000</v>
      </c>
      <c r="H80" s="146"/>
      <c r="I80" s="146"/>
      <c r="J80" s="146"/>
      <c r="K80" s="126">
        <f t="shared" si="170"/>
        <v>118049200000</v>
      </c>
      <c r="L80" s="181">
        <f t="shared" ref="L80:P80" si="188">SUM(L81:L86)</f>
        <v>14180402440.780798</v>
      </c>
      <c r="M80" s="181">
        <f t="shared" si="188"/>
        <v>12378033161.062401</v>
      </c>
      <c r="N80" s="181">
        <f t="shared" si="188"/>
        <v>9716462546.1247997</v>
      </c>
      <c r="O80" s="181">
        <f t="shared" si="188"/>
        <v>10243426345.958399</v>
      </c>
      <c r="P80" s="181">
        <f t="shared" si="188"/>
        <v>10564969261.235199</v>
      </c>
      <c r="Q80" s="181">
        <f>SUM(Q81:Q86)</f>
        <v>9823046233.6767998</v>
      </c>
      <c r="R80" s="78">
        <f t="shared" si="178"/>
        <v>66906339988.838394</v>
      </c>
      <c r="S80" s="181">
        <f>SUM(S81:S86)</f>
        <v>8935814598.5791988</v>
      </c>
      <c r="T80" s="146"/>
      <c r="U80" s="146"/>
      <c r="V80" s="146"/>
      <c r="W80" s="146"/>
      <c r="X80" s="146"/>
      <c r="Y80" s="181"/>
      <c r="Z80" s="146"/>
      <c r="AA80" s="78">
        <f t="shared" si="24"/>
        <v>8935814598.5791988</v>
      </c>
      <c r="AB80" s="126">
        <f t="shared" si="180"/>
        <v>75842154587.417587</v>
      </c>
      <c r="AC80" s="180">
        <f t="shared" si="181"/>
        <v>0.64246224953170028</v>
      </c>
    </row>
    <row r="81" spans="1:29" ht="28.5" hidden="1" x14ac:dyDescent="0.2">
      <c r="B81" s="76" t="s">
        <v>955</v>
      </c>
      <c r="C81" s="77" t="s">
        <v>956</v>
      </c>
      <c r="D81" s="330">
        <v>101737552500</v>
      </c>
      <c r="E81" s="188">
        <f>SUM('ADICIONES  2021'!C81:I81)</f>
        <v>0</v>
      </c>
      <c r="F81" s="41">
        <f>+F80*81.390042%</f>
        <v>0</v>
      </c>
      <c r="G81" s="41">
        <v>0</v>
      </c>
      <c r="H81" s="41">
        <f t="shared" ref="H81:J81" si="189">+H80*81.390042%</f>
        <v>0</v>
      </c>
      <c r="I81" s="41">
        <f t="shared" si="189"/>
        <v>0</v>
      </c>
      <c r="J81" s="41">
        <f t="shared" si="189"/>
        <v>0</v>
      </c>
      <c r="K81" s="128">
        <f t="shared" si="170"/>
        <v>101737552500</v>
      </c>
      <c r="L81" s="41">
        <f>15060003000*81.390042%</f>
        <v>12257342766.901258</v>
      </c>
      <c r="M81" s="41">
        <f>13145834000*81.390042%</f>
        <v>10699399813.850279</v>
      </c>
      <c r="N81" s="41">
        <f>10319168000*81.390042%</f>
        <v>8398775169.2505598</v>
      </c>
      <c r="O81" s="41">
        <f>10878819000*81.390042%</f>
        <v>8854275353.2039795</v>
      </c>
      <c r="P81" s="41">
        <f>11220307000*81.390042%</f>
        <v>9132212579.8289394</v>
      </c>
      <c r="Q81" s="409">
        <f>10432363000*81.390042%</f>
        <v>8490904627.2924595</v>
      </c>
      <c r="R81" s="128">
        <f t="shared" si="178"/>
        <v>57832910310.327477</v>
      </c>
      <c r="S81" s="41">
        <f>9490097000*81.390042%</f>
        <v>7723993934.1407394</v>
      </c>
      <c r="T81" s="41">
        <f t="shared" ref="T81:Z81" si="190">+T80*81.390042%</f>
        <v>0</v>
      </c>
      <c r="U81" s="41">
        <f t="shared" si="190"/>
        <v>0</v>
      </c>
      <c r="V81" s="41">
        <f t="shared" si="190"/>
        <v>0</v>
      </c>
      <c r="W81" s="41">
        <f t="shared" si="190"/>
        <v>0</v>
      </c>
      <c r="X81" s="41">
        <f t="shared" si="190"/>
        <v>0</v>
      </c>
      <c r="Y81" s="41">
        <f t="shared" si="190"/>
        <v>0</v>
      </c>
      <c r="Z81" s="41">
        <f t="shared" si="190"/>
        <v>0</v>
      </c>
      <c r="AA81" s="128">
        <f t="shared" si="24"/>
        <v>7723993934.1407394</v>
      </c>
      <c r="AB81" s="128">
        <f t="shared" si="180"/>
        <v>65556904244.468216</v>
      </c>
      <c r="AC81" s="175">
        <f t="shared" si="181"/>
        <v>0.64437272800000001</v>
      </c>
    </row>
    <row r="82" spans="1:29" ht="28.5" hidden="1" x14ac:dyDescent="0.2">
      <c r="B82" s="76" t="s">
        <v>955</v>
      </c>
      <c r="C82" s="77" t="s">
        <v>956</v>
      </c>
      <c r="D82" s="330"/>
      <c r="E82" s="188">
        <f>SUM('ADICIONES  2021'!C82:I82)</f>
        <v>0</v>
      </c>
      <c r="F82" s="41"/>
      <c r="G82" s="41">
        <v>350000000</v>
      </c>
      <c r="H82" s="41"/>
      <c r="I82" s="41"/>
      <c r="J82" s="41"/>
      <c r="K82" s="128">
        <f t="shared" si="170"/>
        <v>350000000</v>
      </c>
      <c r="L82" s="41"/>
      <c r="M82" s="41"/>
      <c r="N82" s="41"/>
      <c r="O82" s="41"/>
      <c r="P82" s="41"/>
      <c r="Q82" s="409"/>
      <c r="R82" s="128">
        <f t="shared" si="178"/>
        <v>0</v>
      </c>
      <c r="S82" s="41"/>
      <c r="T82" s="41"/>
      <c r="U82" s="41"/>
      <c r="V82" s="41"/>
      <c r="W82" s="41"/>
      <c r="X82" s="41"/>
      <c r="Y82" s="41"/>
      <c r="Z82" s="41"/>
      <c r="AA82" s="128">
        <f t="shared" ref="AA82" si="191">SUM(S82:Z82)</f>
        <v>0</v>
      </c>
      <c r="AB82" s="128">
        <f t="shared" si="180"/>
        <v>0</v>
      </c>
      <c r="AC82" s="175">
        <f t="shared" si="181"/>
        <v>0</v>
      </c>
    </row>
    <row r="83" spans="1:29" ht="28.5" hidden="1" x14ac:dyDescent="0.2">
      <c r="B83" s="76" t="s">
        <v>957</v>
      </c>
      <c r="C83" s="77" t="s">
        <v>958</v>
      </c>
      <c r="D83" s="330">
        <v>125000000</v>
      </c>
      <c r="E83" s="188">
        <f>SUM('ADICIONES  2021'!C83:I83)</f>
        <v>0</v>
      </c>
      <c r="F83" s="41">
        <f t="shared" ref="F83:J83" si="192">+F80*0.1%</f>
        <v>0</v>
      </c>
      <c r="G83" s="41">
        <v>0</v>
      </c>
      <c r="H83" s="41">
        <f t="shared" si="192"/>
        <v>0</v>
      </c>
      <c r="I83" s="41">
        <f t="shared" si="192"/>
        <v>0</v>
      </c>
      <c r="J83" s="41">
        <f t="shared" si="192"/>
        <v>0</v>
      </c>
      <c r="K83" s="128">
        <f t="shared" si="170"/>
        <v>125000000</v>
      </c>
      <c r="L83" s="41">
        <f>15060003000*0.1%</f>
        <v>15060003</v>
      </c>
      <c r="M83" s="41">
        <f>13145834000*0.1%</f>
        <v>13145834</v>
      </c>
      <c r="N83" s="41">
        <f>10319168000*0.1%</f>
        <v>10319168</v>
      </c>
      <c r="O83" s="41">
        <f>10878819000*0.1%</f>
        <v>10878819</v>
      </c>
      <c r="P83" s="41">
        <f>11220307000*0.1%</f>
        <v>11220307</v>
      </c>
      <c r="Q83" s="409">
        <f>10432363000*0.1%</f>
        <v>10432363</v>
      </c>
      <c r="R83" s="128">
        <f t="shared" si="178"/>
        <v>71056494</v>
      </c>
      <c r="S83" s="41">
        <f>9490097000*0.1%</f>
        <v>9490097</v>
      </c>
      <c r="T83" s="41">
        <f t="shared" ref="T83:Z83" si="193">+T80*0.1%</f>
        <v>0</v>
      </c>
      <c r="U83" s="41">
        <f t="shared" si="193"/>
        <v>0</v>
      </c>
      <c r="V83" s="41">
        <f t="shared" si="193"/>
        <v>0</v>
      </c>
      <c r="W83" s="41">
        <f t="shared" si="193"/>
        <v>0</v>
      </c>
      <c r="X83" s="41">
        <f t="shared" si="193"/>
        <v>0</v>
      </c>
      <c r="Y83" s="41">
        <f t="shared" si="193"/>
        <v>0</v>
      </c>
      <c r="Z83" s="41">
        <f t="shared" si="193"/>
        <v>0</v>
      </c>
      <c r="AA83" s="128">
        <f t="shared" ref="AA83:AA146" si="194">SUM(S83:Z83)</f>
        <v>9490097</v>
      </c>
      <c r="AB83" s="128">
        <f t="shared" si="180"/>
        <v>80546591</v>
      </c>
      <c r="AC83" s="175">
        <f t="shared" si="181"/>
        <v>0.64437272800000001</v>
      </c>
    </row>
    <row r="84" spans="1:29" ht="28.5" hidden="1" x14ac:dyDescent="0.2">
      <c r="B84" s="76" t="s">
        <v>959</v>
      </c>
      <c r="C84" s="77" t="s">
        <v>960</v>
      </c>
      <c r="D84" s="330">
        <v>12487500000</v>
      </c>
      <c r="E84" s="188">
        <f>SUM('ADICIONES  2021'!C84:I84)</f>
        <v>0</v>
      </c>
      <c r="F84" s="41">
        <f t="shared" ref="F84:J84" si="195">+F80*9.99%</f>
        <v>0</v>
      </c>
      <c r="G84" s="41">
        <v>0</v>
      </c>
      <c r="H84" s="41">
        <f t="shared" si="195"/>
        <v>0</v>
      </c>
      <c r="I84" s="41">
        <f t="shared" si="195"/>
        <v>0</v>
      </c>
      <c r="J84" s="41">
        <f t="shared" si="195"/>
        <v>0</v>
      </c>
      <c r="K84" s="128">
        <f t="shared" si="170"/>
        <v>12487500000</v>
      </c>
      <c r="L84" s="41">
        <f>15060003000*9.99%</f>
        <v>1504494299.7</v>
      </c>
      <c r="M84" s="41">
        <f>13145834000*9.99%</f>
        <v>1313268816.6000001</v>
      </c>
      <c r="N84" s="41">
        <f>10319168000*9.99%</f>
        <v>1030884883.2</v>
      </c>
      <c r="O84" s="41">
        <f>10878819000*9.99%</f>
        <v>1086794018.1000001</v>
      </c>
      <c r="P84" s="41">
        <f>11220307000*9.99%</f>
        <v>1120908669.3</v>
      </c>
      <c r="Q84" s="409">
        <f>10432363000*9.99%</f>
        <v>1042193063.7</v>
      </c>
      <c r="R84" s="128">
        <f t="shared" si="178"/>
        <v>7098543750.6000004</v>
      </c>
      <c r="S84" s="41">
        <f>9490097000*9.99%</f>
        <v>948060690.30000007</v>
      </c>
      <c r="T84" s="41">
        <f t="shared" ref="T84:Z84" si="196">+T80*9.99%</f>
        <v>0</v>
      </c>
      <c r="U84" s="41">
        <f t="shared" si="196"/>
        <v>0</v>
      </c>
      <c r="V84" s="41">
        <f t="shared" si="196"/>
        <v>0</v>
      </c>
      <c r="W84" s="41">
        <f t="shared" si="196"/>
        <v>0</v>
      </c>
      <c r="X84" s="41">
        <f t="shared" si="196"/>
        <v>0</v>
      </c>
      <c r="Y84" s="41">
        <f t="shared" si="196"/>
        <v>0</v>
      </c>
      <c r="Z84" s="41">
        <f t="shared" si="196"/>
        <v>0</v>
      </c>
      <c r="AA84" s="128">
        <f t="shared" si="194"/>
        <v>948060690.30000007</v>
      </c>
      <c r="AB84" s="128">
        <f t="shared" si="180"/>
        <v>8046604440.9000006</v>
      </c>
      <c r="AC84" s="175">
        <f t="shared" si="181"/>
        <v>0.64437272800000001</v>
      </c>
    </row>
    <row r="85" spans="1:29" ht="28.5" hidden="1" x14ac:dyDescent="0.2">
      <c r="B85" s="76" t="s">
        <v>961</v>
      </c>
      <c r="C85" s="77" t="s">
        <v>962</v>
      </c>
      <c r="D85" s="334">
        <v>2247750000</v>
      </c>
      <c r="E85" s="188">
        <f>SUM('ADICIONES  2021'!C85:I85)</f>
        <v>0</v>
      </c>
      <c r="F85" s="41">
        <f t="shared" ref="F85:J85" si="197">+F80*1.7982%</f>
        <v>0</v>
      </c>
      <c r="G85" s="41">
        <v>0</v>
      </c>
      <c r="H85" s="41">
        <f t="shared" si="197"/>
        <v>0</v>
      </c>
      <c r="I85" s="41">
        <f t="shared" si="197"/>
        <v>0</v>
      </c>
      <c r="J85" s="41">
        <f t="shared" si="197"/>
        <v>0</v>
      </c>
      <c r="K85" s="128">
        <f t="shared" si="170"/>
        <v>2247750000</v>
      </c>
      <c r="L85" s="41">
        <f>15060003000*1.7982%</f>
        <v>270808973.94600004</v>
      </c>
      <c r="M85" s="41">
        <f>13145834000*1.7982%</f>
        <v>236388386.98800001</v>
      </c>
      <c r="N85" s="41">
        <f>10319168000*1.7982%</f>
        <v>185559278.97600001</v>
      </c>
      <c r="O85" s="41">
        <f>10878819000*1.7982%</f>
        <v>195622923.25800002</v>
      </c>
      <c r="P85" s="41">
        <f>11220307000*1.7982%</f>
        <v>201763560.47400001</v>
      </c>
      <c r="Q85" s="409">
        <f>10432363000*1.7982%</f>
        <v>187594751.46600002</v>
      </c>
      <c r="R85" s="128">
        <f t="shared" si="178"/>
        <v>1277737875.1080003</v>
      </c>
      <c r="S85" s="41">
        <f>9490097000*1.7982%</f>
        <v>170650924.25400001</v>
      </c>
      <c r="T85" s="41">
        <f t="shared" ref="T85:Z85" si="198">+T80*1.7982%</f>
        <v>0</v>
      </c>
      <c r="U85" s="41">
        <f t="shared" si="198"/>
        <v>0</v>
      </c>
      <c r="V85" s="41">
        <f t="shared" si="198"/>
        <v>0</v>
      </c>
      <c r="W85" s="41">
        <f t="shared" si="198"/>
        <v>0</v>
      </c>
      <c r="X85" s="41">
        <f t="shared" si="198"/>
        <v>0</v>
      </c>
      <c r="Y85" s="41">
        <f t="shared" si="198"/>
        <v>0</v>
      </c>
      <c r="Z85" s="41">
        <f t="shared" si="198"/>
        <v>0</v>
      </c>
      <c r="AA85" s="128">
        <f t="shared" si="194"/>
        <v>170650924.25400001</v>
      </c>
      <c r="AB85" s="128">
        <f t="shared" si="180"/>
        <v>1448388799.3620002</v>
      </c>
      <c r="AC85" s="175">
        <f t="shared" si="181"/>
        <v>0.64437272800000012</v>
      </c>
    </row>
    <row r="86" spans="1:29" ht="42.75" hidden="1" x14ac:dyDescent="0.2">
      <c r="B86" s="76" t="s">
        <v>963</v>
      </c>
      <c r="C86" s="77" t="s">
        <v>964</v>
      </c>
      <c r="D86" s="330">
        <v>1101397500</v>
      </c>
      <c r="E86" s="188">
        <f>SUM('ADICIONES  2021'!C86:I86)</f>
        <v>0</v>
      </c>
      <c r="F86" s="41">
        <f t="shared" ref="F86:J86" si="199">+F80*0.881118%</f>
        <v>0</v>
      </c>
      <c r="G86" s="41">
        <v>0</v>
      </c>
      <c r="H86" s="41">
        <f t="shared" si="199"/>
        <v>0</v>
      </c>
      <c r="I86" s="41">
        <f t="shared" si="199"/>
        <v>0</v>
      </c>
      <c r="J86" s="41">
        <f t="shared" si="199"/>
        <v>0</v>
      </c>
      <c r="K86" s="128">
        <f t="shared" si="170"/>
        <v>1101397500</v>
      </c>
      <c r="L86" s="41">
        <f>15060003000*0.881118%</f>
        <v>132696397.23354</v>
      </c>
      <c r="M86" s="41">
        <f>13145834000*0.881118%</f>
        <v>115830309.62412</v>
      </c>
      <c r="N86" s="41">
        <f>10319168000*0.881118%</f>
        <v>90924046.698239997</v>
      </c>
      <c r="O86" s="41">
        <f>10878819000*0.881118%</f>
        <v>95855232.396420002</v>
      </c>
      <c r="P86" s="41">
        <f>11220307000*0.881118%</f>
        <v>98864144.632259995</v>
      </c>
      <c r="Q86" s="409">
        <f>10432363000*0.881118%</f>
        <v>91921428.218339995</v>
      </c>
      <c r="R86" s="128">
        <f t="shared" si="178"/>
        <v>626091558.80291998</v>
      </c>
      <c r="S86" s="41">
        <f>9490097000*0.881118%</f>
        <v>83618952.884460002</v>
      </c>
      <c r="T86" s="41">
        <f t="shared" ref="T86:Z86" si="200">+T80*0.881118%</f>
        <v>0</v>
      </c>
      <c r="U86" s="41">
        <f t="shared" si="200"/>
        <v>0</v>
      </c>
      <c r="V86" s="41">
        <f t="shared" si="200"/>
        <v>0</v>
      </c>
      <c r="W86" s="41">
        <f t="shared" si="200"/>
        <v>0</v>
      </c>
      <c r="X86" s="41">
        <f t="shared" si="200"/>
        <v>0</v>
      </c>
      <c r="Y86" s="41">
        <f t="shared" si="200"/>
        <v>0</v>
      </c>
      <c r="Z86" s="41">
        <f t="shared" si="200"/>
        <v>0</v>
      </c>
      <c r="AA86" s="128">
        <f t="shared" si="194"/>
        <v>83618952.884460002</v>
      </c>
      <c r="AB86" s="128">
        <f t="shared" si="180"/>
        <v>709710511.68737996</v>
      </c>
      <c r="AC86" s="175">
        <f t="shared" si="181"/>
        <v>0.64437272800000001</v>
      </c>
    </row>
    <row r="87" spans="1:29" s="19" customFormat="1" ht="30" x14ac:dyDescent="0.2">
      <c r="A87" s="71">
        <v>1</v>
      </c>
      <c r="B87" s="82" t="s">
        <v>467</v>
      </c>
      <c r="C87" s="83" t="s">
        <v>468</v>
      </c>
      <c r="D87" s="329">
        <v>4000000000</v>
      </c>
      <c r="E87" s="187">
        <f>SUM('ADICIONES  2021'!C87:I87)</f>
        <v>0</v>
      </c>
      <c r="F87" s="146"/>
      <c r="G87" s="146"/>
      <c r="H87" s="146"/>
      <c r="I87" s="146"/>
      <c r="J87" s="146"/>
      <c r="K87" s="126">
        <f t="shared" si="170"/>
        <v>4000000000</v>
      </c>
      <c r="L87" s="181">
        <v>133149000</v>
      </c>
      <c r="M87" s="181">
        <v>131312000</v>
      </c>
      <c r="N87" s="181">
        <v>253734000</v>
      </c>
      <c r="O87" s="181">
        <v>87800000</v>
      </c>
      <c r="P87" s="181">
        <v>103383000</v>
      </c>
      <c r="Q87" s="181">
        <v>93695000</v>
      </c>
      <c r="R87" s="78">
        <f t="shared" si="178"/>
        <v>803073000</v>
      </c>
      <c r="S87" s="181">
        <v>55571000</v>
      </c>
      <c r="T87" s="146"/>
      <c r="U87" s="146"/>
      <c r="V87" s="146"/>
      <c r="W87" s="146"/>
      <c r="X87" s="146"/>
      <c r="Y87" s="181"/>
      <c r="Z87" s="146"/>
      <c r="AA87" s="78">
        <f t="shared" si="194"/>
        <v>55571000</v>
      </c>
      <c r="AB87" s="126">
        <f t="shared" si="180"/>
        <v>858644000</v>
      </c>
      <c r="AC87" s="180">
        <f t="shared" si="181"/>
        <v>0.21466099999999999</v>
      </c>
    </row>
    <row r="88" spans="1:29" ht="28.5" hidden="1" x14ac:dyDescent="0.2">
      <c r="B88" s="76" t="s">
        <v>469</v>
      </c>
      <c r="C88" s="77" t="s">
        <v>151</v>
      </c>
      <c r="D88" s="330">
        <f>+D87*87.230682%</f>
        <v>3489227280</v>
      </c>
      <c r="E88" s="188">
        <f>SUM('ADICIONES  2021'!C88:I88)</f>
        <v>0</v>
      </c>
      <c r="F88" s="41">
        <f t="shared" ref="F88:J88" si="201">+F87*87.230682%</f>
        <v>0</v>
      </c>
      <c r="G88" s="41">
        <f t="shared" si="201"/>
        <v>0</v>
      </c>
      <c r="H88" s="41">
        <f t="shared" si="201"/>
        <v>0</v>
      </c>
      <c r="I88" s="41">
        <f t="shared" si="201"/>
        <v>0</v>
      </c>
      <c r="J88" s="41">
        <f t="shared" si="201"/>
        <v>0</v>
      </c>
      <c r="K88" s="128">
        <f t="shared" si="170"/>
        <v>3489227280</v>
      </c>
      <c r="L88" s="41">
        <f t="shared" ref="L88:Q88" si="202">+L87*87.230682%</f>
        <v>116146780.77618</v>
      </c>
      <c r="M88" s="41">
        <f t="shared" si="202"/>
        <v>114544353.14784001</v>
      </c>
      <c r="N88" s="41">
        <f t="shared" si="202"/>
        <v>221333898.66588002</v>
      </c>
      <c r="O88" s="41">
        <f t="shared" si="202"/>
        <v>76588538.796000004</v>
      </c>
      <c r="P88" s="41">
        <f t="shared" si="202"/>
        <v>90181695.97206001</v>
      </c>
      <c r="Q88" s="409">
        <f t="shared" si="202"/>
        <v>81730787.499899998</v>
      </c>
      <c r="R88" s="128">
        <f t="shared" si="178"/>
        <v>700526054.85785997</v>
      </c>
      <c r="S88" s="41">
        <f t="shared" ref="S88:Z88" si="203">+S87*87.230682%</f>
        <v>48474962.294220001</v>
      </c>
      <c r="T88" s="41">
        <f t="shared" si="203"/>
        <v>0</v>
      </c>
      <c r="U88" s="41">
        <f t="shared" si="203"/>
        <v>0</v>
      </c>
      <c r="V88" s="41">
        <f t="shared" si="203"/>
        <v>0</v>
      </c>
      <c r="W88" s="41">
        <f t="shared" si="203"/>
        <v>0</v>
      </c>
      <c r="X88" s="41">
        <f t="shared" si="203"/>
        <v>0</v>
      </c>
      <c r="Y88" s="41">
        <f t="shared" si="203"/>
        <v>0</v>
      </c>
      <c r="Z88" s="41">
        <f t="shared" si="203"/>
        <v>0</v>
      </c>
      <c r="AA88" s="128">
        <f t="shared" si="194"/>
        <v>48474962.294220001</v>
      </c>
      <c r="AB88" s="128">
        <f t="shared" si="180"/>
        <v>749001017.15207994</v>
      </c>
      <c r="AC88" s="175">
        <f t="shared" si="181"/>
        <v>0.21466099999999999</v>
      </c>
    </row>
    <row r="89" spans="1:29" ht="28.5" hidden="1" x14ac:dyDescent="0.2">
      <c r="B89" s="76" t="s">
        <v>470</v>
      </c>
      <c r="C89" s="77" t="s">
        <v>152</v>
      </c>
      <c r="D89" s="330">
        <f>+D87*0.1%</f>
        <v>4000000</v>
      </c>
      <c r="E89" s="188">
        <f>SUM('ADICIONES  2021'!C89:I89)</f>
        <v>0</v>
      </c>
      <c r="F89" s="41">
        <f t="shared" ref="F89:J89" si="204">+F87*0.1%</f>
        <v>0</v>
      </c>
      <c r="G89" s="41">
        <f t="shared" si="204"/>
        <v>0</v>
      </c>
      <c r="H89" s="41">
        <f t="shared" si="204"/>
        <v>0</v>
      </c>
      <c r="I89" s="41">
        <f t="shared" si="204"/>
        <v>0</v>
      </c>
      <c r="J89" s="41">
        <f t="shared" si="204"/>
        <v>0</v>
      </c>
      <c r="K89" s="128">
        <f t="shared" si="170"/>
        <v>4000000</v>
      </c>
      <c r="L89" s="41">
        <f t="shared" ref="L89:Q89" si="205">+L87*0.1%</f>
        <v>133149</v>
      </c>
      <c r="M89" s="41">
        <f t="shared" si="205"/>
        <v>131312</v>
      </c>
      <c r="N89" s="41">
        <f t="shared" si="205"/>
        <v>253734</v>
      </c>
      <c r="O89" s="41">
        <f t="shared" si="205"/>
        <v>87800</v>
      </c>
      <c r="P89" s="41">
        <f t="shared" si="205"/>
        <v>103383</v>
      </c>
      <c r="Q89" s="409">
        <f t="shared" si="205"/>
        <v>93695</v>
      </c>
      <c r="R89" s="128">
        <f t="shared" si="178"/>
        <v>803073</v>
      </c>
      <c r="S89" s="41">
        <f t="shared" ref="S89:Z89" si="206">+S87*0.1%</f>
        <v>55571</v>
      </c>
      <c r="T89" s="41">
        <f t="shared" si="206"/>
        <v>0</v>
      </c>
      <c r="U89" s="41">
        <f t="shared" si="206"/>
        <v>0</v>
      </c>
      <c r="V89" s="41">
        <f t="shared" si="206"/>
        <v>0</v>
      </c>
      <c r="W89" s="41">
        <f t="shared" si="206"/>
        <v>0</v>
      </c>
      <c r="X89" s="41">
        <f t="shared" si="206"/>
        <v>0</v>
      </c>
      <c r="Y89" s="41">
        <f t="shared" si="206"/>
        <v>0</v>
      </c>
      <c r="Z89" s="41">
        <f t="shared" si="206"/>
        <v>0</v>
      </c>
      <c r="AA89" s="128">
        <f t="shared" si="194"/>
        <v>55571</v>
      </c>
      <c r="AB89" s="128">
        <f t="shared" si="180"/>
        <v>858644</v>
      </c>
      <c r="AC89" s="175">
        <f t="shared" si="181"/>
        <v>0.21466099999999999</v>
      </c>
    </row>
    <row r="90" spans="1:29" ht="28.5" hidden="1" x14ac:dyDescent="0.2">
      <c r="B90" s="76" t="s">
        <v>471</v>
      </c>
      <c r="C90" s="154" t="s">
        <v>153</v>
      </c>
      <c r="D90" s="330">
        <f>+D87*9.99%</f>
        <v>399600000</v>
      </c>
      <c r="E90" s="188">
        <f>SUM('ADICIONES  2021'!C90:I90)</f>
        <v>0</v>
      </c>
      <c r="F90" s="41">
        <f t="shared" ref="F90:J90" si="207">+F87*9.99%</f>
        <v>0</v>
      </c>
      <c r="G90" s="41">
        <f t="shared" si="207"/>
        <v>0</v>
      </c>
      <c r="H90" s="41">
        <f t="shared" si="207"/>
        <v>0</v>
      </c>
      <c r="I90" s="41">
        <f t="shared" si="207"/>
        <v>0</v>
      </c>
      <c r="J90" s="41">
        <f t="shared" si="207"/>
        <v>0</v>
      </c>
      <c r="K90" s="128">
        <f t="shared" si="170"/>
        <v>399600000</v>
      </c>
      <c r="L90" s="41">
        <f t="shared" ref="L90:Q90" si="208">+L87*9.99%</f>
        <v>13301585.1</v>
      </c>
      <c r="M90" s="41">
        <f t="shared" si="208"/>
        <v>13118068.800000001</v>
      </c>
      <c r="N90" s="41">
        <f t="shared" si="208"/>
        <v>25348026.600000001</v>
      </c>
      <c r="O90" s="41">
        <f t="shared" si="208"/>
        <v>8771220</v>
      </c>
      <c r="P90" s="41">
        <f t="shared" si="208"/>
        <v>10327961.700000001</v>
      </c>
      <c r="Q90" s="409">
        <f t="shared" si="208"/>
        <v>9360130.5</v>
      </c>
      <c r="R90" s="128">
        <f t="shared" si="178"/>
        <v>80226992.700000003</v>
      </c>
      <c r="S90" s="41">
        <f t="shared" ref="S90:Z90" si="209">+S87*9.99%</f>
        <v>5551542.9000000004</v>
      </c>
      <c r="T90" s="41">
        <f t="shared" si="209"/>
        <v>0</v>
      </c>
      <c r="U90" s="41">
        <f t="shared" si="209"/>
        <v>0</v>
      </c>
      <c r="V90" s="41">
        <f t="shared" si="209"/>
        <v>0</v>
      </c>
      <c r="W90" s="41">
        <f t="shared" si="209"/>
        <v>0</v>
      </c>
      <c r="X90" s="41">
        <f t="shared" si="209"/>
        <v>0</v>
      </c>
      <c r="Y90" s="41">
        <f t="shared" si="209"/>
        <v>0</v>
      </c>
      <c r="Z90" s="41">
        <f t="shared" si="209"/>
        <v>0</v>
      </c>
      <c r="AA90" s="128">
        <f t="shared" si="194"/>
        <v>5551542.9000000004</v>
      </c>
      <c r="AB90" s="128">
        <f t="shared" si="180"/>
        <v>85778535.600000009</v>
      </c>
      <c r="AC90" s="175">
        <f t="shared" si="181"/>
        <v>0.21466100000000002</v>
      </c>
    </row>
    <row r="91" spans="1:29" ht="28.5" hidden="1" x14ac:dyDescent="0.2">
      <c r="B91" s="76" t="s">
        <v>472</v>
      </c>
      <c r="C91" s="77" t="s">
        <v>154</v>
      </c>
      <c r="D91" s="330">
        <f>+D87*1.7982%</f>
        <v>71928000</v>
      </c>
      <c r="E91" s="188">
        <f>SUM('ADICIONES  2021'!C91:I91)</f>
        <v>0</v>
      </c>
      <c r="F91" s="41">
        <f t="shared" ref="F91:J91" si="210">+F87*1.7982%</f>
        <v>0</v>
      </c>
      <c r="G91" s="41">
        <f t="shared" si="210"/>
        <v>0</v>
      </c>
      <c r="H91" s="41">
        <f t="shared" si="210"/>
        <v>0</v>
      </c>
      <c r="I91" s="41">
        <f t="shared" si="210"/>
        <v>0</v>
      </c>
      <c r="J91" s="41">
        <f t="shared" si="210"/>
        <v>0</v>
      </c>
      <c r="K91" s="128">
        <f t="shared" si="170"/>
        <v>71928000</v>
      </c>
      <c r="L91" s="41">
        <f t="shared" ref="L91:Q91" si="211">+L87*1.7982%</f>
        <v>2394285.318</v>
      </c>
      <c r="M91" s="41">
        <f t="shared" si="211"/>
        <v>2361252.3840000001</v>
      </c>
      <c r="N91" s="41">
        <f t="shared" si="211"/>
        <v>4562644.7880000006</v>
      </c>
      <c r="O91" s="41">
        <f t="shared" si="211"/>
        <v>1578819.6</v>
      </c>
      <c r="P91" s="41">
        <f t="shared" si="211"/>
        <v>1859033.1060000001</v>
      </c>
      <c r="Q91" s="409">
        <f t="shared" si="211"/>
        <v>1684823.4900000002</v>
      </c>
      <c r="R91" s="128">
        <f t="shared" si="178"/>
        <v>14440858.686000001</v>
      </c>
      <c r="S91" s="41">
        <f t="shared" ref="S91:Z91" si="212">+S87*1.7982%</f>
        <v>999277.72200000007</v>
      </c>
      <c r="T91" s="41">
        <f t="shared" si="212"/>
        <v>0</v>
      </c>
      <c r="U91" s="41">
        <f t="shared" si="212"/>
        <v>0</v>
      </c>
      <c r="V91" s="41">
        <f t="shared" si="212"/>
        <v>0</v>
      </c>
      <c r="W91" s="41">
        <f t="shared" si="212"/>
        <v>0</v>
      </c>
      <c r="X91" s="41">
        <f t="shared" si="212"/>
        <v>0</v>
      </c>
      <c r="Y91" s="41">
        <f t="shared" si="212"/>
        <v>0</v>
      </c>
      <c r="Z91" s="41">
        <f t="shared" si="212"/>
        <v>0</v>
      </c>
      <c r="AA91" s="128">
        <f t="shared" si="194"/>
        <v>999277.72200000007</v>
      </c>
      <c r="AB91" s="128">
        <f t="shared" si="180"/>
        <v>15440136.408</v>
      </c>
      <c r="AC91" s="175">
        <f t="shared" si="181"/>
        <v>0.21466099999999999</v>
      </c>
    </row>
    <row r="92" spans="1:29" ht="42.75" hidden="1" x14ac:dyDescent="0.2">
      <c r="B92" s="76" t="s">
        <v>473</v>
      </c>
      <c r="C92" s="77" t="s">
        <v>155</v>
      </c>
      <c r="D92" s="330">
        <f>+D87*0.881118%</f>
        <v>35244720</v>
      </c>
      <c r="E92" s="188">
        <f>SUM('ADICIONES  2021'!C92:I92)</f>
        <v>0</v>
      </c>
      <c r="F92" s="41">
        <f t="shared" ref="F92:J92" si="213">+F87*0.881118%</f>
        <v>0</v>
      </c>
      <c r="G92" s="41">
        <f t="shared" si="213"/>
        <v>0</v>
      </c>
      <c r="H92" s="41">
        <f t="shared" si="213"/>
        <v>0</v>
      </c>
      <c r="I92" s="41">
        <f t="shared" si="213"/>
        <v>0</v>
      </c>
      <c r="J92" s="41">
        <f t="shared" si="213"/>
        <v>0</v>
      </c>
      <c r="K92" s="128">
        <f t="shared" si="170"/>
        <v>35244720</v>
      </c>
      <c r="L92" s="41">
        <f t="shared" ref="L92:Q92" si="214">+L87*0.881118%</f>
        <v>1173199.8058199999</v>
      </c>
      <c r="M92" s="41">
        <f t="shared" si="214"/>
        <v>1157013.6681600001</v>
      </c>
      <c r="N92" s="41">
        <f t="shared" si="214"/>
        <v>2235695.94612</v>
      </c>
      <c r="O92" s="41">
        <f t="shared" si="214"/>
        <v>773621.60400000005</v>
      </c>
      <c r="P92" s="41">
        <f t="shared" si="214"/>
        <v>910926.22193999996</v>
      </c>
      <c r="Q92" s="409">
        <f t="shared" si="214"/>
        <v>825563.51009999996</v>
      </c>
      <c r="R92" s="128">
        <f t="shared" si="178"/>
        <v>7076020.7561399993</v>
      </c>
      <c r="S92" s="41">
        <f t="shared" ref="S92:Z92" si="215">+S87*0.881118%</f>
        <v>489646.08377999999</v>
      </c>
      <c r="T92" s="41">
        <f t="shared" si="215"/>
        <v>0</v>
      </c>
      <c r="U92" s="41">
        <f t="shared" si="215"/>
        <v>0</v>
      </c>
      <c r="V92" s="41">
        <f t="shared" si="215"/>
        <v>0</v>
      </c>
      <c r="W92" s="41">
        <f t="shared" si="215"/>
        <v>0</v>
      </c>
      <c r="X92" s="41">
        <f t="shared" si="215"/>
        <v>0</v>
      </c>
      <c r="Y92" s="41">
        <f t="shared" si="215"/>
        <v>0</v>
      </c>
      <c r="Z92" s="41">
        <f t="shared" si="215"/>
        <v>0</v>
      </c>
      <c r="AA92" s="128">
        <f t="shared" si="194"/>
        <v>489646.08377999999</v>
      </c>
      <c r="AB92" s="128">
        <f t="shared" si="180"/>
        <v>7565666.8399199992</v>
      </c>
      <c r="AC92" s="175">
        <f t="shared" si="181"/>
        <v>0.21466099999999999</v>
      </c>
    </row>
    <row r="93" spans="1:29" s="63" customFormat="1" ht="30" hidden="1" x14ac:dyDescent="0.2">
      <c r="A93" s="399"/>
      <c r="B93" s="81" t="s">
        <v>474</v>
      </c>
      <c r="C93" s="194" t="s">
        <v>475</v>
      </c>
      <c r="D93" s="329">
        <f>+D94</f>
        <v>16000000000</v>
      </c>
      <c r="E93" s="187">
        <f>SUM('ADICIONES  2021'!C93:I93)</f>
        <v>0</v>
      </c>
      <c r="F93" s="223">
        <f t="shared" ref="F93:Z93" si="216">+F94</f>
        <v>0</v>
      </c>
      <c r="G93" s="223">
        <f t="shared" si="216"/>
        <v>0</v>
      </c>
      <c r="H93" s="223">
        <f t="shared" si="216"/>
        <v>0</v>
      </c>
      <c r="I93" s="223">
        <f t="shared" si="216"/>
        <v>0</v>
      </c>
      <c r="J93" s="223">
        <f t="shared" si="216"/>
        <v>0</v>
      </c>
      <c r="K93" s="78">
        <f t="shared" si="170"/>
        <v>16000000000</v>
      </c>
      <c r="L93" s="223">
        <f t="shared" si="216"/>
        <v>2256310592</v>
      </c>
      <c r="M93" s="223">
        <f t="shared" si="216"/>
        <v>501577217</v>
      </c>
      <c r="N93" s="223">
        <f t="shared" si="216"/>
        <v>1172862674</v>
      </c>
      <c r="O93" s="223">
        <f t="shared" si="216"/>
        <v>1313844793</v>
      </c>
      <c r="P93" s="223">
        <f t="shared" si="216"/>
        <v>1447433120</v>
      </c>
      <c r="Q93" s="407">
        <f t="shared" si="216"/>
        <v>1215837824</v>
      </c>
      <c r="R93" s="78">
        <f t="shared" si="178"/>
        <v>7907866220</v>
      </c>
      <c r="S93" s="223">
        <f t="shared" si="216"/>
        <v>1045183945</v>
      </c>
      <c r="T93" s="223">
        <f t="shared" si="216"/>
        <v>0</v>
      </c>
      <c r="U93" s="223">
        <f t="shared" si="216"/>
        <v>0</v>
      </c>
      <c r="V93" s="223">
        <f t="shared" si="216"/>
        <v>0</v>
      </c>
      <c r="W93" s="223">
        <f t="shared" si="216"/>
        <v>0</v>
      </c>
      <c r="X93" s="223">
        <f t="shared" si="216"/>
        <v>0</v>
      </c>
      <c r="Y93" s="223">
        <f t="shared" si="216"/>
        <v>0</v>
      </c>
      <c r="Z93" s="223">
        <f t="shared" si="216"/>
        <v>0</v>
      </c>
      <c r="AA93" s="78">
        <f t="shared" si="194"/>
        <v>1045183945</v>
      </c>
      <c r="AB93" s="78">
        <f t="shared" si="180"/>
        <v>8953050165</v>
      </c>
      <c r="AC93" s="174">
        <f t="shared" si="181"/>
        <v>0.55956563531250003</v>
      </c>
    </row>
    <row r="94" spans="1:29" s="63" customFormat="1" ht="31.5" x14ac:dyDescent="0.2">
      <c r="A94" s="399">
        <v>1</v>
      </c>
      <c r="B94" s="81" t="s">
        <v>476</v>
      </c>
      <c r="C94" s="79" t="s">
        <v>477</v>
      </c>
      <c r="D94" s="329">
        <f>+D95+D102</f>
        <v>16000000000</v>
      </c>
      <c r="E94" s="187">
        <f>SUM('ADICIONES  2021'!C94:I94)</f>
        <v>0</v>
      </c>
      <c r="F94" s="223">
        <f t="shared" ref="F94:J94" si="217">+F95+F102</f>
        <v>0</v>
      </c>
      <c r="G94" s="223">
        <f t="shared" si="217"/>
        <v>0</v>
      </c>
      <c r="H94" s="223">
        <f t="shared" si="217"/>
        <v>0</v>
      </c>
      <c r="I94" s="223">
        <f t="shared" si="217"/>
        <v>0</v>
      </c>
      <c r="J94" s="223">
        <f t="shared" si="217"/>
        <v>0</v>
      </c>
      <c r="K94" s="78">
        <f t="shared" si="170"/>
        <v>16000000000</v>
      </c>
      <c r="L94" s="223">
        <f t="shared" ref="L94:Q94" si="218">+L95+L102</f>
        <v>2256310592</v>
      </c>
      <c r="M94" s="223">
        <f t="shared" si="218"/>
        <v>501577217</v>
      </c>
      <c r="N94" s="223">
        <f t="shared" si="218"/>
        <v>1172862674</v>
      </c>
      <c r="O94" s="223">
        <f t="shared" si="218"/>
        <v>1313844793</v>
      </c>
      <c r="P94" s="223">
        <f t="shared" si="218"/>
        <v>1447433120</v>
      </c>
      <c r="Q94" s="223">
        <f t="shared" si="218"/>
        <v>1215837824</v>
      </c>
      <c r="R94" s="78">
        <f t="shared" si="178"/>
        <v>7907866220</v>
      </c>
      <c r="S94" s="223">
        <f t="shared" ref="S94:Z94" si="219">+S95+S102</f>
        <v>1045183945</v>
      </c>
      <c r="T94" s="223">
        <f t="shared" si="219"/>
        <v>0</v>
      </c>
      <c r="U94" s="223">
        <f t="shared" si="219"/>
        <v>0</v>
      </c>
      <c r="V94" s="223">
        <f t="shared" si="219"/>
        <v>0</v>
      </c>
      <c r="W94" s="223">
        <f t="shared" si="219"/>
        <v>0</v>
      </c>
      <c r="X94" s="223">
        <f t="shared" si="219"/>
        <v>0</v>
      </c>
      <c r="Y94" s="223">
        <f t="shared" si="219"/>
        <v>0</v>
      </c>
      <c r="Z94" s="223">
        <f t="shared" si="219"/>
        <v>0</v>
      </c>
      <c r="AA94" s="78">
        <f t="shared" si="194"/>
        <v>1045183945</v>
      </c>
      <c r="AB94" s="78">
        <f t="shared" si="180"/>
        <v>8953050165</v>
      </c>
      <c r="AC94" s="174">
        <f t="shared" si="181"/>
        <v>0.55956563531250003</v>
      </c>
    </row>
    <row r="95" spans="1:29" s="19" customFormat="1" ht="30" x14ac:dyDescent="0.2">
      <c r="A95" s="71">
        <v>1</v>
      </c>
      <c r="B95" s="82" t="s">
        <v>478</v>
      </c>
      <c r="C95" s="83" t="s">
        <v>479</v>
      </c>
      <c r="D95" s="333">
        <v>0</v>
      </c>
      <c r="E95" s="187">
        <f>SUM('ADICIONES  2021'!C95:I95)</f>
        <v>0</v>
      </c>
      <c r="F95" s="78"/>
      <c r="G95" s="78"/>
      <c r="H95" s="78"/>
      <c r="I95" s="78"/>
      <c r="J95" s="78"/>
      <c r="K95" s="126">
        <f t="shared" si="170"/>
        <v>0</v>
      </c>
      <c r="L95" s="126">
        <v>0</v>
      </c>
      <c r="M95" s="126">
        <v>0</v>
      </c>
      <c r="N95" s="126">
        <v>0</v>
      </c>
      <c r="O95" s="126">
        <v>0</v>
      </c>
      <c r="P95" s="126">
        <v>0</v>
      </c>
      <c r="Q95" s="126">
        <v>0</v>
      </c>
      <c r="R95" s="78">
        <f t="shared" si="178"/>
        <v>0</v>
      </c>
      <c r="S95" s="126">
        <v>0</v>
      </c>
      <c r="T95" s="78"/>
      <c r="U95" s="78"/>
      <c r="V95" s="78"/>
      <c r="W95" s="78"/>
      <c r="X95" s="78"/>
      <c r="Y95" s="126"/>
      <c r="Z95" s="78"/>
      <c r="AA95" s="78">
        <f t="shared" si="194"/>
        <v>0</v>
      </c>
      <c r="AB95" s="126">
        <f t="shared" si="180"/>
        <v>0</v>
      </c>
      <c r="AC95" s="180">
        <v>0</v>
      </c>
    </row>
    <row r="96" spans="1:29" ht="42.75" hidden="1" x14ac:dyDescent="0.2">
      <c r="B96" s="76" t="s">
        <v>480</v>
      </c>
      <c r="C96" s="77" t="s">
        <v>156</v>
      </c>
      <c r="D96" s="330">
        <f>+D95*82.8691479%</f>
        <v>0</v>
      </c>
      <c r="E96" s="188">
        <f>SUM('ADICIONES  2021'!C96:I96)</f>
        <v>0</v>
      </c>
      <c r="F96" s="41">
        <f t="shared" ref="F96:J96" si="220">+F95*82.8691479%</f>
        <v>0</v>
      </c>
      <c r="G96" s="41">
        <f t="shared" si="220"/>
        <v>0</v>
      </c>
      <c r="H96" s="41">
        <f t="shared" si="220"/>
        <v>0</v>
      </c>
      <c r="I96" s="41">
        <f t="shared" si="220"/>
        <v>0</v>
      </c>
      <c r="J96" s="41">
        <f t="shared" si="220"/>
        <v>0</v>
      </c>
      <c r="K96" s="128">
        <f t="shared" si="170"/>
        <v>0</v>
      </c>
      <c r="L96" s="41">
        <f t="shared" ref="L96:Q96" si="221">+L95*82.8691479%</f>
        <v>0</v>
      </c>
      <c r="M96" s="41">
        <f t="shared" si="221"/>
        <v>0</v>
      </c>
      <c r="N96" s="41">
        <f t="shared" si="221"/>
        <v>0</v>
      </c>
      <c r="O96" s="41">
        <f t="shared" si="221"/>
        <v>0</v>
      </c>
      <c r="P96" s="41">
        <f t="shared" si="221"/>
        <v>0</v>
      </c>
      <c r="Q96" s="409">
        <f t="shared" si="221"/>
        <v>0</v>
      </c>
      <c r="R96" s="128">
        <f t="shared" si="178"/>
        <v>0</v>
      </c>
      <c r="S96" s="41">
        <f t="shared" ref="S96:Z96" si="222">+S95*82.8691479%</f>
        <v>0</v>
      </c>
      <c r="T96" s="41">
        <f t="shared" si="222"/>
        <v>0</v>
      </c>
      <c r="U96" s="41">
        <f t="shared" si="222"/>
        <v>0</v>
      </c>
      <c r="V96" s="41">
        <f t="shared" si="222"/>
        <v>0</v>
      </c>
      <c r="W96" s="41">
        <f t="shared" si="222"/>
        <v>0</v>
      </c>
      <c r="X96" s="41">
        <f t="shared" si="222"/>
        <v>0</v>
      </c>
      <c r="Y96" s="41">
        <f t="shared" si="222"/>
        <v>0</v>
      </c>
      <c r="Z96" s="41">
        <f t="shared" si="222"/>
        <v>0</v>
      </c>
      <c r="AA96" s="128">
        <f t="shared" si="194"/>
        <v>0</v>
      </c>
      <c r="AB96" s="128">
        <f t="shared" si="180"/>
        <v>0</v>
      </c>
      <c r="AC96" s="175">
        <v>0</v>
      </c>
    </row>
    <row r="97" spans="1:29" ht="28.5" hidden="1" x14ac:dyDescent="0.2">
      <c r="B97" s="76" t="s">
        <v>481</v>
      </c>
      <c r="C97" s="77" t="s">
        <v>157</v>
      </c>
      <c r="D97" s="330">
        <f>+D95*0.095%</f>
        <v>0</v>
      </c>
      <c r="E97" s="188">
        <f>SUM('ADICIONES  2021'!C97:I97)</f>
        <v>0</v>
      </c>
      <c r="F97" s="41">
        <f t="shared" ref="F97:J97" si="223">+F95*0.095%</f>
        <v>0</v>
      </c>
      <c r="G97" s="41">
        <f t="shared" si="223"/>
        <v>0</v>
      </c>
      <c r="H97" s="41">
        <f t="shared" si="223"/>
        <v>0</v>
      </c>
      <c r="I97" s="41">
        <f t="shared" si="223"/>
        <v>0</v>
      </c>
      <c r="J97" s="41">
        <f t="shared" si="223"/>
        <v>0</v>
      </c>
      <c r="K97" s="128">
        <f t="shared" si="170"/>
        <v>0</v>
      </c>
      <c r="L97" s="41">
        <f t="shared" ref="L97:Q97" si="224">+L95*0.095%</f>
        <v>0</v>
      </c>
      <c r="M97" s="41">
        <f t="shared" si="224"/>
        <v>0</v>
      </c>
      <c r="N97" s="41">
        <f t="shared" si="224"/>
        <v>0</v>
      </c>
      <c r="O97" s="41">
        <f t="shared" si="224"/>
        <v>0</v>
      </c>
      <c r="P97" s="41">
        <f t="shared" si="224"/>
        <v>0</v>
      </c>
      <c r="Q97" s="409">
        <f t="shared" si="224"/>
        <v>0</v>
      </c>
      <c r="R97" s="128">
        <f t="shared" si="178"/>
        <v>0</v>
      </c>
      <c r="S97" s="41">
        <f t="shared" ref="S97:Z97" si="225">+S95*0.095%</f>
        <v>0</v>
      </c>
      <c r="T97" s="41">
        <f t="shared" si="225"/>
        <v>0</v>
      </c>
      <c r="U97" s="41">
        <f t="shared" si="225"/>
        <v>0</v>
      </c>
      <c r="V97" s="41">
        <f t="shared" si="225"/>
        <v>0</v>
      </c>
      <c r="W97" s="41">
        <f t="shared" si="225"/>
        <v>0</v>
      </c>
      <c r="X97" s="41">
        <f t="shared" si="225"/>
        <v>0</v>
      </c>
      <c r="Y97" s="41">
        <f t="shared" si="225"/>
        <v>0</v>
      </c>
      <c r="Z97" s="41">
        <f t="shared" si="225"/>
        <v>0</v>
      </c>
      <c r="AA97" s="128">
        <f t="shared" si="194"/>
        <v>0</v>
      </c>
      <c r="AB97" s="128">
        <f t="shared" si="180"/>
        <v>0</v>
      </c>
      <c r="AC97" s="175">
        <v>0</v>
      </c>
    </row>
    <row r="98" spans="1:29" ht="28.5" hidden="1" x14ac:dyDescent="0.2">
      <c r="B98" s="76" t="s">
        <v>482</v>
      </c>
      <c r="C98" s="77" t="s">
        <v>158</v>
      </c>
      <c r="D98" s="330">
        <f>+D95*5%</f>
        <v>0</v>
      </c>
      <c r="E98" s="188">
        <f>SUM('ADICIONES  2021'!C98:I98)</f>
        <v>0</v>
      </c>
      <c r="F98" s="41">
        <f t="shared" ref="F98:J98" si="226">+F95*5%</f>
        <v>0</v>
      </c>
      <c r="G98" s="41">
        <f t="shared" si="226"/>
        <v>0</v>
      </c>
      <c r="H98" s="41">
        <f t="shared" si="226"/>
        <v>0</v>
      </c>
      <c r="I98" s="41">
        <f t="shared" si="226"/>
        <v>0</v>
      </c>
      <c r="J98" s="41">
        <f t="shared" si="226"/>
        <v>0</v>
      </c>
      <c r="K98" s="128">
        <f t="shared" si="170"/>
        <v>0</v>
      </c>
      <c r="L98" s="41">
        <f t="shared" ref="L98:Q98" si="227">+L95*5%</f>
        <v>0</v>
      </c>
      <c r="M98" s="41">
        <f t="shared" si="227"/>
        <v>0</v>
      </c>
      <c r="N98" s="41">
        <f t="shared" si="227"/>
        <v>0</v>
      </c>
      <c r="O98" s="41">
        <f t="shared" si="227"/>
        <v>0</v>
      </c>
      <c r="P98" s="41">
        <f t="shared" si="227"/>
        <v>0</v>
      </c>
      <c r="Q98" s="409">
        <f t="shared" si="227"/>
        <v>0</v>
      </c>
      <c r="R98" s="128">
        <f t="shared" si="178"/>
        <v>0</v>
      </c>
      <c r="S98" s="41">
        <f t="shared" ref="S98:Z98" si="228">+S95*5%</f>
        <v>0</v>
      </c>
      <c r="T98" s="41">
        <f t="shared" si="228"/>
        <v>0</v>
      </c>
      <c r="U98" s="41">
        <f t="shared" si="228"/>
        <v>0</v>
      </c>
      <c r="V98" s="41">
        <f t="shared" si="228"/>
        <v>0</v>
      </c>
      <c r="W98" s="41">
        <f t="shared" si="228"/>
        <v>0</v>
      </c>
      <c r="X98" s="41">
        <f t="shared" si="228"/>
        <v>0</v>
      </c>
      <c r="Y98" s="41">
        <f t="shared" si="228"/>
        <v>0</v>
      </c>
      <c r="Z98" s="41">
        <f t="shared" si="228"/>
        <v>0</v>
      </c>
      <c r="AA98" s="128">
        <f t="shared" si="194"/>
        <v>0</v>
      </c>
      <c r="AB98" s="128">
        <f t="shared" si="180"/>
        <v>0</v>
      </c>
      <c r="AC98" s="175">
        <v>0</v>
      </c>
    </row>
    <row r="99" spans="1:29" ht="28.5" hidden="1" x14ac:dyDescent="0.2">
      <c r="B99" s="76" t="s">
        <v>483</v>
      </c>
      <c r="C99" s="154" t="s">
        <v>159</v>
      </c>
      <c r="D99" s="330">
        <f>+D95*9.4905%</f>
        <v>0</v>
      </c>
      <c r="E99" s="188">
        <f>SUM('ADICIONES  2021'!C99:I99)</f>
        <v>0</v>
      </c>
      <c r="F99" s="41">
        <f t="shared" ref="F99:J99" si="229">+F95*9.4905%</f>
        <v>0</v>
      </c>
      <c r="G99" s="41">
        <f t="shared" si="229"/>
        <v>0</v>
      </c>
      <c r="H99" s="41">
        <f t="shared" si="229"/>
        <v>0</v>
      </c>
      <c r="I99" s="41">
        <f t="shared" si="229"/>
        <v>0</v>
      </c>
      <c r="J99" s="41">
        <f t="shared" si="229"/>
        <v>0</v>
      </c>
      <c r="K99" s="128">
        <f t="shared" si="170"/>
        <v>0</v>
      </c>
      <c r="L99" s="41">
        <f t="shared" ref="L99:Q99" si="230">+L95*9.4905%</f>
        <v>0</v>
      </c>
      <c r="M99" s="41">
        <f t="shared" si="230"/>
        <v>0</v>
      </c>
      <c r="N99" s="41">
        <f t="shared" si="230"/>
        <v>0</v>
      </c>
      <c r="O99" s="41">
        <f t="shared" si="230"/>
        <v>0</v>
      </c>
      <c r="P99" s="41">
        <f t="shared" si="230"/>
        <v>0</v>
      </c>
      <c r="Q99" s="409">
        <f t="shared" si="230"/>
        <v>0</v>
      </c>
      <c r="R99" s="128">
        <f t="shared" si="178"/>
        <v>0</v>
      </c>
      <c r="S99" s="41">
        <f t="shared" ref="S99:Z99" si="231">+S95*9.4905%</f>
        <v>0</v>
      </c>
      <c r="T99" s="41">
        <f t="shared" si="231"/>
        <v>0</v>
      </c>
      <c r="U99" s="41">
        <f t="shared" si="231"/>
        <v>0</v>
      </c>
      <c r="V99" s="41">
        <f t="shared" si="231"/>
        <v>0</v>
      </c>
      <c r="W99" s="41">
        <f t="shared" si="231"/>
        <v>0</v>
      </c>
      <c r="X99" s="41">
        <f t="shared" si="231"/>
        <v>0</v>
      </c>
      <c r="Y99" s="41">
        <f t="shared" si="231"/>
        <v>0</v>
      </c>
      <c r="Z99" s="41">
        <f t="shared" si="231"/>
        <v>0</v>
      </c>
      <c r="AA99" s="128">
        <f t="shared" si="194"/>
        <v>0</v>
      </c>
      <c r="AB99" s="128">
        <f t="shared" si="180"/>
        <v>0</v>
      </c>
      <c r="AC99" s="175">
        <v>0</v>
      </c>
    </row>
    <row r="100" spans="1:29" ht="28.5" hidden="1" x14ac:dyDescent="0.2">
      <c r="B100" s="76" t="s">
        <v>484</v>
      </c>
      <c r="C100" s="77" t="s">
        <v>160</v>
      </c>
      <c r="D100" s="330">
        <f>+D95*1.70829%</f>
        <v>0</v>
      </c>
      <c r="E100" s="188">
        <f>SUM('ADICIONES  2021'!C100:I100)</f>
        <v>0</v>
      </c>
      <c r="F100" s="41">
        <f t="shared" ref="F100:J100" si="232">+F95*1.70829%</f>
        <v>0</v>
      </c>
      <c r="G100" s="41">
        <f t="shared" si="232"/>
        <v>0</v>
      </c>
      <c r="H100" s="41">
        <f t="shared" si="232"/>
        <v>0</v>
      </c>
      <c r="I100" s="41">
        <f t="shared" si="232"/>
        <v>0</v>
      </c>
      <c r="J100" s="41">
        <f t="shared" si="232"/>
        <v>0</v>
      </c>
      <c r="K100" s="128">
        <f t="shared" si="170"/>
        <v>0</v>
      </c>
      <c r="L100" s="41">
        <f t="shared" ref="L100:Q100" si="233">+L95*1.70829%</f>
        <v>0</v>
      </c>
      <c r="M100" s="41">
        <f t="shared" si="233"/>
        <v>0</v>
      </c>
      <c r="N100" s="41">
        <f t="shared" si="233"/>
        <v>0</v>
      </c>
      <c r="O100" s="41">
        <f t="shared" si="233"/>
        <v>0</v>
      </c>
      <c r="P100" s="41">
        <f t="shared" si="233"/>
        <v>0</v>
      </c>
      <c r="Q100" s="409">
        <f t="shared" si="233"/>
        <v>0</v>
      </c>
      <c r="R100" s="128">
        <f t="shared" si="178"/>
        <v>0</v>
      </c>
      <c r="S100" s="41">
        <f t="shared" ref="S100:Z100" si="234">+S95*1.70829%</f>
        <v>0</v>
      </c>
      <c r="T100" s="41">
        <f t="shared" si="234"/>
        <v>0</v>
      </c>
      <c r="U100" s="41">
        <f t="shared" si="234"/>
        <v>0</v>
      </c>
      <c r="V100" s="41">
        <f t="shared" si="234"/>
        <v>0</v>
      </c>
      <c r="W100" s="41">
        <f t="shared" si="234"/>
        <v>0</v>
      </c>
      <c r="X100" s="41">
        <f t="shared" si="234"/>
        <v>0</v>
      </c>
      <c r="Y100" s="41">
        <f t="shared" si="234"/>
        <v>0</v>
      </c>
      <c r="Z100" s="41">
        <f t="shared" si="234"/>
        <v>0</v>
      </c>
      <c r="AA100" s="128">
        <f t="shared" si="194"/>
        <v>0</v>
      </c>
      <c r="AB100" s="128">
        <f t="shared" si="180"/>
        <v>0</v>
      </c>
      <c r="AC100" s="175">
        <v>0</v>
      </c>
    </row>
    <row r="101" spans="1:29" ht="42.75" hidden="1" x14ac:dyDescent="0.2">
      <c r="B101" s="76" t="s">
        <v>485</v>
      </c>
      <c r="C101" s="77" t="s">
        <v>161</v>
      </c>
      <c r="D101" s="330">
        <f>+D95*0.8370621%</f>
        <v>0</v>
      </c>
      <c r="E101" s="188">
        <f>SUM('ADICIONES  2021'!C101:I101)</f>
        <v>0</v>
      </c>
      <c r="F101" s="41">
        <f t="shared" ref="F101:J101" si="235">+F95*0.8370621%</f>
        <v>0</v>
      </c>
      <c r="G101" s="41">
        <f t="shared" si="235"/>
        <v>0</v>
      </c>
      <c r="H101" s="41">
        <f t="shared" si="235"/>
        <v>0</v>
      </c>
      <c r="I101" s="41">
        <f t="shared" si="235"/>
        <v>0</v>
      </c>
      <c r="J101" s="41">
        <f t="shared" si="235"/>
        <v>0</v>
      </c>
      <c r="K101" s="128">
        <f t="shared" si="170"/>
        <v>0</v>
      </c>
      <c r="L101" s="41">
        <f t="shared" ref="L101:Q101" si="236">+L95*0.8370621%</f>
        <v>0</v>
      </c>
      <c r="M101" s="41">
        <f t="shared" si="236"/>
        <v>0</v>
      </c>
      <c r="N101" s="41">
        <f t="shared" si="236"/>
        <v>0</v>
      </c>
      <c r="O101" s="41">
        <f t="shared" si="236"/>
        <v>0</v>
      </c>
      <c r="P101" s="41">
        <f t="shared" si="236"/>
        <v>0</v>
      </c>
      <c r="Q101" s="409">
        <f t="shared" si="236"/>
        <v>0</v>
      </c>
      <c r="R101" s="128">
        <f t="shared" si="178"/>
        <v>0</v>
      </c>
      <c r="S101" s="41">
        <f t="shared" ref="S101:Z101" si="237">+S95*0.8370621%</f>
        <v>0</v>
      </c>
      <c r="T101" s="41">
        <f t="shared" si="237"/>
        <v>0</v>
      </c>
      <c r="U101" s="41">
        <f t="shared" si="237"/>
        <v>0</v>
      </c>
      <c r="V101" s="41">
        <f t="shared" si="237"/>
        <v>0</v>
      </c>
      <c r="W101" s="41">
        <f t="shared" si="237"/>
        <v>0</v>
      </c>
      <c r="X101" s="41">
        <f t="shared" si="237"/>
        <v>0</v>
      </c>
      <c r="Y101" s="41">
        <f t="shared" si="237"/>
        <v>0</v>
      </c>
      <c r="Z101" s="41">
        <f t="shared" si="237"/>
        <v>0</v>
      </c>
      <c r="AA101" s="128">
        <f t="shared" si="194"/>
        <v>0</v>
      </c>
      <c r="AB101" s="128">
        <f t="shared" si="180"/>
        <v>0</v>
      </c>
      <c r="AC101" s="175">
        <v>0</v>
      </c>
    </row>
    <row r="102" spans="1:29" s="19" customFormat="1" ht="30" x14ac:dyDescent="0.2">
      <c r="A102" s="71">
        <v>1</v>
      </c>
      <c r="B102" s="82" t="s">
        <v>486</v>
      </c>
      <c r="C102" s="83" t="s">
        <v>487</v>
      </c>
      <c r="D102" s="333">
        <v>16000000000</v>
      </c>
      <c r="E102" s="187">
        <f>SUM('ADICIONES  2021'!C102:I102)</f>
        <v>0</v>
      </c>
      <c r="F102" s="78"/>
      <c r="G102" s="78"/>
      <c r="H102" s="78"/>
      <c r="I102" s="78"/>
      <c r="J102" s="78"/>
      <c r="K102" s="126">
        <f t="shared" si="170"/>
        <v>16000000000</v>
      </c>
      <c r="L102" s="126">
        <v>2256310592</v>
      </c>
      <c r="M102" s="126">
        <v>501577217</v>
      </c>
      <c r="N102" s="126">
        <v>1172862674</v>
      </c>
      <c r="O102" s="126">
        <v>1313844793</v>
      </c>
      <c r="P102" s="126">
        <v>1447433120</v>
      </c>
      <c r="Q102" s="126">
        <v>1215837824</v>
      </c>
      <c r="R102" s="78">
        <f t="shared" si="178"/>
        <v>7907866220</v>
      </c>
      <c r="S102" s="126">
        <v>1045183945</v>
      </c>
      <c r="T102" s="78"/>
      <c r="U102" s="78"/>
      <c r="V102" s="78"/>
      <c r="W102" s="78"/>
      <c r="X102" s="78"/>
      <c r="Y102" s="126"/>
      <c r="Z102" s="78"/>
      <c r="AA102" s="78">
        <f t="shared" si="194"/>
        <v>1045183945</v>
      </c>
      <c r="AB102" s="126">
        <f t="shared" si="180"/>
        <v>8953050165</v>
      </c>
      <c r="AC102" s="180">
        <f t="shared" si="181"/>
        <v>0.55956563531250003</v>
      </c>
    </row>
    <row r="103" spans="1:29" ht="42.75" hidden="1" x14ac:dyDescent="0.2">
      <c r="B103" s="76" t="s">
        <v>488</v>
      </c>
      <c r="C103" s="77" t="s">
        <v>162</v>
      </c>
      <c r="D103" s="330">
        <f>+D102*82.8691479%</f>
        <v>13259063664.000002</v>
      </c>
      <c r="E103" s="188">
        <f>SUM('ADICIONES  2021'!C103:I103)</f>
        <v>0</v>
      </c>
      <c r="F103" s="41">
        <f t="shared" ref="F103:J103" si="238">+F102*82.8691479%</f>
        <v>0</v>
      </c>
      <c r="G103" s="41">
        <f t="shared" si="238"/>
        <v>0</v>
      </c>
      <c r="H103" s="41">
        <f t="shared" si="238"/>
        <v>0</v>
      </c>
      <c r="I103" s="41">
        <f t="shared" si="238"/>
        <v>0</v>
      </c>
      <c r="J103" s="41">
        <f t="shared" si="238"/>
        <v>0</v>
      </c>
      <c r="K103" s="128">
        <f t="shared" si="170"/>
        <v>13259063664.000002</v>
      </c>
      <c r="L103" s="41">
        <f t="shared" ref="L103:Q103" si="239">+L102*82.8691479%</f>
        <v>1869785361.5678458</v>
      </c>
      <c r="M103" s="41">
        <f t="shared" si="239"/>
        <v>415652765.78843397</v>
      </c>
      <c r="N103" s="41">
        <f t="shared" si="239"/>
        <v>971941303.98095489</v>
      </c>
      <c r="O103" s="41">
        <f t="shared" si="239"/>
        <v>1088771984.687619</v>
      </c>
      <c r="P103" s="41">
        <f t="shared" si="239"/>
        <v>1199475492.9663846</v>
      </c>
      <c r="Q103" s="409">
        <f t="shared" si="239"/>
        <v>1007554444.5947018</v>
      </c>
      <c r="R103" s="128">
        <f t="shared" si="178"/>
        <v>6553181353.5859404</v>
      </c>
      <c r="S103" s="41">
        <f t="shared" ref="S103:Z103" si="240">+S102*82.8691479%</f>
        <v>866135029.20910478</v>
      </c>
      <c r="T103" s="41">
        <f t="shared" si="240"/>
        <v>0</v>
      </c>
      <c r="U103" s="41">
        <f t="shared" si="240"/>
        <v>0</v>
      </c>
      <c r="V103" s="41">
        <f t="shared" si="240"/>
        <v>0</v>
      </c>
      <c r="W103" s="41">
        <f t="shared" si="240"/>
        <v>0</v>
      </c>
      <c r="X103" s="41">
        <f t="shared" si="240"/>
        <v>0</v>
      </c>
      <c r="Y103" s="41">
        <f t="shared" si="240"/>
        <v>0</v>
      </c>
      <c r="Z103" s="41">
        <f t="shared" si="240"/>
        <v>0</v>
      </c>
      <c r="AA103" s="128">
        <f t="shared" si="194"/>
        <v>866135029.20910478</v>
      </c>
      <c r="AB103" s="128">
        <f t="shared" si="180"/>
        <v>7419316382.7950449</v>
      </c>
      <c r="AC103" s="175">
        <f t="shared" si="181"/>
        <v>0.55956563531250003</v>
      </c>
    </row>
    <row r="104" spans="1:29" ht="28.5" hidden="1" x14ac:dyDescent="0.2">
      <c r="B104" s="76" t="s">
        <v>489</v>
      </c>
      <c r="C104" s="77" t="s">
        <v>163</v>
      </c>
      <c r="D104" s="330">
        <f>+D102*0.095%</f>
        <v>15200000</v>
      </c>
      <c r="E104" s="188">
        <f>SUM('ADICIONES  2021'!C104:I104)</f>
        <v>0</v>
      </c>
      <c r="F104" s="41">
        <f t="shared" ref="F104:J104" si="241">+F102*0.095%</f>
        <v>0</v>
      </c>
      <c r="G104" s="41">
        <f t="shared" si="241"/>
        <v>0</v>
      </c>
      <c r="H104" s="41">
        <f t="shared" si="241"/>
        <v>0</v>
      </c>
      <c r="I104" s="41">
        <f t="shared" si="241"/>
        <v>0</v>
      </c>
      <c r="J104" s="41">
        <f t="shared" si="241"/>
        <v>0</v>
      </c>
      <c r="K104" s="128">
        <f t="shared" si="170"/>
        <v>15200000</v>
      </c>
      <c r="L104" s="41">
        <f t="shared" ref="L104:Q104" si="242">+L102*0.095%</f>
        <v>2143495.0624000002</v>
      </c>
      <c r="M104" s="41">
        <f t="shared" si="242"/>
        <v>476498.35615000001</v>
      </c>
      <c r="N104" s="41">
        <f t="shared" si="242"/>
        <v>1114219.5403</v>
      </c>
      <c r="O104" s="41">
        <f t="shared" si="242"/>
        <v>1248152.5533499999</v>
      </c>
      <c r="P104" s="41">
        <f t="shared" si="242"/>
        <v>1375061.4639999999</v>
      </c>
      <c r="Q104" s="409">
        <f t="shared" si="242"/>
        <v>1155045.9328000001</v>
      </c>
      <c r="R104" s="128">
        <f t="shared" si="178"/>
        <v>7512472.909</v>
      </c>
      <c r="S104" s="41">
        <f t="shared" ref="S104:Z104" si="243">+S102*0.095%</f>
        <v>992924.74774999998</v>
      </c>
      <c r="T104" s="41">
        <f t="shared" si="243"/>
        <v>0</v>
      </c>
      <c r="U104" s="41">
        <f t="shared" si="243"/>
        <v>0</v>
      </c>
      <c r="V104" s="41">
        <f t="shared" si="243"/>
        <v>0</v>
      </c>
      <c r="W104" s="41">
        <f t="shared" si="243"/>
        <v>0</v>
      </c>
      <c r="X104" s="41">
        <f t="shared" si="243"/>
        <v>0</v>
      </c>
      <c r="Y104" s="41">
        <f t="shared" si="243"/>
        <v>0</v>
      </c>
      <c r="Z104" s="41">
        <f t="shared" si="243"/>
        <v>0</v>
      </c>
      <c r="AA104" s="128">
        <f t="shared" si="194"/>
        <v>992924.74774999998</v>
      </c>
      <c r="AB104" s="128">
        <f t="shared" si="180"/>
        <v>8505397.6567499992</v>
      </c>
      <c r="AC104" s="175">
        <f t="shared" si="181"/>
        <v>0.55956563531249992</v>
      </c>
    </row>
    <row r="105" spans="1:29" ht="28.5" hidden="1" x14ac:dyDescent="0.2">
      <c r="B105" s="76" t="s">
        <v>490</v>
      </c>
      <c r="C105" s="77" t="s">
        <v>164</v>
      </c>
      <c r="D105" s="330">
        <f>+D102*5%</f>
        <v>800000000</v>
      </c>
      <c r="E105" s="188">
        <f>SUM('ADICIONES  2021'!C105:I105)</f>
        <v>0</v>
      </c>
      <c r="F105" s="41">
        <f t="shared" ref="F105:J105" si="244">+F102*5%</f>
        <v>0</v>
      </c>
      <c r="G105" s="41">
        <f t="shared" si="244"/>
        <v>0</v>
      </c>
      <c r="H105" s="41">
        <f t="shared" si="244"/>
        <v>0</v>
      </c>
      <c r="I105" s="41">
        <f t="shared" si="244"/>
        <v>0</v>
      </c>
      <c r="J105" s="41">
        <f t="shared" si="244"/>
        <v>0</v>
      </c>
      <c r="K105" s="128">
        <f t="shared" si="170"/>
        <v>800000000</v>
      </c>
      <c r="L105" s="41">
        <f t="shared" ref="L105:Q105" si="245">+L102*5%</f>
        <v>112815529.60000001</v>
      </c>
      <c r="M105" s="41">
        <f t="shared" si="245"/>
        <v>25078860.850000001</v>
      </c>
      <c r="N105" s="41">
        <f t="shared" si="245"/>
        <v>58643133.700000003</v>
      </c>
      <c r="O105" s="41">
        <f t="shared" si="245"/>
        <v>65692239.650000006</v>
      </c>
      <c r="P105" s="41">
        <f t="shared" si="245"/>
        <v>72371656</v>
      </c>
      <c r="Q105" s="409">
        <f t="shared" si="245"/>
        <v>60791891.200000003</v>
      </c>
      <c r="R105" s="128">
        <f t="shared" si="178"/>
        <v>395393311.00000006</v>
      </c>
      <c r="S105" s="41">
        <f t="shared" ref="S105:Z105" si="246">+S102*5%</f>
        <v>52259197.25</v>
      </c>
      <c r="T105" s="41">
        <f t="shared" si="246"/>
        <v>0</v>
      </c>
      <c r="U105" s="41">
        <f t="shared" si="246"/>
        <v>0</v>
      </c>
      <c r="V105" s="41">
        <f t="shared" si="246"/>
        <v>0</v>
      </c>
      <c r="W105" s="41">
        <f t="shared" si="246"/>
        <v>0</v>
      </c>
      <c r="X105" s="41">
        <f t="shared" si="246"/>
        <v>0</v>
      </c>
      <c r="Y105" s="41">
        <f t="shared" si="246"/>
        <v>0</v>
      </c>
      <c r="Z105" s="41">
        <f t="shared" si="246"/>
        <v>0</v>
      </c>
      <c r="AA105" s="128">
        <f t="shared" si="194"/>
        <v>52259197.25</v>
      </c>
      <c r="AB105" s="128">
        <f t="shared" si="180"/>
        <v>447652508.25000006</v>
      </c>
      <c r="AC105" s="175">
        <f t="shared" si="181"/>
        <v>0.55956563531250003</v>
      </c>
    </row>
    <row r="106" spans="1:29" ht="28.5" hidden="1" x14ac:dyDescent="0.2">
      <c r="B106" s="76" t="s">
        <v>491</v>
      </c>
      <c r="C106" s="154" t="s">
        <v>165</v>
      </c>
      <c r="D106" s="330">
        <f>+D102*9.4905%</f>
        <v>1518480000</v>
      </c>
      <c r="E106" s="188">
        <f>SUM('ADICIONES  2021'!C106:I106)</f>
        <v>0</v>
      </c>
      <c r="F106" s="41">
        <f t="shared" ref="F106:J106" si="247">+F102*9.4905%</f>
        <v>0</v>
      </c>
      <c r="G106" s="41">
        <f t="shared" si="247"/>
        <v>0</v>
      </c>
      <c r="H106" s="41">
        <f t="shared" si="247"/>
        <v>0</v>
      </c>
      <c r="I106" s="41">
        <f t="shared" si="247"/>
        <v>0</v>
      </c>
      <c r="J106" s="41">
        <f t="shared" si="247"/>
        <v>0</v>
      </c>
      <c r="K106" s="128">
        <f t="shared" si="170"/>
        <v>1518480000</v>
      </c>
      <c r="L106" s="41">
        <f t="shared" ref="L106:Q106" si="248">+L102*9.4905%</f>
        <v>214135156.73376</v>
      </c>
      <c r="M106" s="41">
        <f t="shared" si="248"/>
        <v>47602185.779385</v>
      </c>
      <c r="N106" s="41">
        <f t="shared" si="248"/>
        <v>111310532.07597001</v>
      </c>
      <c r="O106" s="41">
        <f t="shared" si="248"/>
        <v>124690440.07966501</v>
      </c>
      <c r="P106" s="41">
        <f t="shared" si="248"/>
        <v>137368640.2536</v>
      </c>
      <c r="Q106" s="409">
        <f t="shared" si="248"/>
        <v>115389088.68672</v>
      </c>
      <c r="R106" s="128">
        <f t="shared" si="178"/>
        <v>750496043.60909998</v>
      </c>
      <c r="S106" s="41">
        <f t="shared" ref="S106:Z106" si="249">+S102*9.4905%</f>
        <v>99193182.300225005</v>
      </c>
      <c r="T106" s="41">
        <f t="shared" si="249"/>
        <v>0</v>
      </c>
      <c r="U106" s="41">
        <f t="shared" si="249"/>
        <v>0</v>
      </c>
      <c r="V106" s="41">
        <f t="shared" si="249"/>
        <v>0</v>
      </c>
      <c r="W106" s="41">
        <f t="shared" si="249"/>
        <v>0</v>
      </c>
      <c r="X106" s="41">
        <f t="shared" si="249"/>
        <v>0</v>
      </c>
      <c r="Y106" s="41">
        <f t="shared" si="249"/>
        <v>0</v>
      </c>
      <c r="Z106" s="41">
        <f t="shared" si="249"/>
        <v>0</v>
      </c>
      <c r="AA106" s="128">
        <f t="shared" si="194"/>
        <v>99193182.300225005</v>
      </c>
      <c r="AB106" s="128">
        <f t="shared" si="180"/>
        <v>849689225.909325</v>
      </c>
      <c r="AC106" s="175">
        <f t="shared" si="181"/>
        <v>0.55956563531250003</v>
      </c>
    </row>
    <row r="107" spans="1:29" ht="28.5" hidden="1" x14ac:dyDescent="0.2">
      <c r="B107" s="76" t="s">
        <v>492</v>
      </c>
      <c r="C107" s="77" t="s">
        <v>166</v>
      </c>
      <c r="D107" s="330">
        <f>+D102*1.70829%</f>
        <v>273326400</v>
      </c>
      <c r="E107" s="188">
        <f>SUM('ADICIONES  2021'!C107:I107)</f>
        <v>0</v>
      </c>
      <c r="F107" s="41">
        <f t="shared" ref="F107:J107" si="250">+F102*1.70829%</f>
        <v>0</v>
      </c>
      <c r="G107" s="41">
        <f t="shared" si="250"/>
        <v>0</v>
      </c>
      <c r="H107" s="41">
        <f t="shared" si="250"/>
        <v>0</v>
      </c>
      <c r="I107" s="41">
        <f t="shared" si="250"/>
        <v>0</v>
      </c>
      <c r="J107" s="41">
        <f t="shared" si="250"/>
        <v>0</v>
      </c>
      <c r="K107" s="128">
        <f t="shared" si="170"/>
        <v>273326400</v>
      </c>
      <c r="L107" s="41">
        <f t="shared" ref="L107:Q107" si="251">+L102*1.70829%</f>
        <v>38544328.212076806</v>
      </c>
      <c r="M107" s="41">
        <f t="shared" si="251"/>
        <v>8568393.4402892999</v>
      </c>
      <c r="N107" s="41">
        <f t="shared" si="251"/>
        <v>20035895.773674604</v>
      </c>
      <c r="O107" s="41">
        <f t="shared" si="251"/>
        <v>22444279.214339703</v>
      </c>
      <c r="P107" s="41">
        <f t="shared" si="251"/>
        <v>24726355.245648004</v>
      </c>
      <c r="Q107" s="409">
        <f t="shared" si="251"/>
        <v>20770035.963609602</v>
      </c>
      <c r="R107" s="128">
        <f t="shared" si="178"/>
        <v>135089287.84963802</v>
      </c>
      <c r="S107" s="41">
        <f t="shared" ref="S107:Z107" si="252">+S102*1.70829%</f>
        <v>17854772.814040501</v>
      </c>
      <c r="T107" s="41">
        <f t="shared" si="252"/>
        <v>0</v>
      </c>
      <c r="U107" s="41">
        <f t="shared" si="252"/>
        <v>0</v>
      </c>
      <c r="V107" s="41">
        <f t="shared" si="252"/>
        <v>0</v>
      </c>
      <c r="W107" s="41">
        <f t="shared" si="252"/>
        <v>0</v>
      </c>
      <c r="X107" s="41">
        <f t="shared" si="252"/>
        <v>0</v>
      </c>
      <c r="Y107" s="41">
        <f t="shared" si="252"/>
        <v>0</v>
      </c>
      <c r="Z107" s="41">
        <f t="shared" si="252"/>
        <v>0</v>
      </c>
      <c r="AA107" s="128">
        <f t="shared" si="194"/>
        <v>17854772.814040501</v>
      </c>
      <c r="AB107" s="128">
        <f t="shared" si="180"/>
        <v>152944060.66367853</v>
      </c>
      <c r="AC107" s="175">
        <f t="shared" si="181"/>
        <v>0.55956563531250014</v>
      </c>
    </row>
    <row r="108" spans="1:29" ht="42.75" hidden="1" x14ac:dyDescent="0.2">
      <c r="B108" s="76" t="s">
        <v>493</v>
      </c>
      <c r="C108" s="77" t="s">
        <v>167</v>
      </c>
      <c r="D108" s="330">
        <f>+D102*0.8370621%</f>
        <v>133929936</v>
      </c>
      <c r="E108" s="188">
        <f>SUM('ADICIONES  2021'!C108:I108)</f>
        <v>0</v>
      </c>
      <c r="F108" s="41">
        <f t="shared" ref="F108:J108" si="253">+F102*0.8370621%</f>
        <v>0</v>
      </c>
      <c r="G108" s="41">
        <f t="shared" si="253"/>
        <v>0</v>
      </c>
      <c r="H108" s="41">
        <f t="shared" si="253"/>
        <v>0</v>
      </c>
      <c r="I108" s="41">
        <f t="shared" si="253"/>
        <v>0</v>
      </c>
      <c r="J108" s="41">
        <f t="shared" si="253"/>
        <v>0</v>
      </c>
      <c r="K108" s="128">
        <f t="shared" si="170"/>
        <v>133929936</v>
      </c>
      <c r="L108" s="41">
        <f t="shared" ref="L108:Q108" si="254">+L102*0.8370621%</f>
        <v>18886720.823917631</v>
      </c>
      <c r="M108" s="41">
        <f t="shared" si="254"/>
        <v>4198512.7857417567</v>
      </c>
      <c r="N108" s="41">
        <f t="shared" si="254"/>
        <v>9817588.9291005544</v>
      </c>
      <c r="O108" s="41">
        <f t="shared" si="254"/>
        <v>10997696.815026453</v>
      </c>
      <c r="P108" s="41">
        <f t="shared" si="254"/>
        <v>12115914.070367521</v>
      </c>
      <c r="Q108" s="409">
        <f t="shared" si="254"/>
        <v>10177317.622168705</v>
      </c>
      <c r="R108" s="128">
        <f t="shared" si="178"/>
        <v>66193751.046322621</v>
      </c>
      <c r="S108" s="41">
        <f t="shared" ref="S108:Z108" si="255">+S102*0.8370621%</f>
        <v>8748838.6788798459</v>
      </c>
      <c r="T108" s="41">
        <f t="shared" si="255"/>
        <v>0</v>
      </c>
      <c r="U108" s="41">
        <f t="shared" si="255"/>
        <v>0</v>
      </c>
      <c r="V108" s="41">
        <f t="shared" si="255"/>
        <v>0</v>
      </c>
      <c r="W108" s="41">
        <f t="shared" si="255"/>
        <v>0</v>
      </c>
      <c r="X108" s="41">
        <f t="shared" si="255"/>
        <v>0</v>
      </c>
      <c r="Y108" s="41">
        <f t="shared" si="255"/>
        <v>0</v>
      </c>
      <c r="Z108" s="41">
        <f t="shared" si="255"/>
        <v>0</v>
      </c>
      <c r="AA108" s="128">
        <f t="shared" si="194"/>
        <v>8748838.6788798459</v>
      </c>
      <c r="AB108" s="128">
        <f t="shared" si="180"/>
        <v>74942589.725202471</v>
      </c>
      <c r="AC108" s="175">
        <f t="shared" si="181"/>
        <v>0.55956563531250003</v>
      </c>
    </row>
    <row r="109" spans="1:29" s="19" customFormat="1" ht="15.75" x14ac:dyDescent="0.2">
      <c r="A109" s="71">
        <v>1</v>
      </c>
      <c r="B109" s="81" t="s">
        <v>494</v>
      </c>
      <c r="C109" s="83" t="s">
        <v>186</v>
      </c>
      <c r="D109" s="333">
        <v>28000000000</v>
      </c>
      <c r="E109" s="187">
        <f>SUM('ADICIONES  2021'!C109:I109)</f>
        <v>0</v>
      </c>
      <c r="F109" s="78"/>
      <c r="G109" s="78"/>
      <c r="H109" s="78"/>
      <c r="I109" s="78"/>
      <c r="J109" s="78"/>
      <c r="K109" s="126">
        <f t="shared" si="170"/>
        <v>28000000000</v>
      </c>
      <c r="L109" s="126">
        <v>2638160450</v>
      </c>
      <c r="M109" s="126">
        <v>2121495350</v>
      </c>
      <c r="N109" s="126">
        <v>2097425200</v>
      </c>
      <c r="O109" s="126">
        <v>2579490350</v>
      </c>
      <c r="P109" s="126">
        <v>2391493900</v>
      </c>
      <c r="Q109" s="126">
        <v>2246947600</v>
      </c>
      <c r="R109" s="78">
        <f t="shared" si="178"/>
        <v>14075012850</v>
      </c>
      <c r="S109" s="126">
        <v>1831519250</v>
      </c>
      <c r="T109" s="78"/>
      <c r="U109" s="78"/>
      <c r="V109" s="78"/>
      <c r="W109" s="78"/>
      <c r="X109" s="78"/>
      <c r="Y109" s="126"/>
      <c r="Z109" s="78"/>
      <c r="AA109" s="78">
        <f t="shared" si="194"/>
        <v>1831519250</v>
      </c>
      <c r="AB109" s="126">
        <f t="shared" si="180"/>
        <v>15906532100</v>
      </c>
      <c r="AC109" s="180">
        <f t="shared" si="181"/>
        <v>0.56809043214285715</v>
      </c>
    </row>
    <row r="110" spans="1:29" ht="28.5" hidden="1" x14ac:dyDescent="0.2">
      <c r="B110" s="76" t="s">
        <v>495</v>
      </c>
      <c r="C110" s="77" t="s">
        <v>187</v>
      </c>
      <c r="D110" s="330">
        <f>+D109*87.230682%</f>
        <v>24424590960</v>
      </c>
      <c r="E110" s="188">
        <f>SUM('ADICIONES  2021'!C110:I110)</f>
        <v>0</v>
      </c>
      <c r="F110" s="41">
        <f t="shared" ref="F110:J110" si="256">+F109*87.230682%</f>
        <v>0</v>
      </c>
      <c r="G110" s="41">
        <f t="shared" si="256"/>
        <v>0</v>
      </c>
      <c r="H110" s="41">
        <f t="shared" si="256"/>
        <v>0</v>
      </c>
      <c r="I110" s="41">
        <f t="shared" si="256"/>
        <v>0</v>
      </c>
      <c r="J110" s="41">
        <f t="shared" si="256"/>
        <v>0</v>
      </c>
      <c r="K110" s="128">
        <f t="shared" si="170"/>
        <v>24424590960</v>
      </c>
      <c r="L110" s="41">
        <f t="shared" ref="L110:Q110" si="257">+L109*87.230682%</f>
        <v>2301285352.789269</v>
      </c>
      <c r="M110" s="41">
        <f t="shared" si="257"/>
        <v>1850594862.4032872</v>
      </c>
      <c r="N110" s="41">
        <f t="shared" si="257"/>
        <v>1829598306.3998642</v>
      </c>
      <c r="O110" s="41">
        <f t="shared" si="257"/>
        <v>2250107024.4291873</v>
      </c>
      <c r="P110" s="41">
        <f t="shared" si="257"/>
        <v>2086116438.9583981</v>
      </c>
      <c r="Q110" s="409">
        <f t="shared" si="257"/>
        <v>1960027715.662632</v>
      </c>
      <c r="R110" s="128">
        <f t="shared" si="178"/>
        <v>12277729700.642639</v>
      </c>
      <c r="S110" s="41">
        <f t="shared" ref="S110:Z110" si="258">+S109*87.230682%</f>
        <v>1597646732.736285</v>
      </c>
      <c r="T110" s="41">
        <f t="shared" si="258"/>
        <v>0</v>
      </c>
      <c r="U110" s="41">
        <f t="shared" si="258"/>
        <v>0</v>
      </c>
      <c r="V110" s="41">
        <f t="shared" si="258"/>
        <v>0</v>
      </c>
      <c r="W110" s="41">
        <f t="shared" si="258"/>
        <v>0</v>
      </c>
      <c r="X110" s="41">
        <f t="shared" si="258"/>
        <v>0</v>
      </c>
      <c r="Y110" s="41">
        <f t="shared" si="258"/>
        <v>0</v>
      </c>
      <c r="Z110" s="41">
        <f t="shared" si="258"/>
        <v>0</v>
      </c>
      <c r="AA110" s="128">
        <f t="shared" si="194"/>
        <v>1597646732.736285</v>
      </c>
      <c r="AB110" s="128">
        <f t="shared" si="180"/>
        <v>13875376433.378923</v>
      </c>
      <c r="AC110" s="175">
        <f t="shared" si="181"/>
        <v>0.56809043214285715</v>
      </c>
    </row>
    <row r="111" spans="1:29" ht="14.25" hidden="1" x14ac:dyDescent="0.2">
      <c r="B111" s="76" t="s">
        <v>496</v>
      </c>
      <c r="C111" s="77" t="s">
        <v>188</v>
      </c>
      <c r="D111" s="330">
        <f>+D109*0.1%</f>
        <v>28000000</v>
      </c>
      <c r="E111" s="188">
        <f>SUM('ADICIONES  2021'!C111:I111)</f>
        <v>0</v>
      </c>
      <c r="F111" s="41">
        <f t="shared" ref="F111:J111" si="259">+F109*0.1%</f>
        <v>0</v>
      </c>
      <c r="G111" s="41">
        <f t="shared" si="259"/>
        <v>0</v>
      </c>
      <c r="H111" s="41">
        <f t="shared" si="259"/>
        <v>0</v>
      </c>
      <c r="I111" s="41">
        <f t="shared" si="259"/>
        <v>0</v>
      </c>
      <c r="J111" s="41">
        <f t="shared" si="259"/>
        <v>0</v>
      </c>
      <c r="K111" s="128">
        <f t="shared" si="170"/>
        <v>28000000</v>
      </c>
      <c r="L111" s="41">
        <f t="shared" ref="L111:Q111" si="260">+L109*0.1%</f>
        <v>2638160.4500000002</v>
      </c>
      <c r="M111" s="41">
        <f t="shared" si="260"/>
        <v>2121495.35</v>
      </c>
      <c r="N111" s="41">
        <f t="shared" si="260"/>
        <v>2097425.2000000002</v>
      </c>
      <c r="O111" s="41">
        <f t="shared" si="260"/>
        <v>2579490.35</v>
      </c>
      <c r="P111" s="41">
        <f t="shared" si="260"/>
        <v>2391493.9</v>
      </c>
      <c r="Q111" s="409">
        <f t="shared" si="260"/>
        <v>2246947.6</v>
      </c>
      <c r="R111" s="128">
        <f t="shared" si="178"/>
        <v>14075012.850000001</v>
      </c>
      <c r="S111" s="41">
        <f t="shared" ref="S111:Z111" si="261">+S109*0.1%</f>
        <v>1831519.25</v>
      </c>
      <c r="T111" s="41">
        <f t="shared" si="261"/>
        <v>0</v>
      </c>
      <c r="U111" s="41">
        <f t="shared" si="261"/>
        <v>0</v>
      </c>
      <c r="V111" s="41">
        <f t="shared" si="261"/>
        <v>0</v>
      </c>
      <c r="W111" s="41">
        <f t="shared" si="261"/>
        <v>0</v>
      </c>
      <c r="X111" s="41">
        <f t="shared" si="261"/>
        <v>0</v>
      </c>
      <c r="Y111" s="41">
        <f t="shared" si="261"/>
        <v>0</v>
      </c>
      <c r="Z111" s="41">
        <f t="shared" si="261"/>
        <v>0</v>
      </c>
      <c r="AA111" s="128">
        <f t="shared" si="194"/>
        <v>1831519.25</v>
      </c>
      <c r="AB111" s="128">
        <f t="shared" si="180"/>
        <v>15906532.100000001</v>
      </c>
      <c r="AC111" s="175">
        <f t="shared" si="181"/>
        <v>0.56809043214285715</v>
      </c>
    </row>
    <row r="112" spans="1:29" ht="14.25" hidden="1" x14ac:dyDescent="0.2">
      <c r="B112" s="76" t="s">
        <v>497</v>
      </c>
      <c r="C112" s="77" t="s">
        <v>189</v>
      </c>
      <c r="D112" s="330">
        <f>+D109*9.99%</f>
        <v>2797200000</v>
      </c>
      <c r="E112" s="188">
        <f>SUM('ADICIONES  2021'!C112:I112)</f>
        <v>0</v>
      </c>
      <c r="F112" s="41">
        <f t="shared" ref="F112:J112" si="262">+F109*9.99%</f>
        <v>0</v>
      </c>
      <c r="G112" s="41">
        <f t="shared" si="262"/>
        <v>0</v>
      </c>
      <c r="H112" s="41">
        <f t="shared" si="262"/>
        <v>0</v>
      </c>
      <c r="I112" s="41">
        <f t="shared" si="262"/>
        <v>0</v>
      </c>
      <c r="J112" s="41">
        <f t="shared" si="262"/>
        <v>0</v>
      </c>
      <c r="K112" s="128">
        <f t="shared" si="170"/>
        <v>2797200000</v>
      </c>
      <c r="L112" s="41">
        <f t="shared" ref="L112:Q112" si="263">+L109*9.99%</f>
        <v>263552228.95500001</v>
      </c>
      <c r="M112" s="41">
        <f t="shared" si="263"/>
        <v>211937385.465</v>
      </c>
      <c r="N112" s="41">
        <f t="shared" si="263"/>
        <v>209532777.48000002</v>
      </c>
      <c r="O112" s="41">
        <f t="shared" si="263"/>
        <v>257691085.965</v>
      </c>
      <c r="P112" s="41">
        <f t="shared" si="263"/>
        <v>238910240.61000001</v>
      </c>
      <c r="Q112" s="409">
        <f t="shared" si="263"/>
        <v>224470065.24000001</v>
      </c>
      <c r="R112" s="128">
        <f t="shared" si="178"/>
        <v>1406093783.7150002</v>
      </c>
      <c r="S112" s="41">
        <f t="shared" ref="S112:Z112" si="264">+S109*9.99%</f>
        <v>182968773.07500002</v>
      </c>
      <c r="T112" s="41">
        <f t="shared" si="264"/>
        <v>0</v>
      </c>
      <c r="U112" s="41">
        <f t="shared" si="264"/>
        <v>0</v>
      </c>
      <c r="V112" s="41">
        <f t="shared" si="264"/>
        <v>0</v>
      </c>
      <c r="W112" s="41">
        <f t="shared" si="264"/>
        <v>0</v>
      </c>
      <c r="X112" s="41">
        <f t="shared" si="264"/>
        <v>0</v>
      </c>
      <c r="Y112" s="41">
        <f t="shared" si="264"/>
        <v>0</v>
      </c>
      <c r="Z112" s="41">
        <f t="shared" si="264"/>
        <v>0</v>
      </c>
      <c r="AA112" s="128">
        <f t="shared" si="194"/>
        <v>182968773.07500002</v>
      </c>
      <c r="AB112" s="128">
        <f t="shared" si="180"/>
        <v>1589062556.7900002</v>
      </c>
      <c r="AC112" s="175">
        <f t="shared" si="181"/>
        <v>0.56809043214285726</v>
      </c>
    </row>
    <row r="113" spans="1:29" ht="14.25" hidden="1" x14ac:dyDescent="0.2">
      <c r="B113" s="76" t="s">
        <v>498</v>
      </c>
      <c r="C113" s="154" t="s">
        <v>190</v>
      </c>
      <c r="D113" s="330">
        <f>+D109*1.7982%</f>
        <v>503496000.00000006</v>
      </c>
      <c r="E113" s="188">
        <f>SUM('ADICIONES  2021'!C113:I113)</f>
        <v>0</v>
      </c>
      <c r="F113" s="41">
        <f t="shared" ref="F113:J113" si="265">+F109*1.7982%</f>
        <v>0</v>
      </c>
      <c r="G113" s="41">
        <f t="shared" si="265"/>
        <v>0</v>
      </c>
      <c r="H113" s="41">
        <f t="shared" si="265"/>
        <v>0</v>
      </c>
      <c r="I113" s="41">
        <f t="shared" si="265"/>
        <v>0</v>
      </c>
      <c r="J113" s="41">
        <f t="shared" si="265"/>
        <v>0</v>
      </c>
      <c r="K113" s="128">
        <f t="shared" si="170"/>
        <v>503496000.00000006</v>
      </c>
      <c r="L113" s="41">
        <f t="shared" ref="L113:Q113" si="266">+L109*1.7982%</f>
        <v>47439401.211900003</v>
      </c>
      <c r="M113" s="41">
        <f t="shared" si="266"/>
        <v>38148729.383700006</v>
      </c>
      <c r="N113" s="41">
        <f t="shared" si="266"/>
        <v>37715899.946400002</v>
      </c>
      <c r="O113" s="41">
        <f t="shared" si="266"/>
        <v>46384395.473700002</v>
      </c>
      <c r="P113" s="41">
        <f t="shared" si="266"/>
        <v>43003843.309800006</v>
      </c>
      <c r="Q113" s="409">
        <f t="shared" si="266"/>
        <v>40404611.743200004</v>
      </c>
      <c r="R113" s="128">
        <f t="shared" si="178"/>
        <v>253096881.06870002</v>
      </c>
      <c r="S113" s="41">
        <f t="shared" ref="S113:Z113" si="267">+S109*1.7982%</f>
        <v>32934379.153500002</v>
      </c>
      <c r="T113" s="41">
        <f t="shared" si="267"/>
        <v>0</v>
      </c>
      <c r="U113" s="41">
        <f t="shared" si="267"/>
        <v>0</v>
      </c>
      <c r="V113" s="41">
        <f t="shared" si="267"/>
        <v>0</v>
      </c>
      <c r="W113" s="41">
        <f t="shared" si="267"/>
        <v>0</v>
      </c>
      <c r="X113" s="41">
        <f t="shared" si="267"/>
        <v>0</v>
      </c>
      <c r="Y113" s="41">
        <f t="shared" si="267"/>
        <v>0</v>
      </c>
      <c r="Z113" s="41">
        <f t="shared" si="267"/>
        <v>0</v>
      </c>
      <c r="AA113" s="128">
        <f t="shared" si="194"/>
        <v>32934379.153500002</v>
      </c>
      <c r="AB113" s="128">
        <f t="shared" si="180"/>
        <v>286031260.22220004</v>
      </c>
      <c r="AC113" s="175">
        <f t="shared" si="181"/>
        <v>0.56809043214285715</v>
      </c>
    </row>
    <row r="114" spans="1:29" ht="28.5" hidden="1" x14ac:dyDescent="0.2">
      <c r="B114" s="76" t="s">
        <v>499</v>
      </c>
      <c r="C114" s="77" t="s">
        <v>191</v>
      </c>
      <c r="D114" s="330">
        <f>+D109*0.881118%</f>
        <v>246713040</v>
      </c>
      <c r="E114" s="188">
        <f>SUM('ADICIONES  2021'!C114:I114)</f>
        <v>0</v>
      </c>
      <c r="F114" s="41">
        <f t="shared" ref="F114:J114" si="268">+F109*0.881118%</f>
        <v>0</v>
      </c>
      <c r="G114" s="41">
        <f t="shared" si="268"/>
        <v>0</v>
      </c>
      <c r="H114" s="41">
        <f t="shared" si="268"/>
        <v>0</v>
      </c>
      <c r="I114" s="41">
        <f t="shared" si="268"/>
        <v>0</v>
      </c>
      <c r="J114" s="41">
        <f t="shared" si="268"/>
        <v>0</v>
      </c>
      <c r="K114" s="128">
        <f t="shared" si="170"/>
        <v>246713040</v>
      </c>
      <c r="L114" s="41">
        <f t="shared" ref="L114:Q114" si="269">+L109*0.881118%</f>
        <v>23245306.593830999</v>
      </c>
      <c r="M114" s="41">
        <f t="shared" si="269"/>
        <v>18692877.398012999</v>
      </c>
      <c r="N114" s="41">
        <f t="shared" si="269"/>
        <v>18480790.973735999</v>
      </c>
      <c r="O114" s="41">
        <f t="shared" si="269"/>
        <v>22728353.782113001</v>
      </c>
      <c r="P114" s="41">
        <f t="shared" si="269"/>
        <v>21071883.221802</v>
      </c>
      <c r="Q114" s="409">
        <f t="shared" si="269"/>
        <v>19798259.754168</v>
      </c>
      <c r="R114" s="128">
        <f t="shared" si="178"/>
        <v>124017471.723663</v>
      </c>
      <c r="S114" s="41">
        <f t="shared" ref="S114:Z114" si="270">+S109*0.881118%</f>
        <v>16137845.785215</v>
      </c>
      <c r="T114" s="41">
        <f t="shared" si="270"/>
        <v>0</v>
      </c>
      <c r="U114" s="41">
        <f t="shared" si="270"/>
        <v>0</v>
      </c>
      <c r="V114" s="41">
        <f t="shared" si="270"/>
        <v>0</v>
      </c>
      <c r="W114" s="41">
        <f t="shared" si="270"/>
        <v>0</v>
      </c>
      <c r="X114" s="41">
        <f t="shared" si="270"/>
        <v>0</v>
      </c>
      <c r="Y114" s="41">
        <f t="shared" si="270"/>
        <v>0</v>
      </c>
      <c r="Z114" s="41">
        <f t="shared" si="270"/>
        <v>0</v>
      </c>
      <c r="AA114" s="128">
        <f t="shared" si="194"/>
        <v>16137845.785215</v>
      </c>
      <c r="AB114" s="128">
        <f t="shared" si="180"/>
        <v>140155317.50887799</v>
      </c>
      <c r="AC114" s="175">
        <f t="shared" si="181"/>
        <v>0.56809043214285715</v>
      </c>
    </row>
    <row r="115" spans="1:29" s="63" customFormat="1" ht="15.75" x14ac:dyDescent="0.2">
      <c r="A115" s="399">
        <v>1</v>
      </c>
      <c r="B115" s="81" t="s">
        <v>500</v>
      </c>
      <c r="C115" s="79" t="s">
        <v>501</v>
      </c>
      <c r="D115" s="329">
        <f>+D116+D118+D123+D126+D132+D137</f>
        <v>148200000000</v>
      </c>
      <c r="E115" s="187">
        <f>SUM('ADICIONES  2021'!C115:I115)</f>
        <v>0</v>
      </c>
      <c r="F115" s="223">
        <f t="shared" ref="F115:J115" si="271">+F116+F118+F123+F126+F132+F137</f>
        <v>0</v>
      </c>
      <c r="G115" s="223">
        <f t="shared" si="271"/>
        <v>0</v>
      </c>
      <c r="H115" s="223">
        <f t="shared" si="271"/>
        <v>0</v>
      </c>
      <c r="I115" s="223">
        <f t="shared" si="271"/>
        <v>0</v>
      </c>
      <c r="J115" s="223">
        <f t="shared" si="271"/>
        <v>0</v>
      </c>
      <c r="K115" s="78">
        <f t="shared" si="170"/>
        <v>148200000000</v>
      </c>
      <c r="L115" s="223">
        <f t="shared" ref="L115:Q115" si="272">+L116+L118+L123+L126+L132+L137</f>
        <v>17364208165</v>
      </c>
      <c r="M115" s="223">
        <f t="shared" si="272"/>
        <v>14625231701</v>
      </c>
      <c r="N115" s="223">
        <f t="shared" si="272"/>
        <v>6486363083</v>
      </c>
      <c r="O115" s="223">
        <f t="shared" si="272"/>
        <v>10091348384</v>
      </c>
      <c r="P115" s="223">
        <f t="shared" si="272"/>
        <v>9933502915</v>
      </c>
      <c r="Q115" s="223">
        <f t="shared" si="272"/>
        <v>9740342874</v>
      </c>
      <c r="R115" s="78">
        <f t="shared" si="178"/>
        <v>68240997122</v>
      </c>
      <c r="S115" s="223">
        <f t="shared" ref="S115:Z115" si="273">+S116+S118+S123+S126+S132+S137</f>
        <v>10904720407</v>
      </c>
      <c r="T115" s="223">
        <f t="shared" si="273"/>
        <v>0</v>
      </c>
      <c r="U115" s="223">
        <f t="shared" si="273"/>
        <v>0</v>
      </c>
      <c r="V115" s="223">
        <f t="shared" si="273"/>
        <v>0</v>
      </c>
      <c r="W115" s="223">
        <f t="shared" si="273"/>
        <v>0</v>
      </c>
      <c r="X115" s="223">
        <f t="shared" si="273"/>
        <v>0</v>
      </c>
      <c r="Y115" s="223">
        <f t="shared" si="273"/>
        <v>-526413195</v>
      </c>
      <c r="Z115" s="223">
        <f t="shared" si="273"/>
        <v>0</v>
      </c>
      <c r="AA115" s="78">
        <f t="shared" si="194"/>
        <v>10378307212</v>
      </c>
      <c r="AB115" s="78">
        <f t="shared" si="180"/>
        <v>78619304334</v>
      </c>
      <c r="AC115" s="174">
        <f t="shared" si="181"/>
        <v>0.53049463113360329</v>
      </c>
    </row>
    <row r="116" spans="1:29" s="19" customFormat="1" ht="15.75" x14ac:dyDescent="0.2">
      <c r="A116" s="71">
        <v>1</v>
      </c>
      <c r="B116" s="82" t="s">
        <v>502</v>
      </c>
      <c r="C116" s="77" t="s">
        <v>503</v>
      </c>
      <c r="D116" s="333">
        <v>11800000000</v>
      </c>
      <c r="E116" s="187">
        <f>SUM('ADICIONES  2021'!C116:I116)</f>
        <v>0</v>
      </c>
      <c r="F116" s="78"/>
      <c r="G116" s="78"/>
      <c r="H116" s="78"/>
      <c r="I116" s="78"/>
      <c r="J116" s="78"/>
      <c r="K116" s="126">
        <f t="shared" si="170"/>
        <v>11800000000</v>
      </c>
      <c r="L116" s="126">
        <v>1794910914</v>
      </c>
      <c r="M116" s="126">
        <v>1654969384</v>
      </c>
      <c r="N116" s="126"/>
      <c r="O116" s="126">
        <v>864759763</v>
      </c>
      <c r="P116" s="126"/>
      <c r="Q116" s="126">
        <v>568293868</v>
      </c>
      <c r="R116" s="78">
        <f t="shared" si="178"/>
        <v>4882933929</v>
      </c>
      <c r="S116" s="126">
        <v>976747388</v>
      </c>
      <c r="T116" s="78"/>
      <c r="U116" s="78"/>
      <c r="V116" s="78"/>
      <c r="W116" s="78"/>
      <c r="X116" s="78"/>
      <c r="Y116" s="126">
        <f>-364560236-161852959</f>
        <v>-526413195</v>
      </c>
      <c r="Z116" s="78"/>
      <c r="AA116" s="78">
        <f t="shared" si="194"/>
        <v>450334193</v>
      </c>
      <c r="AB116" s="126">
        <f t="shared" si="180"/>
        <v>5333268122</v>
      </c>
      <c r="AC116" s="180">
        <f t="shared" si="181"/>
        <v>0.45197187474576273</v>
      </c>
    </row>
    <row r="117" spans="1:29" ht="14.25" hidden="1" x14ac:dyDescent="0.2">
      <c r="B117" s="76" t="s">
        <v>504</v>
      </c>
      <c r="C117" s="77" t="s">
        <v>192</v>
      </c>
      <c r="D117" s="330">
        <f>+D116</f>
        <v>11800000000</v>
      </c>
      <c r="E117" s="188">
        <f>SUM('ADICIONES  2021'!C117:I117)</f>
        <v>0</v>
      </c>
      <c r="F117" s="41">
        <f t="shared" ref="F117:J117" si="274">+F116</f>
        <v>0</v>
      </c>
      <c r="G117" s="41">
        <f t="shared" si="274"/>
        <v>0</v>
      </c>
      <c r="H117" s="41">
        <f t="shared" si="274"/>
        <v>0</v>
      </c>
      <c r="I117" s="41">
        <f t="shared" si="274"/>
        <v>0</v>
      </c>
      <c r="J117" s="41">
        <f t="shared" si="274"/>
        <v>0</v>
      </c>
      <c r="K117" s="128">
        <f t="shared" si="170"/>
        <v>11800000000</v>
      </c>
      <c r="L117" s="41">
        <f t="shared" ref="L117:Q117" si="275">+L116</f>
        <v>1794910914</v>
      </c>
      <c r="M117" s="41">
        <f t="shared" si="275"/>
        <v>1654969384</v>
      </c>
      <c r="N117" s="41">
        <f t="shared" si="275"/>
        <v>0</v>
      </c>
      <c r="O117" s="41">
        <f t="shared" si="275"/>
        <v>864759763</v>
      </c>
      <c r="P117" s="41">
        <f t="shared" si="275"/>
        <v>0</v>
      </c>
      <c r="Q117" s="409">
        <f t="shared" si="275"/>
        <v>568293868</v>
      </c>
      <c r="R117" s="128">
        <f t="shared" si="178"/>
        <v>4882933929</v>
      </c>
      <c r="S117" s="41">
        <f t="shared" ref="S117:Z117" si="276">+S116</f>
        <v>976747388</v>
      </c>
      <c r="T117" s="41">
        <f t="shared" si="276"/>
        <v>0</v>
      </c>
      <c r="U117" s="41">
        <f t="shared" si="276"/>
        <v>0</v>
      </c>
      <c r="V117" s="41">
        <f t="shared" si="276"/>
        <v>0</v>
      </c>
      <c r="W117" s="41">
        <f t="shared" si="276"/>
        <v>0</v>
      </c>
      <c r="X117" s="41">
        <f t="shared" si="276"/>
        <v>0</v>
      </c>
      <c r="Y117" s="41">
        <f t="shared" si="276"/>
        <v>-526413195</v>
      </c>
      <c r="Z117" s="41">
        <f t="shared" si="276"/>
        <v>0</v>
      </c>
      <c r="AA117" s="128">
        <f t="shared" si="194"/>
        <v>450334193</v>
      </c>
      <c r="AB117" s="128">
        <f t="shared" si="180"/>
        <v>5333268122</v>
      </c>
      <c r="AC117" s="175">
        <f t="shared" si="181"/>
        <v>0.45197187474576273</v>
      </c>
    </row>
    <row r="118" spans="1:29" s="19" customFormat="1" ht="15.75" x14ac:dyDescent="0.2">
      <c r="A118" s="71">
        <v>1</v>
      </c>
      <c r="B118" s="82" t="s">
        <v>505</v>
      </c>
      <c r="C118" s="83" t="s">
        <v>506</v>
      </c>
      <c r="D118" s="332">
        <v>28600000000</v>
      </c>
      <c r="E118" s="187">
        <f>SUM('ADICIONES  2021'!C118:I118)</f>
        <v>0</v>
      </c>
      <c r="F118" s="146"/>
      <c r="G118" s="146"/>
      <c r="H118" s="146"/>
      <c r="I118" s="146"/>
      <c r="J118" s="146"/>
      <c r="K118" s="126">
        <f t="shared" si="170"/>
        <v>28600000000</v>
      </c>
      <c r="L118" s="181">
        <v>2165767411</v>
      </c>
      <c r="M118" s="181">
        <v>3337329687</v>
      </c>
      <c r="N118" s="181">
        <v>1843980124</v>
      </c>
      <c r="O118" s="181">
        <v>2180201617</v>
      </c>
      <c r="P118" s="181">
        <v>2017134704</v>
      </c>
      <c r="Q118" s="181">
        <v>2059008676</v>
      </c>
      <c r="R118" s="78">
        <f t="shared" si="178"/>
        <v>13603422219</v>
      </c>
      <c r="S118" s="181">
        <v>2184901400</v>
      </c>
      <c r="T118" s="146"/>
      <c r="U118" s="146"/>
      <c r="V118" s="146"/>
      <c r="W118" s="146"/>
      <c r="X118" s="146"/>
      <c r="Y118" s="181"/>
      <c r="Z118" s="146"/>
      <c r="AA118" s="78">
        <f t="shared" si="194"/>
        <v>2184901400</v>
      </c>
      <c r="AB118" s="126">
        <f t="shared" si="180"/>
        <v>15788323619</v>
      </c>
      <c r="AC118" s="180">
        <f t="shared" si="181"/>
        <v>0.55203928737762242</v>
      </c>
    </row>
    <row r="119" spans="1:29" ht="28.5" hidden="1" x14ac:dyDescent="0.2">
      <c r="B119" s="76" t="s">
        <v>507</v>
      </c>
      <c r="C119" s="77" t="s">
        <v>200</v>
      </c>
      <c r="D119" s="330">
        <f>+D118*20%</f>
        <v>5720000000</v>
      </c>
      <c r="E119" s="188">
        <f>SUM('ADICIONES  2021'!C119:I119)</f>
        <v>0</v>
      </c>
      <c r="F119" s="41">
        <f t="shared" ref="F119:J119" si="277">+F118*20%</f>
        <v>0</v>
      </c>
      <c r="G119" s="41">
        <f t="shared" si="277"/>
        <v>0</v>
      </c>
      <c r="H119" s="41">
        <f t="shared" si="277"/>
        <v>0</v>
      </c>
      <c r="I119" s="41">
        <f t="shared" si="277"/>
        <v>0</v>
      </c>
      <c r="J119" s="41">
        <f t="shared" si="277"/>
        <v>0</v>
      </c>
      <c r="K119" s="128">
        <f t="shared" si="170"/>
        <v>5720000000</v>
      </c>
      <c r="L119" s="41">
        <f t="shared" ref="L119:Q119" si="278">+L118*20%</f>
        <v>433153482.20000005</v>
      </c>
      <c r="M119" s="41">
        <f t="shared" si="278"/>
        <v>667465937.4000001</v>
      </c>
      <c r="N119" s="41">
        <f t="shared" si="278"/>
        <v>368796024.80000001</v>
      </c>
      <c r="O119" s="41">
        <f t="shared" si="278"/>
        <v>436040323.40000004</v>
      </c>
      <c r="P119" s="41">
        <f t="shared" si="278"/>
        <v>403426940.80000001</v>
      </c>
      <c r="Q119" s="409">
        <f t="shared" si="278"/>
        <v>411801735.20000005</v>
      </c>
      <c r="R119" s="128">
        <f t="shared" si="178"/>
        <v>2720684443.8000002</v>
      </c>
      <c r="S119" s="41">
        <f t="shared" ref="S119:Z119" si="279">+S118*20%</f>
        <v>436980280</v>
      </c>
      <c r="T119" s="41">
        <f t="shared" si="279"/>
        <v>0</v>
      </c>
      <c r="U119" s="41">
        <f t="shared" si="279"/>
        <v>0</v>
      </c>
      <c r="V119" s="41">
        <f t="shared" si="279"/>
        <v>0</v>
      </c>
      <c r="W119" s="41">
        <f t="shared" si="279"/>
        <v>0</v>
      </c>
      <c r="X119" s="41">
        <f t="shared" si="279"/>
        <v>0</v>
      </c>
      <c r="Y119" s="41">
        <f t="shared" si="279"/>
        <v>0</v>
      </c>
      <c r="Z119" s="41">
        <f t="shared" si="279"/>
        <v>0</v>
      </c>
      <c r="AA119" s="128">
        <f t="shared" si="194"/>
        <v>436980280</v>
      </c>
      <c r="AB119" s="128">
        <f t="shared" si="180"/>
        <v>3157664723.8000002</v>
      </c>
      <c r="AC119" s="175">
        <f t="shared" si="181"/>
        <v>0.55203928737762242</v>
      </c>
    </row>
    <row r="120" spans="1:29" ht="28.5" hidden="1" x14ac:dyDescent="0.2">
      <c r="B120" s="76" t="s">
        <v>508</v>
      </c>
      <c r="C120" s="154" t="s">
        <v>201</v>
      </c>
      <c r="D120" s="330">
        <f>+D118*40%</f>
        <v>11440000000</v>
      </c>
      <c r="E120" s="188">
        <f>SUM('ADICIONES  2021'!C120:I120)</f>
        <v>0</v>
      </c>
      <c r="F120" s="41">
        <f t="shared" ref="F120:J120" si="280">+F118*40%</f>
        <v>0</v>
      </c>
      <c r="G120" s="41">
        <f t="shared" si="280"/>
        <v>0</v>
      </c>
      <c r="H120" s="41">
        <f t="shared" si="280"/>
        <v>0</v>
      </c>
      <c r="I120" s="41">
        <f t="shared" si="280"/>
        <v>0</v>
      </c>
      <c r="J120" s="41">
        <f t="shared" si="280"/>
        <v>0</v>
      </c>
      <c r="K120" s="128">
        <f t="shared" si="170"/>
        <v>11440000000</v>
      </c>
      <c r="L120" s="41">
        <f t="shared" ref="L120:Q120" si="281">+L118*40%</f>
        <v>866306964.4000001</v>
      </c>
      <c r="M120" s="41">
        <f t="shared" si="281"/>
        <v>1334931874.8000002</v>
      </c>
      <c r="N120" s="41">
        <f t="shared" si="281"/>
        <v>737592049.60000002</v>
      </c>
      <c r="O120" s="41">
        <f t="shared" si="281"/>
        <v>872080646.80000007</v>
      </c>
      <c r="P120" s="41">
        <f t="shared" si="281"/>
        <v>806853881.60000002</v>
      </c>
      <c r="Q120" s="409">
        <f t="shared" si="281"/>
        <v>823603470.4000001</v>
      </c>
      <c r="R120" s="128">
        <f t="shared" si="178"/>
        <v>5441368887.6000004</v>
      </c>
      <c r="S120" s="41">
        <f t="shared" ref="S120:Z120" si="282">+S118*40%</f>
        <v>873960560</v>
      </c>
      <c r="T120" s="41">
        <f t="shared" si="282"/>
        <v>0</v>
      </c>
      <c r="U120" s="41">
        <f t="shared" si="282"/>
        <v>0</v>
      </c>
      <c r="V120" s="41">
        <f t="shared" si="282"/>
        <v>0</v>
      </c>
      <c r="W120" s="41">
        <f t="shared" si="282"/>
        <v>0</v>
      </c>
      <c r="X120" s="41">
        <f t="shared" si="282"/>
        <v>0</v>
      </c>
      <c r="Y120" s="41">
        <f t="shared" si="282"/>
        <v>0</v>
      </c>
      <c r="Z120" s="41">
        <f t="shared" si="282"/>
        <v>0</v>
      </c>
      <c r="AA120" s="128">
        <f t="shared" si="194"/>
        <v>873960560</v>
      </c>
      <c r="AB120" s="128">
        <f t="shared" si="180"/>
        <v>6315329447.6000004</v>
      </c>
      <c r="AC120" s="175">
        <f t="shared" si="181"/>
        <v>0.55203928737762242</v>
      </c>
    </row>
    <row r="121" spans="1:29" ht="28.5" hidden="1" x14ac:dyDescent="0.2">
      <c r="B121" s="76" t="s">
        <v>509</v>
      </c>
      <c r="C121" s="77" t="s">
        <v>202</v>
      </c>
      <c r="D121" s="330">
        <f>+D118*20%</f>
        <v>5720000000</v>
      </c>
      <c r="E121" s="188">
        <f>SUM('ADICIONES  2021'!C121:I121)</f>
        <v>0</v>
      </c>
      <c r="F121" s="41">
        <f t="shared" ref="F121:J121" si="283">+F118*20%</f>
        <v>0</v>
      </c>
      <c r="G121" s="41">
        <f t="shared" si="283"/>
        <v>0</v>
      </c>
      <c r="H121" s="41">
        <f t="shared" si="283"/>
        <v>0</v>
      </c>
      <c r="I121" s="41">
        <f t="shared" si="283"/>
        <v>0</v>
      </c>
      <c r="J121" s="41">
        <f t="shared" si="283"/>
        <v>0</v>
      </c>
      <c r="K121" s="128">
        <f t="shared" si="170"/>
        <v>5720000000</v>
      </c>
      <c r="L121" s="41">
        <f t="shared" ref="L121:Q121" si="284">+L118*20%</f>
        <v>433153482.20000005</v>
      </c>
      <c r="M121" s="41">
        <f t="shared" si="284"/>
        <v>667465937.4000001</v>
      </c>
      <c r="N121" s="41">
        <f t="shared" si="284"/>
        <v>368796024.80000001</v>
      </c>
      <c r="O121" s="41">
        <f t="shared" si="284"/>
        <v>436040323.40000004</v>
      </c>
      <c r="P121" s="41">
        <f t="shared" si="284"/>
        <v>403426940.80000001</v>
      </c>
      <c r="Q121" s="409">
        <f t="shared" si="284"/>
        <v>411801735.20000005</v>
      </c>
      <c r="R121" s="128">
        <f t="shared" si="178"/>
        <v>2720684443.8000002</v>
      </c>
      <c r="S121" s="41">
        <f t="shared" ref="S121:Z121" si="285">+S118*20%</f>
        <v>436980280</v>
      </c>
      <c r="T121" s="41">
        <f t="shared" si="285"/>
        <v>0</v>
      </c>
      <c r="U121" s="41">
        <f t="shared" si="285"/>
        <v>0</v>
      </c>
      <c r="V121" s="41">
        <f t="shared" si="285"/>
        <v>0</v>
      </c>
      <c r="W121" s="41">
        <f t="shared" si="285"/>
        <v>0</v>
      </c>
      <c r="X121" s="41">
        <f t="shared" si="285"/>
        <v>0</v>
      </c>
      <c r="Y121" s="41">
        <f t="shared" si="285"/>
        <v>0</v>
      </c>
      <c r="Z121" s="41">
        <f t="shared" si="285"/>
        <v>0</v>
      </c>
      <c r="AA121" s="128">
        <f t="shared" si="194"/>
        <v>436980280</v>
      </c>
      <c r="AB121" s="128">
        <f t="shared" si="180"/>
        <v>3157664723.8000002</v>
      </c>
      <c r="AC121" s="175">
        <f t="shared" si="181"/>
        <v>0.55203928737762242</v>
      </c>
    </row>
    <row r="122" spans="1:29" ht="14.25" hidden="1" x14ac:dyDescent="0.2">
      <c r="B122" s="76" t="s">
        <v>510</v>
      </c>
      <c r="C122" s="77" t="s">
        <v>203</v>
      </c>
      <c r="D122" s="330">
        <f>+D118*20%</f>
        <v>5720000000</v>
      </c>
      <c r="E122" s="188">
        <f>SUM('ADICIONES  2021'!C122:I122)</f>
        <v>0</v>
      </c>
      <c r="F122" s="41">
        <f t="shared" ref="F122:J122" si="286">+F118*20%</f>
        <v>0</v>
      </c>
      <c r="G122" s="41">
        <f t="shared" si="286"/>
        <v>0</v>
      </c>
      <c r="H122" s="41">
        <f t="shared" si="286"/>
        <v>0</v>
      </c>
      <c r="I122" s="41">
        <f t="shared" si="286"/>
        <v>0</v>
      </c>
      <c r="J122" s="41">
        <f t="shared" si="286"/>
        <v>0</v>
      </c>
      <c r="K122" s="128">
        <f t="shared" si="170"/>
        <v>5720000000</v>
      </c>
      <c r="L122" s="41">
        <f t="shared" ref="L122:Q122" si="287">+L118*20%</f>
        <v>433153482.20000005</v>
      </c>
      <c r="M122" s="41">
        <f t="shared" si="287"/>
        <v>667465937.4000001</v>
      </c>
      <c r="N122" s="41">
        <f t="shared" si="287"/>
        <v>368796024.80000001</v>
      </c>
      <c r="O122" s="41">
        <f t="shared" si="287"/>
        <v>436040323.40000004</v>
      </c>
      <c r="P122" s="41">
        <f t="shared" si="287"/>
        <v>403426940.80000001</v>
      </c>
      <c r="Q122" s="409">
        <f t="shared" si="287"/>
        <v>411801735.20000005</v>
      </c>
      <c r="R122" s="128">
        <f t="shared" si="178"/>
        <v>2720684443.8000002</v>
      </c>
      <c r="S122" s="41">
        <f t="shared" ref="S122:Z122" si="288">+S118*20%</f>
        <v>436980280</v>
      </c>
      <c r="T122" s="41">
        <f t="shared" si="288"/>
        <v>0</v>
      </c>
      <c r="U122" s="41">
        <f t="shared" si="288"/>
        <v>0</v>
      </c>
      <c r="V122" s="41">
        <f t="shared" si="288"/>
        <v>0</v>
      </c>
      <c r="W122" s="41">
        <f t="shared" si="288"/>
        <v>0</v>
      </c>
      <c r="X122" s="41">
        <f t="shared" si="288"/>
        <v>0</v>
      </c>
      <c r="Y122" s="41">
        <f t="shared" si="288"/>
        <v>0</v>
      </c>
      <c r="Z122" s="41">
        <f t="shared" si="288"/>
        <v>0</v>
      </c>
      <c r="AA122" s="128">
        <f t="shared" si="194"/>
        <v>436980280</v>
      </c>
      <c r="AB122" s="128">
        <f t="shared" si="180"/>
        <v>3157664723.8000002</v>
      </c>
      <c r="AC122" s="175">
        <f t="shared" si="181"/>
        <v>0.55203928737762242</v>
      </c>
    </row>
    <row r="123" spans="1:29" s="19" customFormat="1" ht="15.75" x14ac:dyDescent="0.2">
      <c r="A123" s="71">
        <v>1</v>
      </c>
      <c r="B123" s="82" t="s">
        <v>511</v>
      </c>
      <c r="C123" s="83" t="s">
        <v>193</v>
      </c>
      <c r="D123" s="333">
        <v>12000000000</v>
      </c>
      <c r="E123" s="187">
        <f>SUM('ADICIONES  2021'!C123:I123)</f>
        <v>0</v>
      </c>
      <c r="F123" s="78"/>
      <c r="G123" s="78"/>
      <c r="H123" s="78"/>
      <c r="I123" s="78"/>
      <c r="J123" s="78"/>
      <c r="K123" s="126">
        <f t="shared" si="170"/>
        <v>12000000000</v>
      </c>
      <c r="L123" s="126">
        <v>2551090811</v>
      </c>
      <c r="M123" s="126">
        <v>1391003251</v>
      </c>
      <c r="N123" s="126">
        <v>598349858</v>
      </c>
      <c r="O123" s="126">
        <v>1092711168</v>
      </c>
      <c r="P123" s="126">
        <v>1213732759</v>
      </c>
      <c r="Q123" s="126">
        <v>915843367</v>
      </c>
      <c r="R123" s="78">
        <f t="shared" si="178"/>
        <v>7762731214</v>
      </c>
      <c r="S123" s="126">
        <v>1140168962</v>
      </c>
      <c r="T123" s="78"/>
      <c r="U123" s="78"/>
      <c r="V123" s="78"/>
      <c r="W123" s="78"/>
      <c r="X123" s="78"/>
      <c r="Y123" s="126"/>
      <c r="Z123" s="78"/>
      <c r="AA123" s="78">
        <f t="shared" si="194"/>
        <v>1140168962</v>
      </c>
      <c r="AB123" s="126">
        <f t="shared" si="180"/>
        <v>8902900176</v>
      </c>
      <c r="AC123" s="180">
        <f t="shared" si="181"/>
        <v>0.74190834800000005</v>
      </c>
    </row>
    <row r="124" spans="1:29" ht="14.25" hidden="1" x14ac:dyDescent="0.2">
      <c r="B124" s="76" t="s">
        <v>512</v>
      </c>
      <c r="C124" s="77" t="s">
        <v>194</v>
      </c>
      <c r="D124" s="330">
        <f>+D123*80%</f>
        <v>9600000000</v>
      </c>
      <c r="E124" s="188">
        <f>SUM('ADICIONES  2021'!C124:I124)</f>
        <v>0</v>
      </c>
      <c r="F124" s="41">
        <f t="shared" ref="F124:J124" si="289">+F123*80%</f>
        <v>0</v>
      </c>
      <c r="G124" s="41">
        <f t="shared" si="289"/>
        <v>0</v>
      </c>
      <c r="H124" s="41">
        <f t="shared" si="289"/>
        <v>0</v>
      </c>
      <c r="I124" s="41">
        <f t="shared" si="289"/>
        <v>0</v>
      </c>
      <c r="J124" s="41">
        <f t="shared" si="289"/>
        <v>0</v>
      </c>
      <c r="K124" s="128">
        <f t="shared" si="170"/>
        <v>9600000000</v>
      </c>
      <c r="L124" s="41">
        <f t="shared" ref="L124:Q124" si="290">+L123*80%</f>
        <v>2040872648.8000002</v>
      </c>
      <c r="M124" s="41">
        <f t="shared" si="290"/>
        <v>1112802600.8</v>
      </c>
      <c r="N124" s="41">
        <f t="shared" si="290"/>
        <v>478679886.40000004</v>
      </c>
      <c r="O124" s="41">
        <f t="shared" si="290"/>
        <v>874168934.4000001</v>
      </c>
      <c r="P124" s="41">
        <f t="shared" si="290"/>
        <v>970986207.20000005</v>
      </c>
      <c r="Q124" s="409">
        <f t="shared" si="290"/>
        <v>732674693.60000002</v>
      </c>
      <c r="R124" s="128">
        <f t="shared" si="178"/>
        <v>6210184971.2000008</v>
      </c>
      <c r="S124" s="41">
        <f t="shared" ref="S124:Z124" si="291">+S123*80%</f>
        <v>912135169.60000002</v>
      </c>
      <c r="T124" s="41">
        <f t="shared" si="291"/>
        <v>0</v>
      </c>
      <c r="U124" s="41">
        <f t="shared" si="291"/>
        <v>0</v>
      </c>
      <c r="V124" s="41">
        <f t="shared" si="291"/>
        <v>0</v>
      </c>
      <c r="W124" s="41">
        <f t="shared" si="291"/>
        <v>0</v>
      </c>
      <c r="X124" s="41">
        <f t="shared" si="291"/>
        <v>0</v>
      </c>
      <c r="Y124" s="41">
        <f t="shared" si="291"/>
        <v>0</v>
      </c>
      <c r="Z124" s="41">
        <f t="shared" si="291"/>
        <v>0</v>
      </c>
      <c r="AA124" s="128">
        <f t="shared" si="194"/>
        <v>912135169.60000002</v>
      </c>
      <c r="AB124" s="128">
        <f t="shared" si="180"/>
        <v>7122320140.8000011</v>
      </c>
      <c r="AC124" s="175">
        <f t="shared" si="181"/>
        <v>0.74190834800000016</v>
      </c>
    </row>
    <row r="125" spans="1:29" ht="14.25" hidden="1" x14ac:dyDescent="0.2">
      <c r="B125" s="76" t="s">
        <v>513</v>
      </c>
      <c r="C125" s="77" t="s">
        <v>195</v>
      </c>
      <c r="D125" s="330">
        <f>+D123*20%</f>
        <v>2400000000</v>
      </c>
      <c r="E125" s="188">
        <f>SUM('ADICIONES  2021'!C125:I125)</f>
        <v>0</v>
      </c>
      <c r="F125" s="41">
        <f t="shared" ref="F125:J125" si="292">+F123*20%</f>
        <v>0</v>
      </c>
      <c r="G125" s="41">
        <f t="shared" si="292"/>
        <v>0</v>
      </c>
      <c r="H125" s="41">
        <f t="shared" si="292"/>
        <v>0</v>
      </c>
      <c r="I125" s="41">
        <f t="shared" si="292"/>
        <v>0</v>
      </c>
      <c r="J125" s="41">
        <f t="shared" si="292"/>
        <v>0</v>
      </c>
      <c r="K125" s="128">
        <f t="shared" si="170"/>
        <v>2400000000</v>
      </c>
      <c r="L125" s="41">
        <f t="shared" ref="L125:Q125" si="293">+L123*20%</f>
        <v>510218162.20000005</v>
      </c>
      <c r="M125" s="41">
        <f t="shared" si="293"/>
        <v>278200650.19999999</v>
      </c>
      <c r="N125" s="41">
        <f t="shared" si="293"/>
        <v>119669971.60000001</v>
      </c>
      <c r="O125" s="41">
        <f t="shared" si="293"/>
        <v>218542233.60000002</v>
      </c>
      <c r="P125" s="41">
        <f t="shared" si="293"/>
        <v>242746551.80000001</v>
      </c>
      <c r="Q125" s="409">
        <f t="shared" si="293"/>
        <v>183168673.40000001</v>
      </c>
      <c r="R125" s="128">
        <f t="shared" si="178"/>
        <v>1552546242.8000002</v>
      </c>
      <c r="S125" s="41">
        <f t="shared" ref="S125:Z125" si="294">+S123*20%</f>
        <v>228033792.40000001</v>
      </c>
      <c r="T125" s="41">
        <f t="shared" si="294"/>
        <v>0</v>
      </c>
      <c r="U125" s="41">
        <f t="shared" si="294"/>
        <v>0</v>
      </c>
      <c r="V125" s="41">
        <f t="shared" si="294"/>
        <v>0</v>
      </c>
      <c r="W125" s="41">
        <f t="shared" si="294"/>
        <v>0</v>
      </c>
      <c r="X125" s="41">
        <f t="shared" si="294"/>
        <v>0</v>
      </c>
      <c r="Y125" s="41">
        <f t="shared" si="294"/>
        <v>0</v>
      </c>
      <c r="Z125" s="41">
        <f t="shared" si="294"/>
        <v>0</v>
      </c>
      <c r="AA125" s="128">
        <f t="shared" si="194"/>
        <v>228033792.40000001</v>
      </c>
      <c r="AB125" s="128">
        <f t="shared" si="180"/>
        <v>1780580035.2000003</v>
      </c>
      <c r="AC125" s="175">
        <f t="shared" si="181"/>
        <v>0.74190834800000016</v>
      </c>
    </row>
    <row r="126" spans="1:29" s="19" customFormat="1" ht="30" x14ac:dyDescent="0.2">
      <c r="A126" s="71">
        <v>1</v>
      </c>
      <c r="B126" s="82" t="s">
        <v>514</v>
      </c>
      <c r="C126" s="83" t="s">
        <v>515</v>
      </c>
      <c r="D126" s="333">
        <v>46800000000</v>
      </c>
      <c r="E126" s="187">
        <f>SUM('ADICIONES  2021'!C126:I126)</f>
        <v>0</v>
      </c>
      <c r="F126" s="78"/>
      <c r="G126" s="78"/>
      <c r="H126" s="78"/>
      <c r="I126" s="78"/>
      <c r="J126" s="78"/>
      <c r="K126" s="126">
        <f t="shared" si="170"/>
        <v>46800000000</v>
      </c>
      <c r="L126" s="126">
        <v>5388654630</v>
      </c>
      <c r="M126" s="126">
        <v>3666660934</v>
      </c>
      <c r="N126" s="126">
        <v>2317061873</v>
      </c>
      <c r="O126" s="126">
        <v>2958891086</v>
      </c>
      <c r="P126" s="126">
        <v>3703350259</v>
      </c>
      <c r="Q126" s="126">
        <v>3314430887</v>
      </c>
      <c r="R126" s="78">
        <f t="shared" si="178"/>
        <v>21349049669</v>
      </c>
      <c r="S126" s="126">
        <v>3372403137</v>
      </c>
      <c r="T126" s="78"/>
      <c r="U126" s="78"/>
      <c r="V126" s="78"/>
      <c r="W126" s="78"/>
      <c r="X126" s="78"/>
      <c r="Y126" s="126"/>
      <c r="Z126" s="78"/>
      <c r="AA126" s="78">
        <f t="shared" si="194"/>
        <v>3372403137</v>
      </c>
      <c r="AB126" s="126">
        <f t="shared" si="180"/>
        <v>24721452806</v>
      </c>
      <c r="AC126" s="180">
        <f t="shared" si="181"/>
        <v>0.52823617106837606</v>
      </c>
    </row>
    <row r="127" spans="1:29" ht="14.25" hidden="1" x14ac:dyDescent="0.2">
      <c r="B127" s="76" t="s">
        <v>516</v>
      </c>
      <c r="C127" s="77" t="s">
        <v>206</v>
      </c>
      <c r="D127" s="330">
        <f>+D126*75%</f>
        <v>35100000000</v>
      </c>
      <c r="E127" s="188">
        <f>SUM('ADICIONES  2021'!C127:I127)</f>
        <v>0</v>
      </c>
      <c r="F127" s="41">
        <f t="shared" ref="F127:J127" si="295">+F126*75%</f>
        <v>0</v>
      </c>
      <c r="G127" s="41">
        <f t="shared" si="295"/>
        <v>0</v>
      </c>
      <c r="H127" s="41">
        <f t="shared" si="295"/>
        <v>0</v>
      </c>
      <c r="I127" s="41">
        <f t="shared" si="295"/>
        <v>0</v>
      </c>
      <c r="J127" s="41">
        <f t="shared" si="295"/>
        <v>0</v>
      </c>
      <c r="K127" s="128">
        <f t="shared" si="170"/>
        <v>35100000000</v>
      </c>
      <c r="L127" s="41">
        <f t="shared" ref="L127:Q127" si="296">+L126*75%</f>
        <v>4041490972.5</v>
      </c>
      <c r="M127" s="41">
        <f t="shared" si="296"/>
        <v>2749995700.5</v>
      </c>
      <c r="N127" s="41">
        <f t="shared" si="296"/>
        <v>1737796404.75</v>
      </c>
      <c r="O127" s="41">
        <f t="shared" si="296"/>
        <v>2219168314.5</v>
      </c>
      <c r="P127" s="41">
        <f t="shared" si="296"/>
        <v>2777512694.25</v>
      </c>
      <c r="Q127" s="409">
        <f t="shared" si="296"/>
        <v>2485823165.25</v>
      </c>
      <c r="R127" s="128">
        <f t="shared" si="178"/>
        <v>16011787251.75</v>
      </c>
      <c r="S127" s="41">
        <f t="shared" ref="S127:Z127" si="297">+S126*75%</f>
        <v>2529302352.75</v>
      </c>
      <c r="T127" s="41">
        <f t="shared" si="297"/>
        <v>0</v>
      </c>
      <c r="U127" s="41">
        <f t="shared" si="297"/>
        <v>0</v>
      </c>
      <c r="V127" s="41">
        <f t="shared" si="297"/>
        <v>0</v>
      </c>
      <c r="W127" s="41">
        <f t="shared" si="297"/>
        <v>0</v>
      </c>
      <c r="X127" s="41">
        <f t="shared" si="297"/>
        <v>0</v>
      </c>
      <c r="Y127" s="41">
        <f t="shared" si="297"/>
        <v>0</v>
      </c>
      <c r="Z127" s="41">
        <f t="shared" si="297"/>
        <v>0</v>
      </c>
      <c r="AA127" s="128">
        <f t="shared" si="194"/>
        <v>2529302352.75</v>
      </c>
      <c r="AB127" s="128">
        <f t="shared" si="180"/>
        <v>18541089604.5</v>
      </c>
      <c r="AC127" s="175">
        <f t="shared" si="181"/>
        <v>0.52823617106837606</v>
      </c>
    </row>
    <row r="128" spans="1:29" ht="14.25" hidden="1" x14ac:dyDescent="0.2">
      <c r="B128" s="76" t="s">
        <v>517</v>
      </c>
      <c r="C128" s="77" t="s">
        <v>207</v>
      </c>
      <c r="D128" s="330">
        <f>+D126*12%</f>
        <v>5616000000</v>
      </c>
      <c r="E128" s="188">
        <f>SUM('ADICIONES  2021'!C128:I128)</f>
        <v>0</v>
      </c>
      <c r="F128" s="41">
        <f t="shared" ref="F128:J128" si="298">+F126*12%</f>
        <v>0</v>
      </c>
      <c r="G128" s="41">
        <f t="shared" si="298"/>
        <v>0</v>
      </c>
      <c r="H128" s="41">
        <f t="shared" si="298"/>
        <v>0</v>
      </c>
      <c r="I128" s="41">
        <f t="shared" si="298"/>
        <v>0</v>
      </c>
      <c r="J128" s="41">
        <f t="shared" si="298"/>
        <v>0</v>
      </c>
      <c r="K128" s="128">
        <f t="shared" si="170"/>
        <v>5616000000</v>
      </c>
      <c r="L128" s="41">
        <f t="shared" ref="L128:Q128" si="299">+L126*12%</f>
        <v>646638555.60000002</v>
      </c>
      <c r="M128" s="41">
        <f t="shared" si="299"/>
        <v>439999312.07999998</v>
      </c>
      <c r="N128" s="41">
        <f t="shared" si="299"/>
        <v>278047424.75999999</v>
      </c>
      <c r="O128" s="41">
        <f t="shared" si="299"/>
        <v>355066930.31999999</v>
      </c>
      <c r="P128" s="41">
        <f t="shared" si="299"/>
        <v>444402031.07999998</v>
      </c>
      <c r="Q128" s="409">
        <f t="shared" si="299"/>
        <v>397731706.44</v>
      </c>
      <c r="R128" s="128">
        <f t="shared" si="178"/>
        <v>2561885960.2800002</v>
      </c>
      <c r="S128" s="41">
        <f t="shared" ref="S128:Z128" si="300">+S126*12%</f>
        <v>404688376.44</v>
      </c>
      <c r="T128" s="41">
        <f t="shared" si="300"/>
        <v>0</v>
      </c>
      <c r="U128" s="41">
        <f t="shared" si="300"/>
        <v>0</v>
      </c>
      <c r="V128" s="41">
        <f t="shared" si="300"/>
        <v>0</v>
      </c>
      <c r="W128" s="41">
        <f t="shared" si="300"/>
        <v>0</v>
      </c>
      <c r="X128" s="41">
        <f t="shared" si="300"/>
        <v>0</v>
      </c>
      <c r="Y128" s="41">
        <f t="shared" si="300"/>
        <v>0</v>
      </c>
      <c r="Z128" s="41">
        <f t="shared" si="300"/>
        <v>0</v>
      </c>
      <c r="AA128" s="128">
        <f t="shared" si="194"/>
        <v>404688376.44</v>
      </c>
      <c r="AB128" s="128">
        <f t="shared" si="180"/>
        <v>2966574336.7200003</v>
      </c>
      <c r="AC128" s="175">
        <f t="shared" si="181"/>
        <v>0.52823617106837617</v>
      </c>
    </row>
    <row r="129" spans="1:29" ht="14.25" hidden="1" x14ac:dyDescent="0.2">
      <c r="B129" s="76" t="s">
        <v>518</v>
      </c>
      <c r="C129" s="77" t="s">
        <v>208</v>
      </c>
      <c r="D129" s="330">
        <f>+D126*8%</f>
        <v>3744000000</v>
      </c>
      <c r="E129" s="188">
        <f>SUM('ADICIONES  2021'!C129:I129)</f>
        <v>0</v>
      </c>
      <c r="F129" s="41">
        <f t="shared" ref="F129:J129" si="301">+F126*8%</f>
        <v>0</v>
      </c>
      <c r="G129" s="41">
        <f t="shared" si="301"/>
        <v>0</v>
      </c>
      <c r="H129" s="41">
        <f t="shared" si="301"/>
        <v>0</v>
      </c>
      <c r="I129" s="41">
        <f t="shared" si="301"/>
        <v>0</v>
      </c>
      <c r="J129" s="41">
        <f t="shared" si="301"/>
        <v>0</v>
      </c>
      <c r="K129" s="128">
        <f t="shared" si="170"/>
        <v>3744000000</v>
      </c>
      <c r="L129" s="41">
        <f t="shared" ref="L129:Q129" si="302">+L126*8%</f>
        <v>431092370.40000004</v>
      </c>
      <c r="M129" s="41">
        <f t="shared" si="302"/>
        <v>293332874.72000003</v>
      </c>
      <c r="N129" s="41">
        <f t="shared" si="302"/>
        <v>185364949.84</v>
      </c>
      <c r="O129" s="41">
        <f t="shared" si="302"/>
        <v>236711286.88</v>
      </c>
      <c r="P129" s="41">
        <f t="shared" si="302"/>
        <v>296268020.72000003</v>
      </c>
      <c r="Q129" s="409">
        <f t="shared" si="302"/>
        <v>265154470.96000001</v>
      </c>
      <c r="R129" s="128">
        <f t="shared" si="178"/>
        <v>1707923973.5200002</v>
      </c>
      <c r="S129" s="41">
        <f t="shared" ref="S129:Z129" si="303">+S126*8%</f>
        <v>269792250.95999998</v>
      </c>
      <c r="T129" s="41">
        <f t="shared" si="303"/>
        <v>0</v>
      </c>
      <c r="U129" s="41">
        <f t="shared" si="303"/>
        <v>0</v>
      </c>
      <c r="V129" s="41">
        <f t="shared" si="303"/>
        <v>0</v>
      </c>
      <c r="W129" s="41">
        <f t="shared" si="303"/>
        <v>0</v>
      </c>
      <c r="X129" s="41">
        <f t="shared" si="303"/>
        <v>0</v>
      </c>
      <c r="Y129" s="41">
        <f t="shared" si="303"/>
        <v>0</v>
      </c>
      <c r="Z129" s="41">
        <f t="shared" si="303"/>
        <v>0</v>
      </c>
      <c r="AA129" s="128">
        <f t="shared" si="194"/>
        <v>269792250.95999998</v>
      </c>
      <c r="AB129" s="128">
        <f t="shared" si="180"/>
        <v>1977716224.4800003</v>
      </c>
      <c r="AC129" s="175">
        <f t="shared" si="181"/>
        <v>0.52823617106837617</v>
      </c>
    </row>
    <row r="130" spans="1:29" ht="14.25" hidden="1" x14ac:dyDescent="0.2">
      <c r="B130" s="76" t="s">
        <v>519</v>
      </c>
      <c r="C130" s="77" t="s">
        <v>209</v>
      </c>
      <c r="D130" s="330">
        <f>+D126*3%</f>
        <v>1404000000</v>
      </c>
      <c r="E130" s="188">
        <f>SUM('ADICIONES  2021'!C130:I130)</f>
        <v>0</v>
      </c>
      <c r="F130" s="41">
        <f t="shared" ref="F130:J130" si="304">+F126*3%</f>
        <v>0</v>
      </c>
      <c r="G130" s="41">
        <f t="shared" si="304"/>
        <v>0</v>
      </c>
      <c r="H130" s="41">
        <f t="shared" si="304"/>
        <v>0</v>
      </c>
      <c r="I130" s="41">
        <f t="shared" si="304"/>
        <v>0</v>
      </c>
      <c r="J130" s="41">
        <f t="shared" si="304"/>
        <v>0</v>
      </c>
      <c r="K130" s="128">
        <f t="shared" si="170"/>
        <v>1404000000</v>
      </c>
      <c r="L130" s="41">
        <f t="shared" ref="L130:Q130" si="305">+L126*3%</f>
        <v>161659638.90000001</v>
      </c>
      <c r="M130" s="41">
        <f t="shared" si="305"/>
        <v>109999828.02</v>
      </c>
      <c r="N130" s="41">
        <f t="shared" si="305"/>
        <v>69511856.189999998</v>
      </c>
      <c r="O130" s="41">
        <f t="shared" si="305"/>
        <v>88766732.579999998</v>
      </c>
      <c r="P130" s="41">
        <f t="shared" si="305"/>
        <v>111100507.77</v>
      </c>
      <c r="Q130" s="409">
        <f t="shared" si="305"/>
        <v>99432926.609999999</v>
      </c>
      <c r="R130" s="128">
        <f t="shared" si="178"/>
        <v>640471490.07000005</v>
      </c>
      <c r="S130" s="41">
        <f t="shared" ref="S130:Z130" si="306">+S126*3%</f>
        <v>101172094.11</v>
      </c>
      <c r="T130" s="41">
        <f t="shared" si="306"/>
        <v>0</v>
      </c>
      <c r="U130" s="41">
        <f t="shared" si="306"/>
        <v>0</v>
      </c>
      <c r="V130" s="41">
        <f t="shared" si="306"/>
        <v>0</v>
      </c>
      <c r="W130" s="41">
        <f t="shared" si="306"/>
        <v>0</v>
      </c>
      <c r="X130" s="41">
        <f t="shared" si="306"/>
        <v>0</v>
      </c>
      <c r="Y130" s="41">
        <f t="shared" si="306"/>
        <v>0</v>
      </c>
      <c r="Z130" s="41">
        <f t="shared" si="306"/>
        <v>0</v>
      </c>
      <c r="AA130" s="128">
        <f t="shared" si="194"/>
        <v>101172094.11</v>
      </c>
      <c r="AB130" s="128">
        <f t="shared" si="180"/>
        <v>741643584.18000007</v>
      </c>
      <c r="AC130" s="175">
        <f t="shared" si="181"/>
        <v>0.52823617106837617</v>
      </c>
    </row>
    <row r="131" spans="1:29" ht="14.25" hidden="1" x14ac:dyDescent="0.2">
      <c r="B131" s="76" t="s">
        <v>520</v>
      </c>
      <c r="C131" s="77" t="s">
        <v>210</v>
      </c>
      <c r="D131" s="330">
        <f>+D126*2%</f>
        <v>936000000</v>
      </c>
      <c r="E131" s="188">
        <f>SUM('ADICIONES  2021'!C131:I131)</f>
        <v>0</v>
      </c>
      <c r="F131" s="41">
        <f t="shared" ref="F131:J131" si="307">+F126*2%</f>
        <v>0</v>
      </c>
      <c r="G131" s="41">
        <f t="shared" si="307"/>
        <v>0</v>
      </c>
      <c r="H131" s="41">
        <f t="shared" si="307"/>
        <v>0</v>
      </c>
      <c r="I131" s="41">
        <f t="shared" si="307"/>
        <v>0</v>
      </c>
      <c r="J131" s="41">
        <f t="shared" si="307"/>
        <v>0</v>
      </c>
      <c r="K131" s="128">
        <f t="shared" si="170"/>
        <v>936000000</v>
      </c>
      <c r="L131" s="41">
        <f t="shared" ref="L131:Q131" si="308">+L126*2%</f>
        <v>107773092.60000001</v>
      </c>
      <c r="M131" s="41">
        <f t="shared" si="308"/>
        <v>73333218.680000007</v>
      </c>
      <c r="N131" s="41">
        <f t="shared" si="308"/>
        <v>46341237.460000001</v>
      </c>
      <c r="O131" s="41">
        <f t="shared" si="308"/>
        <v>59177821.719999999</v>
      </c>
      <c r="P131" s="41">
        <f t="shared" si="308"/>
        <v>74067005.180000007</v>
      </c>
      <c r="Q131" s="409">
        <f t="shared" si="308"/>
        <v>66288617.740000002</v>
      </c>
      <c r="R131" s="128">
        <f t="shared" si="178"/>
        <v>426980993.38000005</v>
      </c>
      <c r="S131" s="41">
        <f t="shared" ref="S131:Z131" si="309">+S126*2%</f>
        <v>67448062.739999995</v>
      </c>
      <c r="T131" s="41">
        <f t="shared" si="309"/>
        <v>0</v>
      </c>
      <c r="U131" s="41">
        <f t="shared" si="309"/>
        <v>0</v>
      </c>
      <c r="V131" s="41">
        <f t="shared" si="309"/>
        <v>0</v>
      </c>
      <c r="W131" s="41">
        <f t="shared" si="309"/>
        <v>0</v>
      </c>
      <c r="X131" s="41">
        <f t="shared" si="309"/>
        <v>0</v>
      </c>
      <c r="Y131" s="41">
        <f t="shared" si="309"/>
        <v>0</v>
      </c>
      <c r="Z131" s="41">
        <f t="shared" si="309"/>
        <v>0</v>
      </c>
      <c r="AA131" s="128">
        <f t="shared" si="194"/>
        <v>67448062.739999995</v>
      </c>
      <c r="AB131" s="128">
        <f t="shared" si="180"/>
        <v>494429056.12000006</v>
      </c>
      <c r="AC131" s="175">
        <f t="shared" si="181"/>
        <v>0.52823617106837617</v>
      </c>
    </row>
    <row r="132" spans="1:29" s="19" customFormat="1" ht="15.75" x14ac:dyDescent="0.2">
      <c r="A132" s="71">
        <v>1</v>
      </c>
      <c r="B132" s="82" t="s">
        <v>521</v>
      </c>
      <c r="C132" s="83" t="s">
        <v>522</v>
      </c>
      <c r="D132" s="333">
        <v>40200000000</v>
      </c>
      <c r="E132" s="187">
        <f>SUM('ADICIONES  2021'!C132:I132)</f>
        <v>0</v>
      </c>
      <c r="F132" s="78"/>
      <c r="G132" s="78"/>
      <c r="H132" s="78"/>
      <c r="I132" s="78"/>
      <c r="J132" s="78"/>
      <c r="K132" s="126">
        <f t="shared" si="170"/>
        <v>40200000000</v>
      </c>
      <c r="L132" s="126">
        <v>4391639595</v>
      </c>
      <c r="M132" s="126">
        <v>3258912562</v>
      </c>
      <c r="N132" s="126">
        <v>1546008791</v>
      </c>
      <c r="O132" s="126">
        <v>2239648077</v>
      </c>
      <c r="P132" s="126">
        <v>2445285758</v>
      </c>
      <c r="Q132" s="126">
        <v>2404150945</v>
      </c>
      <c r="R132" s="78">
        <f t="shared" si="178"/>
        <v>16285645728</v>
      </c>
      <c r="S132" s="126">
        <v>2552793809</v>
      </c>
      <c r="T132" s="78"/>
      <c r="U132" s="78"/>
      <c r="V132" s="78"/>
      <c r="W132" s="78"/>
      <c r="X132" s="78"/>
      <c r="Y132" s="126"/>
      <c r="Z132" s="78"/>
      <c r="AA132" s="78">
        <f t="shared" si="194"/>
        <v>2552793809</v>
      </c>
      <c r="AB132" s="126">
        <f t="shared" si="180"/>
        <v>18838439537</v>
      </c>
      <c r="AC132" s="180">
        <f t="shared" si="181"/>
        <v>0.46861789893034828</v>
      </c>
    </row>
    <row r="133" spans="1:29" ht="14.25" hidden="1" x14ac:dyDescent="0.2">
      <c r="B133" s="76" t="s">
        <v>523</v>
      </c>
      <c r="C133" s="77" t="s">
        <v>204</v>
      </c>
      <c r="D133" s="330">
        <f>+D132*60%</f>
        <v>24120000000</v>
      </c>
      <c r="E133" s="188">
        <f>SUM('ADICIONES  2021'!C133:I133)</f>
        <v>0</v>
      </c>
      <c r="F133" s="41">
        <f t="shared" ref="F133:J133" si="310">+F132*60%</f>
        <v>0</v>
      </c>
      <c r="G133" s="41">
        <f t="shared" si="310"/>
        <v>0</v>
      </c>
      <c r="H133" s="41">
        <f t="shared" si="310"/>
        <v>0</v>
      </c>
      <c r="I133" s="41">
        <f t="shared" si="310"/>
        <v>0</v>
      </c>
      <c r="J133" s="41">
        <f t="shared" si="310"/>
        <v>0</v>
      </c>
      <c r="K133" s="128">
        <f t="shared" si="170"/>
        <v>24120000000</v>
      </c>
      <c r="L133" s="41">
        <f t="shared" ref="L133:Q133" si="311">+L132*60%</f>
        <v>2634983757</v>
      </c>
      <c r="M133" s="41">
        <f t="shared" si="311"/>
        <v>1955347537.1999998</v>
      </c>
      <c r="N133" s="41">
        <f t="shared" si="311"/>
        <v>927605274.60000002</v>
      </c>
      <c r="O133" s="41">
        <f t="shared" si="311"/>
        <v>1343788846.2</v>
      </c>
      <c r="P133" s="41">
        <f t="shared" si="311"/>
        <v>1467171454.8</v>
      </c>
      <c r="Q133" s="409">
        <f t="shared" si="311"/>
        <v>1442490567</v>
      </c>
      <c r="R133" s="128">
        <f t="shared" si="178"/>
        <v>9771387436.7999992</v>
      </c>
      <c r="S133" s="41">
        <f t="shared" ref="S133:Z133" si="312">+S132*60%</f>
        <v>1531676285.3999999</v>
      </c>
      <c r="T133" s="41">
        <f t="shared" si="312"/>
        <v>0</v>
      </c>
      <c r="U133" s="41">
        <f t="shared" si="312"/>
        <v>0</v>
      </c>
      <c r="V133" s="41">
        <f t="shared" si="312"/>
        <v>0</v>
      </c>
      <c r="W133" s="41">
        <f t="shared" si="312"/>
        <v>0</v>
      </c>
      <c r="X133" s="41">
        <f t="shared" si="312"/>
        <v>0</v>
      </c>
      <c r="Y133" s="41">
        <f t="shared" si="312"/>
        <v>0</v>
      </c>
      <c r="Z133" s="41">
        <f t="shared" si="312"/>
        <v>0</v>
      </c>
      <c r="AA133" s="128">
        <f t="shared" si="194"/>
        <v>1531676285.3999999</v>
      </c>
      <c r="AB133" s="128">
        <f t="shared" si="180"/>
        <v>11303063722.199999</v>
      </c>
      <c r="AC133" s="175">
        <f t="shared" si="181"/>
        <v>0.46861789893034822</v>
      </c>
    </row>
    <row r="134" spans="1:29" ht="28.5" hidden="1" x14ac:dyDescent="0.2">
      <c r="B134" s="76" t="s">
        <v>524</v>
      </c>
      <c r="C134" s="77" t="s">
        <v>205</v>
      </c>
      <c r="D134" s="330">
        <f>+D132*19%</f>
        <v>7638000000</v>
      </c>
      <c r="E134" s="188">
        <f>SUM('ADICIONES  2021'!C134:I134)</f>
        <v>0</v>
      </c>
      <c r="F134" s="41">
        <f t="shared" ref="F134:J134" si="313">+F132*19%</f>
        <v>0</v>
      </c>
      <c r="G134" s="41">
        <f t="shared" si="313"/>
        <v>0</v>
      </c>
      <c r="H134" s="41">
        <f t="shared" si="313"/>
        <v>0</v>
      </c>
      <c r="I134" s="41">
        <f t="shared" si="313"/>
        <v>0</v>
      </c>
      <c r="J134" s="41">
        <f t="shared" si="313"/>
        <v>0</v>
      </c>
      <c r="K134" s="128">
        <f t="shared" si="170"/>
        <v>7638000000</v>
      </c>
      <c r="L134" s="41">
        <f t="shared" ref="L134:Q134" si="314">+L132*19%</f>
        <v>834411523.04999995</v>
      </c>
      <c r="M134" s="41">
        <f t="shared" si="314"/>
        <v>619193386.77999997</v>
      </c>
      <c r="N134" s="41">
        <f t="shared" si="314"/>
        <v>293741670.29000002</v>
      </c>
      <c r="O134" s="41">
        <f t="shared" si="314"/>
        <v>425533134.63</v>
      </c>
      <c r="P134" s="41">
        <f t="shared" si="314"/>
        <v>464604294.01999998</v>
      </c>
      <c r="Q134" s="409">
        <f t="shared" si="314"/>
        <v>456788679.55000001</v>
      </c>
      <c r="R134" s="128">
        <f t="shared" si="178"/>
        <v>3094272688.3200002</v>
      </c>
      <c r="S134" s="41">
        <f t="shared" ref="S134:Z134" si="315">+S132*19%</f>
        <v>485030823.70999998</v>
      </c>
      <c r="T134" s="41">
        <f t="shared" si="315"/>
        <v>0</v>
      </c>
      <c r="U134" s="41">
        <f t="shared" si="315"/>
        <v>0</v>
      </c>
      <c r="V134" s="41">
        <f t="shared" si="315"/>
        <v>0</v>
      </c>
      <c r="W134" s="41">
        <f t="shared" si="315"/>
        <v>0</v>
      </c>
      <c r="X134" s="41">
        <f t="shared" si="315"/>
        <v>0</v>
      </c>
      <c r="Y134" s="41">
        <f t="shared" si="315"/>
        <v>0</v>
      </c>
      <c r="Z134" s="41">
        <f t="shared" si="315"/>
        <v>0</v>
      </c>
      <c r="AA134" s="128">
        <f t="shared" si="194"/>
        <v>485030823.70999998</v>
      </c>
      <c r="AB134" s="128">
        <f t="shared" si="180"/>
        <v>3579303512.0300002</v>
      </c>
      <c r="AC134" s="175">
        <f t="shared" si="181"/>
        <v>0.46861789893034828</v>
      </c>
    </row>
    <row r="135" spans="1:29" ht="14.25" hidden="1" x14ac:dyDescent="0.2">
      <c r="B135" s="76" t="s">
        <v>525</v>
      </c>
      <c r="C135" s="77" t="s">
        <v>526</v>
      </c>
      <c r="D135" s="330">
        <f>+D132*1%</f>
        <v>402000000</v>
      </c>
      <c r="E135" s="188">
        <f>SUM('ADICIONES  2021'!C135:I135)</f>
        <v>0</v>
      </c>
      <c r="F135" s="41">
        <f t="shared" ref="F135:J135" si="316">+F132*1%</f>
        <v>0</v>
      </c>
      <c r="G135" s="41">
        <f t="shared" si="316"/>
        <v>0</v>
      </c>
      <c r="H135" s="41">
        <f t="shared" si="316"/>
        <v>0</v>
      </c>
      <c r="I135" s="41">
        <f t="shared" si="316"/>
        <v>0</v>
      </c>
      <c r="J135" s="41">
        <f t="shared" si="316"/>
        <v>0</v>
      </c>
      <c r="K135" s="128">
        <f t="shared" si="170"/>
        <v>402000000</v>
      </c>
      <c r="L135" s="41">
        <f t="shared" ref="L135:Q135" si="317">+L132*1%</f>
        <v>43916395.950000003</v>
      </c>
      <c r="M135" s="41">
        <f t="shared" si="317"/>
        <v>32589125.620000001</v>
      </c>
      <c r="N135" s="41">
        <f t="shared" si="317"/>
        <v>15460087.91</v>
      </c>
      <c r="O135" s="41">
        <f t="shared" si="317"/>
        <v>22396480.77</v>
      </c>
      <c r="P135" s="41">
        <f t="shared" si="317"/>
        <v>24452857.580000002</v>
      </c>
      <c r="Q135" s="409">
        <f t="shared" si="317"/>
        <v>24041509.449999999</v>
      </c>
      <c r="R135" s="128">
        <f t="shared" si="178"/>
        <v>162856457.28</v>
      </c>
      <c r="S135" s="41">
        <f t="shared" ref="S135:Z135" si="318">+S132*1%</f>
        <v>25527938.09</v>
      </c>
      <c r="T135" s="41">
        <f t="shared" si="318"/>
        <v>0</v>
      </c>
      <c r="U135" s="41">
        <f t="shared" si="318"/>
        <v>0</v>
      </c>
      <c r="V135" s="41">
        <f t="shared" si="318"/>
        <v>0</v>
      </c>
      <c r="W135" s="41">
        <f t="shared" si="318"/>
        <v>0</v>
      </c>
      <c r="X135" s="41">
        <f t="shared" si="318"/>
        <v>0</v>
      </c>
      <c r="Y135" s="41">
        <f t="shared" si="318"/>
        <v>0</v>
      </c>
      <c r="Z135" s="41">
        <f t="shared" si="318"/>
        <v>0</v>
      </c>
      <c r="AA135" s="128">
        <f t="shared" si="194"/>
        <v>25527938.09</v>
      </c>
      <c r="AB135" s="128">
        <f t="shared" si="180"/>
        <v>188384395.37</v>
      </c>
      <c r="AC135" s="175">
        <f t="shared" si="181"/>
        <v>0.46861789893034828</v>
      </c>
    </row>
    <row r="136" spans="1:29" ht="14.25" hidden="1" x14ac:dyDescent="0.2">
      <c r="B136" s="76" t="s">
        <v>527</v>
      </c>
      <c r="C136" s="77" t="s">
        <v>528</v>
      </c>
      <c r="D136" s="330">
        <f>+D132*20%</f>
        <v>8040000000</v>
      </c>
      <c r="E136" s="188">
        <f>SUM('ADICIONES  2021'!C136:I136)</f>
        <v>0</v>
      </c>
      <c r="F136" s="41">
        <f t="shared" ref="F136:J136" si="319">+F132*20%</f>
        <v>0</v>
      </c>
      <c r="G136" s="41">
        <f t="shared" si="319"/>
        <v>0</v>
      </c>
      <c r="H136" s="41">
        <f t="shared" si="319"/>
        <v>0</v>
      </c>
      <c r="I136" s="41">
        <f t="shared" si="319"/>
        <v>0</v>
      </c>
      <c r="J136" s="41">
        <f t="shared" si="319"/>
        <v>0</v>
      </c>
      <c r="K136" s="128">
        <f t="shared" si="170"/>
        <v>8040000000</v>
      </c>
      <c r="L136" s="41">
        <f t="shared" ref="L136:Q136" si="320">+L132*20%</f>
        <v>878327919</v>
      </c>
      <c r="M136" s="41">
        <f t="shared" si="320"/>
        <v>651782512.4000001</v>
      </c>
      <c r="N136" s="41">
        <f t="shared" si="320"/>
        <v>309201758.19999999</v>
      </c>
      <c r="O136" s="41">
        <f t="shared" si="320"/>
        <v>447929615.40000004</v>
      </c>
      <c r="P136" s="41">
        <f t="shared" si="320"/>
        <v>489057151.60000002</v>
      </c>
      <c r="Q136" s="409">
        <f t="shared" si="320"/>
        <v>480830189</v>
      </c>
      <c r="R136" s="128">
        <f t="shared" si="178"/>
        <v>3257129145.5999999</v>
      </c>
      <c r="S136" s="41">
        <f t="shared" ref="S136:Z136" si="321">+S132*20%</f>
        <v>510558761.80000001</v>
      </c>
      <c r="T136" s="41">
        <f t="shared" si="321"/>
        <v>0</v>
      </c>
      <c r="U136" s="41">
        <f t="shared" si="321"/>
        <v>0</v>
      </c>
      <c r="V136" s="41">
        <f t="shared" si="321"/>
        <v>0</v>
      </c>
      <c r="W136" s="41">
        <f t="shared" si="321"/>
        <v>0</v>
      </c>
      <c r="X136" s="41">
        <f t="shared" si="321"/>
        <v>0</v>
      </c>
      <c r="Y136" s="41">
        <f t="shared" si="321"/>
        <v>0</v>
      </c>
      <c r="Z136" s="41">
        <f t="shared" si="321"/>
        <v>0</v>
      </c>
      <c r="AA136" s="128">
        <f t="shared" si="194"/>
        <v>510558761.80000001</v>
      </c>
      <c r="AB136" s="128">
        <f t="shared" si="180"/>
        <v>3767687907.4000001</v>
      </c>
      <c r="AC136" s="175">
        <f t="shared" si="181"/>
        <v>0.46861789893034828</v>
      </c>
    </row>
    <row r="137" spans="1:29" s="19" customFormat="1" ht="15.75" x14ac:dyDescent="0.2">
      <c r="A137" s="71">
        <v>1</v>
      </c>
      <c r="B137" s="82" t="s">
        <v>529</v>
      </c>
      <c r="C137" s="83" t="s">
        <v>530</v>
      </c>
      <c r="D137" s="333">
        <v>8800000000</v>
      </c>
      <c r="E137" s="187">
        <f>SUM('ADICIONES  2021'!C137:I137)</f>
        <v>0</v>
      </c>
      <c r="F137" s="78"/>
      <c r="G137" s="78"/>
      <c r="H137" s="78"/>
      <c r="I137" s="78"/>
      <c r="J137" s="78"/>
      <c r="K137" s="126">
        <f t="shared" si="170"/>
        <v>8800000000</v>
      </c>
      <c r="L137" s="126">
        <v>1072144804</v>
      </c>
      <c r="M137" s="126">
        <v>1316355883</v>
      </c>
      <c r="N137" s="126">
        <v>180962437</v>
      </c>
      <c r="O137" s="126">
        <v>755136673</v>
      </c>
      <c r="P137" s="126">
        <v>553999435</v>
      </c>
      <c r="Q137" s="126">
        <v>478615131</v>
      </c>
      <c r="R137" s="78">
        <f t="shared" si="178"/>
        <v>4357214363</v>
      </c>
      <c r="S137" s="126">
        <v>677705711</v>
      </c>
      <c r="T137" s="78"/>
      <c r="U137" s="78"/>
      <c r="V137" s="78"/>
      <c r="W137" s="78"/>
      <c r="X137" s="78"/>
      <c r="Y137" s="126"/>
      <c r="Z137" s="78"/>
      <c r="AA137" s="78">
        <f t="shared" si="194"/>
        <v>677705711</v>
      </c>
      <c r="AB137" s="126">
        <f t="shared" si="180"/>
        <v>5034920074</v>
      </c>
      <c r="AC137" s="180">
        <f t="shared" si="181"/>
        <v>0.57215000840909092</v>
      </c>
    </row>
    <row r="138" spans="1:29" ht="14.25" hidden="1" x14ac:dyDescent="0.2">
      <c r="B138" s="76" t="s">
        <v>531</v>
      </c>
      <c r="C138" s="77" t="s">
        <v>196</v>
      </c>
      <c r="D138" s="330">
        <f>+D137*60%</f>
        <v>5280000000</v>
      </c>
      <c r="E138" s="188">
        <f>SUM('ADICIONES  2021'!C138:I138)</f>
        <v>0</v>
      </c>
      <c r="F138" s="41">
        <f t="shared" ref="F138:J138" si="322">+F137*60%</f>
        <v>0</v>
      </c>
      <c r="G138" s="41">
        <f t="shared" si="322"/>
        <v>0</v>
      </c>
      <c r="H138" s="41">
        <f t="shared" si="322"/>
        <v>0</v>
      </c>
      <c r="I138" s="41">
        <f t="shared" si="322"/>
        <v>0</v>
      </c>
      <c r="J138" s="41">
        <f t="shared" si="322"/>
        <v>0</v>
      </c>
      <c r="K138" s="128">
        <f t="shared" si="170"/>
        <v>5280000000</v>
      </c>
      <c r="L138" s="41">
        <f t="shared" ref="L138:Q138" si="323">+L137*60%</f>
        <v>643286882.39999998</v>
      </c>
      <c r="M138" s="41">
        <f t="shared" si="323"/>
        <v>789813529.79999995</v>
      </c>
      <c r="N138" s="41">
        <f t="shared" si="323"/>
        <v>108577462.2</v>
      </c>
      <c r="O138" s="41">
        <f t="shared" si="323"/>
        <v>453082003.80000001</v>
      </c>
      <c r="P138" s="41">
        <f t="shared" si="323"/>
        <v>332399661</v>
      </c>
      <c r="Q138" s="409">
        <f t="shared" si="323"/>
        <v>287169078.59999996</v>
      </c>
      <c r="R138" s="128">
        <f t="shared" si="178"/>
        <v>2614328617.7999997</v>
      </c>
      <c r="S138" s="41">
        <f t="shared" ref="S138:Z138" si="324">+S137*60%</f>
        <v>406623426.59999996</v>
      </c>
      <c r="T138" s="41">
        <f t="shared" si="324"/>
        <v>0</v>
      </c>
      <c r="U138" s="41">
        <f t="shared" si="324"/>
        <v>0</v>
      </c>
      <c r="V138" s="41">
        <f t="shared" si="324"/>
        <v>0</v>
      </c>
      <c r="W138" s="41">
        <f t="shared" si="324"/>
        <v>0</v>
      </c>
      <c r="X138" s="41">
        <f t="shared" si="324"/>
        <v>0</v>
      </c>
      <c r="Y138" s="41">
        <f t="shared" si="324"/>
        <v>0</v>
      </c>
      <c r="Z138" s="41">
        <f t="shared" si="324"/>
        <v>0</v>
      </c>
      <c r="AA138" s="128">
        <f t="shared" si="194"/>
        <v>406623426.59999996</v>
      </c>
      <c r="AB138" s="128">
        <f t="shared" si="180"/>
        <v>3020952044.3999996</v>
      </c>
      <c r="AC138" s="175">
        <f t="shared" si="181"/>
        <v>0.5721500084090908</v>
      </c>
    </row>
    <row r="139" spans="1:29" ht="14.25" hidden="1" x14ac:dyDescent="0.2">
      <c r="B139" s="76" t="s">
        <v>532</v>
      </c>
      <c r="C139" s="77" t="s">
        <v>197</v>
      </c>
      <c r="D139" s="330">
        <f>+D137*20%</f>
        <v>1760000000</v>
      </c>
      <c r="E139" s="188">
        <f>SUM('ADICIONES  2021'!C139:I139)</f>
        <v>0</v>
      </c>
      <c r="F139" s="41">
        <f t="shared" ref="F139:J139" si="325">+F137*20%</f>
        <v>0</v>
      </c>
      <c r="G139" s="41">
        <f t="shared" si="325"/>
        <v>0</v>
      </c>
      <c r="H139" s="41">
        <f t="shared" si="325"/>
        <v>0</v>
      </c>
      <c r="I139" s="41">
        <f t="shared" si="325"/>
        <v>0</v>
      </c>
      <c r="J139" s="41">
        <f t="shared" si="325"/>
        <v>0</v>
      </c>
      <c r="K139" s="128">
        <f t="shared" si="170"/>
        <v>1760000000</v>
      </c>
      <c r="L139" s="41">
        <f t="shared" ref="L139:Q139" si="326">+L137*20%</f>
        <v>214428960.80000001</v>
      </c>
      <c r="M139" s="41">
        <f t="shared" si="326"/>
        <v>263271176.60000002</v>
      </c>
      <c r="N139" s="41">
        <f t="shared" si="326"/>
        <v>36192487.399999999</v>
      </c>
      <c r="O139" s="41">
        <f t="shared" si="326"/>
        <v>151027334.59999999</v>
      </c>
      <c r="P139" s="41">
        <f t="shared" si="326"/>
        <v>110799887</v>
      </c>
      <c r="Q139" s="409">
        <f t="shared" si="326"/>
        <v>95723026.200000003</v>
      </c>
      <c r="R139" s="128">
        <f t="shared" si="178"/>
        <v>871442872.60000002</v>
      </c>
      <c r="S139" s="41">
        <f t="shared" ref="S139:Z139" si="327">+S137*20%</f>
        <v>135541142.20000002</v>
      </c>
      <c r="T139" s="41">
        <f t="shared" si="327"/>
        <v>0</v>
      </c>
      <c r="U139" s="41">
        <f t="shared" si="327"/>
        <v>0</v>
      </c>
      <c r="V139" s="41">
        <f t="shared" si="327"/>
        <v>0</v>
      </c>
      <c r="W139" s="41">
        <f t="shared" si="327"/>
        <v>0</v>
      </c>
      <c r="X139" s="41">
        <f t="shared" si="327"/>
        <v>0</v>
      </c>
      <c r="Y139" s="41">
        <f t="shared" si="327"/>
        <v>0</v>
      </c>
      <c r="Z139" s="41">
        <f t="shared" si="327"/>
        <v>0</v>
      </c>
      <c r="AA139" s="128">
        <f t="shared" si="194"/>
        <v>135541142.20000002</v>
      </c>
      <c r="AB139" s="128">
        <f t="shared" si="180"/>
        <v>1006984014.8000001</v>
      </c>
      <c r="AC139" s="175">
        <f t="shared" si="181"/>
        <v>0.57215000840909092</v>
      </c>
    </row>
    <row r="140" spans="1:29" ht="28.5" hidden="1" x14ac:dyDescent="0.2">
      <c r="B140" s="76" t="s">
        <v>533</v>
      </c>
      <c r="C140" s="77" t="s">
        <v>198</v>
      </c>
      <c r="D140" s="330">
        <f>+D137*10%</f>
        <v>880000000</v>
      </c>
      <c r="E140" s="188">
        <f>SUM('ADICIONES  2021'!C140:I140)</f>
        <v>0</v>
      </c>
      <c r="F140" s="41">
        <f t="shared" ref="F140:J140" si="328">+F137*10%</f>
        <v>0</v>
      </c>
      <c r="G140" s="41">
        <f t="shared" si="328"/>
        <v>0</v>
      </c>
      <c r="H140" s="41">
        <f t="shared" si="328"/>
        <v>0</v>
      </c>
      <c r="I140" s="41">
        <f t="shared" si="328"/>
        <v>0</v>
      </c>
      <c r="J140" s="41">
        <f t="shared" si="328"/>
        <v>0</v>
      </c>
      <c r="K140" s="128">
        <f t="shared" ref="K140:K205" si="329">+D140+E140-F140+G140-H140</f>
        <v>880000000</v>
      </c>
      <c r="L140" s="41">
        <f t="shared" ref="L140:Q140" si="330">+L137*10%</f>
        <v>107214480.40000001</v>
      </c>
      <c r="M140" s="41">
        <f t="shared" si="330"/>
        <v>131635588.30000001</v>
      </c>
      <c r="N140" s="41">
        <f t="shared" si="330"/>
        <v>18096243.699999999</v>
      </c>
      <c r="O140" s="41">
        <f t="shared" si="330"/>
        <v>75513667.299999997</v>
      </c>
      <c r="P140" s="41">
        <f t="shared" si="330"/>
        <v>55399943.5</v>
      </c>
      <c r="Q140" s="409">
        <f t="shared" si="330"/>
        <v>47861513.100000001</v>
      </c>
      <c r="R140" s="128">
        <f t="shared" si="178"/>
        <v>435721436.30000001</v>
      </c>
      <c r="S140" s="41">
        <f t="shared" ref="S140:Z140" si="331">+S137*10%</f>
        <v>67770571.100000009</v>
      </c>
      <c r="T140" s="41">
        <f t="shared" si="331"/>
        <v>0</v>
      </c>
      <c r="U140" s="41">
        <f t="shared" si="331"/>
        <v>0</v>
      </c>
      <c r="V140" s="41">
        <f t="shared" si="331"/>
        <v>0</v>
      </c>
      <c r="W140" s="41">
        <f t="shared" si="331"/>
        <v>0</v>
      </c>
      <c r="X140" s="41">
        <f t="shared" si="331"/>
        <v>0</v>
      </c>
      <c r="Y140" s="41">
        <f t="shared" si="331"/>
        <v>0</v>
      </c>
      <c r="Z140" s="41">
        <f t="shared" si="331"/>
        <v>0</v>
      </c>
      <c r="AA140" s="128">
        <f t="shared" si="194"/>
        <v>67770571.100000009</v>
      </c>
      <c r="AB140" s="128">
        <f t="shared" si="180"/>
        <v>503492007.40000004</v>
      </c>
      <c r="AC140" s="175">
        <f t="shared" si="181"/>
        <v>0.57215000840909092</v>
      </c>
    </row>
    <row r="141" spans="1:29" ht="14.25" hidden="1" x14ac:dyDescent="0.2">
      <c r="B141" s="76" t="s">
        <v>534</v>
      </c>
      <c r="C141" s="77" t="s">
        <v>199</v>
      </c>
      <c r="D141" s="330">
        <f>+D137*10%</f>
        <v>880000000</v>
      </c>
      <c r="E141" s="188">
        <f>SUM('ADICIONES  2021'!C141:I141)</f>
        <v>0</v>
      </c>
      <c r="F141" s="41">
        <f t="shared" ref="F141:J141" si="332">+F137*10%</f>
        <v>0</v>
      </c>
      <c r="G141" s="41">
        <f t="shared" si="332"/>
        <v>0</v>
      </c>
      <c r="H141" s="41">
        <f t="shared" si="332"/>
        <v>0</v>
      </c>
      <c r="I141" s="41">
        <f t="shared" si="332"/>
        <v>0</v>
      </c>
      <c r="J141" s="41">
        <f t="shared" si="332"/>
        <v>0</v>
      </c>
      <c r="K141" s="128">
        <f t="shared" si="329"/>
        <v>880000000</v>
      </c>
      <c r="L141" s="41">
        <f t="shared" ref="L141:Q141" si="333">+L137*10%</f>
        <v>107214480.40000001</v>
      </c>
      <c r="M141" s="41">
        <f t="shared" si="333"/>
        <v>131635588.30000001</v>
      </c>
      <c r="N141" s="41">
        <f t="shared" si="333"/>
        <v>18096243.699999999</v>
      </c>
      <c r="O141" s="41">
        <f t="shared" si="333"/>
        <v>75513667.299999997</v>
      </c>
      <c r="P141" s="41">
        <f t="shared" si="333"/>
        <v>55399943.5</v>
      </c>
      <c r="Q141" s="409">
        <f t="shared" si="333"/>
        <v>47861513.100000001</v>
      </c>
      <c r="R141" s="128">
        <f t="shared" si="178"/>
        <v>435721436.30000001</v>
      </c>
      <c r="S141" s="41">
        <f t="shared" ref="S141:Z141" si="334">+S137*10%</f>
        <v>67770571.100000009</v>
      </c>
      <c r="T141" s="41">
        <f t="shared" si="334"/>
        <v>0</v>
      </c>
      <c r="U141" s="41">
        <f t="shared" si="334"/>
        <v>0</v>
      </c>
      <c r="V141" s="41">
        <f t="shared" si="334"/>
        <v>0</v>
      </c>
      <c r="W141" s="41">
        <f t="shared" si="334"/>
        <v>0</v>
      </c>
      <c r="X141" s="41">
        <f t="shared" si="334"/>
        <v>0</v>
      </c>
      <c r="Y141" s="41">
        <f t="shared" si="334"/>
        <v>0</v>
      </c>
      <c r="Z141" s="41">
        <f t="shared" si="334"/>
        <v>0</v>
      </c>
      <c r="AA141" s="128">
        <f t="shared" si="194"/>
        <v>67770571.100000009</v>
      </c>
      <c r="AB141" s="128">
        <f t="shared" si="180"/>
        <v>503492007.40000004</v>
      </c>
      <c r="AC141" s="175">
        <f t="shared" si="181"/>
        <v>0.57215000840909092</v>
      </c>
    </row>
    <row r="142" spans="1:29" s="214" customFormat="1" ht="19.5" x14ac:dyDescent="0.2">
      <c r="A142" s="211">
        <v>1</v>
      </c>
      <c r="B142" s="212" t="s">
        <v>535</v>
      </c>
      <c r="C142" s="213" t="s">
        <v>211</v>
      </c>
      <c r="D142" s="362">
        <f>+D143+D151+D181+D191+D219</f>
        <v>126759808818</v>
      </c>
      <c r="E142" s="306">
        <f>SUM('ADICIONES  2021'!C142:I142)</f>
        <v>0</v>
      </c>
      <c r="F142" s="217">
        <f t="shared" ref="F142:J142" si="335">+F143+F151+F181+F191+F219</f>
        <v>684211000</v>
      </c>
      <c r="G142" s="217">
        <f t="shared" si="335"/>
        <v>0</v>
      </c>
      <c r="H142" s="217">
        <f t="shared" si="335"/>
        <v>0</v>
      </c>
      <c r="I142" s="217">
        <f t="shared" si="335"/>
        <v>0</v>
      </c>
      <c r="J142" s="217">
        <f t="shared" si="335"/>
        <v>0</v>
      </c>
      <c r="K142" s="206">
        <f t="shared" si="329"/>
        <v>126075597818</v>
      </c>
      <c r="L142" s="217">
        <f t="shared" ref="L142:Q142" si="336">+L143+L151+L181+L191+L219</f>
        <v>11611011121.23</v>
      </c>
      <c r="M142" s="217">
        <f t="shared" si="336"/>
        <v>11444892605.289198</v>
      </c>
      <c r="N142" s="217">
        <f t="shared" si="336"/>
        <v>12783464575.609001</v>
      </c>
      <c r="O142" s="217">
        <f t="shared" si="336"/>
        <v>10109051680.16</v>
      </c>
      <c r="P142" s="217">
        <f t="shared" si="336"/>
        <v>11789187233.08</v>
      </c>
      <c r="Q142" s="217">
        <f t="shared" si="336"/>
        <v>13612527667.34</v>
      </c>
      <c r="R142" s="206">
        <f t="shared" ref="R142:R207" si="337">SUM(L142:Q142)</f>
        <v>71350134882.708191</v>
      </c>
      <c r="S142" s="217">
        <f t="shared" ref="S142:Z142" si="338">+S143+S151+S181+S191+S219</f>
        <v>13449465765.18</v>
      </c>
      <c r="T142" s="217">
        <f t="shared" si="338"/>
        <v>0</v>
      </c>
      <c r="U142" s="217">
        <f t="shared" si="338"/>
        <v>0</v>
      </c>
      <c r="V142" s="217">
        <f t="shared" si="338"/>
        <v>0</v>
      </c>
      <c r="W142" s="217">
        <f t="shared" si="338"/>
        <v>0</v>
      </c>
      <c r="X142" s="217">
        <f t="shared" si="338"/>
        <v>0</v>
      </c>
      <c r="Y142" s="217">
        <f t="shared" si="338"/>
        <v>0</v>
      </c>
      <c r="Z142" s="217">
        <f t="shared" si="338"/>
        <v>0</v>
      </c>
      <c r="AA142" s="206">
        <f t="shared" si="194"/>
        <v>13449465765.18</v>
      </c>
      <c r="AB142" s="206">
        <f t="shared" ref="AB142:AB207" si="339">+R142+AA142</f>
        <v>84799600647.888184</v>
      </c>
      <c r="AC142" s="207">
        <f t="shared" ref="AC142:AC210" si="340">+AB142/K142</f>
        <v>0.67260914971272279</v>
      </c>
    </row>
    <row r="143" spans="1:29" s="63" customFormat="1" ht="15.75" x14ac:dyDescent="0.2">
      <c r="A143" s="399">
        <v>1</v>
      </c>
      <c r="B143" s="81" t="s">
        <v>536</v>
      </c>
      <c r="C143" s="79" t="s">
        <v>537</v>
      </c>
      <c r="D143" s="329">
        <f>+D144+D146</f>
        <v>8172000000</v>
      </c>
      <c r="E143" s="187">
        <f>SUM('ADICIONES  2021'!C143:I143)</f>
        <v>0</v>
      </c>
      <c r="F143" s="223">
        <f t="shared" ref="F143:J143" si="341">+F144+F146</f>
        <v>0</v>
      </c>
      <c r="G143" s="223">
        <f t="shared" si="341"/>
        <v>0</v>
      </c>
      <c r="H143" s="223">
        <f t="shared" si="341"/>
        <v>0</v>
      </c>
      <c r="I143" s="223">
        <f t="shared" si="341"/>
        <v>0</v>
      </c>
      <c r="J143" s="223">
        <f t="shared" si="341"/>
        <v>0</v>
      </c>
      <c r="K143" s="78">
        <f t="shared" si="329"/>
        <v>8172000000</v>
      </c>
      <c r="L143" s="223">
        <f t="shared" ref="L143:Q143" si="342">+L144+L146</f>
        <v>1858044387</v>
      </c>
      <c r="M143" s="223">
        <f t="shared" si="342"/>
        <v>1217632339</v>
      </c>
      <c r="N143" s="223">
        <f t="shared" si="342"/>
        <v>941045921</v>
      </c>
      <c r="O143" s="223">
        <f t="shared" si="342"/>
        <v>857654243</v>
      </c>
      <c r="P143" s="223">
        <f t="shared" si="342"/>
        <v>1530632923</v>
      </c>
      <c r="Q143" s="223">
        <f t="shared" si="342"/>
        <v>969263781</v>
      </c>
      <c r="R143" s="78">
        <f t="shared" si="337"/>
        <v>7374273594</v>
      </c>
      <c r="S143" s="223">
        <f t="shared" ref="S143:Z143" si="343">+S144+S146</f>
        <v>1460676027.8499999</v>
      </c>
      <c r="T143" s="223">
        <f t="shared" si="343"/>
        <v>0</v>
      </c>
      <c r="U143" s="223">
        <f t="shared" si="343"/>
        <v>0</v>
      </c>
      <c r="V143" s="223">
        <f t="shared" si="343"/>
        <v>0</v>
      </c>
      <c r="W143" s="223">
        <f t="shared" si="343"/>
        <v>0</v>
      </c>
      <c r="X143" s="223">
        <f t="shared" si="343"/>
        <v>0</v>
      </c>
      <c r="Y143" s="223">
        <f t="shared" si="343"/>
        <v>0</v>
      </c>
      <c r="Z143" s="223">
        <f t="shared" si="343"/>
        <v>0</v>
      </c>
      <c r="AA143" s="78">
        <f t="shared" si="194"/>
        <v>1460676027.8499999</v>
      </c>
      <c r="AB143" s="78">
        <f t="shared" si="339"/>
        <v>8834949621.8500004</v>
      </c>
      <c r="AC143" s="174">
        <f t="shared" si="340"/>
        <v>1.0811245254344102</v>
      </c>
    </row>
    <row r="144" spans="1:29" s="19" customFormat="1" ht="15.75" x14ac:dyDescent="0.2">
      <c r="A144" s="71">
        <v>1</v>
      </c>
      <c r="B144" s="82" t="s">
        <v>538</v>
      </c>
      <c r="C144" s="83" t="s">
        <v>539</v>
      </c>
      <c r="D144" s="333">
        <v>850000000</v>
      </c>
      <c r="E144" s="187">
        <f>SUM('ADICIONES  2021'!C144:I144)</f>
        <v>0</v>
      </c>
      <c r="F144" s="78"/>
      <c r="G144" s="78"/>
      <c r="H144" s="78"/>
      <c r="I144" s="78"/>
      <c r="J144" s="78"/>
      <c r="K144" s="126">
        <f t="shared" si="329"/>
        <v>850000000</v>
      </c>
      <c r="L144" s="126">
        <v>0</v>
      </c>
      <c r="M144" s="126">
        <v>0</v>
      </c>
      <c r="N144" s="126">
        <v>0</v>
      </c>
      <c r="O144" s="126">
        <v>0</v>
      </c>
      <c r="P144" s="126">
        <v>0</v>
      </c>
      <c r="Q144" s="126">
        <v>0</v>
      </c>
      <c r="R144" s="78">
        <f t="shared" si="337"/>
        <v>0</v>
      </c>
      <c r="S144" s="126"/>
      <c r="T144" s="78"/>
      <c r="U144" s="78"/>
      <c r="V144" s="78"/>
      <c r="W144" s="78"/>
      <c r="X144" s="78"/>
      <c r="Y144" s="126"/>
      <c r="Z144" s="78"/>
      <c r="AA144" s="78">
        <f t="shared" si="194"/>
        <v>0</v>
      </c>
      <c r="AB144" s="126">
        <f t="shared" si="339"/>
        <v>0</v>
      </c>
      <c r="AC144" s="180">
        <f t="shared" si="340"/>
        <v>0</v>
      </c>
    </row>
    <row r="145" spans="1:29" ht="28.5" hidden="1" x14ac:dyDescent="0.2">
      <c r="B145" s="76" t="s">
        <v>540</v>
      </c>
      <c r="C145" s="77" t="s">
        <v>541</v>
      </c>
      <c r="D145" s="334">
        <f>+D144</f>
        <v>850000000</v>
      </c>
      <c r="E145" s="188">
        <f>SUM('ADICIONES  2021'!C145:I145)</f>
        <v>0</v>
      </c>
      <c r="F145" s="128">
        <f t="shared" ref="F145:J145" si="344">+F144</f>
        <v>0</v>
      </c>
      <c r="G145" s="128">
        <f t="shared" si="344"/>
        <v>0</v>
      </c>
      <c r="H145" s="128">
        <f t="shared" si="344"/>
        <v>0</v>
      </c>
      <c r="I145" s="128">
        <f t="shared" si="344"/>
        <v>0</v>
      </c>
      <c r="J145" s="128">
        <f t="shared" si="344"/>
        <v>0</v>
      </c>
      <c r="K145" s="128">
        <f t="shared" si="329"/>
        <v>850000000</v>
      </c>
      <c r="L145" s="128">
        <f>+L144</f>
        <v>0</v>
      </c>
      <c r="M145" s="128">
        <f t="shared" ref="M145:Q145" si="345">+M144</f>
        <v>0</v>
      </c>
      <c r="N145" s="128">
        <f t="shared" si="345"/>
        <v>0</v>
      </c>
      <c r="O145" s="128">
        <f t="shared" si="345"/>
        <v>0</v>
      </c>
      <c r="P145" s="128">
        <f t="shared" si="345"/>
        <v>0</v>
      </c>
      <c r="Q145" s="413">
        <f t="shared" si="345"/>
        <v>0</v>
      </c>
      <c r="R145" s="128">
        <f t="shared" si="337"/>
        <v>0</v>
      </c>
      <c r="S145" s="403">
        <f t="shared" ref="S145:Z145" si="346">+S144</f>
        <v>0</v>
      </c>
      <c r="T145" s="128">
        <f t="shared" si="346"/>
        <v>0</v>
      </c>
      <c r="U145" s="128">
        <f t="shared" si="346"/>
        <v>0</v>
      </c>
      <c r="V145" s="128">
        <f t="shared" si="346"/>
        <v>0</v>
      </c>
      <c r="W145" s="128">
        <f t="shared" si="346"/>
        <v>0</v>
      </c>
      <c r="X145" s="128">
        <f t="shared" si="346"/>
        <v>0</v>
      </c>
      <c r="Y145" s="128">
        <f t="shared" si="346"/>
        <v>0</v>
      </c>
      <c r="Z145" s="128">
        <f t="shared" si="346"/>
        <v>0</v>
      </c>
      <c r="AA145" s="128">
        <f t="shared" si="194"/>
        <v>0</v>
      </c>
      <c r="AB145" s="128">
        <f t="shared" si="339"/>
        <v>0</v>
      </c>
      <c r="AC145" s="175">
        <f t="shared" si="340"/>
        <v>0</v>
      </c>
    </row>
    <row r="146" spans="1:29" s="63" customFormat="1" ht="15.75" hidden="1" x14ac:dyDescent="0.2">
      <c r="A146" s="399"/>
      <c r="B146" s="81" t="s">
        <v>542</v>
      </c>
      <c r="C146" s="79" t="s">
        <v>543</v>
      </c>
      <c r="D146" s="329">
        <f>+D147+D150</f>
        <v>7322000000</v>
      </c>
      <c r="E146" s="187">
        <f>SUM('ADICIONES  2021'!C146:I146)</f>
        <v>0</v>
      </c>
      <c r="F146" s="223">
        <f t="shared" ref="F146:J146" si="347">+F147+F150</f>
        <v>0</v>
      </c>
      <c r="G146" s="223">
        <f t="shared" si="347"/>
        <v>0</v>
      </c>
      <c r="H146" s="223">
        <f t="shared" si="347"/>
        <v>0</v>
      </c>
      <c r="I146" s="223">
        <f t="shared" si="347"/>
        <v>0</v>
      </c>
      <c r="J146" s="223">
        <f t="shared" si="347"/>
        <v>0</v>
      </c>
      <c r="K146" s="78">
        <f t="shared" si="329"/>
        <v>7322000000</v>
      </c>
      <c r="L146" s="223">
        <f t="shared" ref="L146:Q146" si="348">+L147+L150</f>
        <v>1858044387</v>
      </c>
      <c r="M146" s="223">
        <f t="shared" si="348"/>
        <v>1217632339</v>
      </c>
      <c r="N146" s="223">
        <f t="shared" si="348"/>
        <v>941045921</v>
      </c>
      <c r="O146" s="223">
        <f t="shared" si="348"/>
        <v>857654243</v>
      </c>
      <c r="P146" s="223">
        <f t="shared" si="348"/>
        <v>1530632923</v>
      </c>
      <c r="Q146" s="407">
        <f t="shared" si="348"/>
        <v>969263781</v>
      </c>
      <c r="R146" s="78">
        <f t="shared" si="337"/>
        <v>7374273594</v>
      </c>
      <c r="S146" s="223">
        <f t="shared" ref="S146:Z146" si="349">+S147+S150</f>
        <v>1460676027.8499999</v>
      </c>
      <c r="T146" s="223">
        <f t="shared" si="349"/>
        <v>0</v>
      </c>
      <c r="U146" s="223">
        <f t="shared" si="349"/>
        <v>0</v>
      </c>
      <c r="V146" s="223">
        <f t="shared" si="349"/>
        <v>0</v>
      </c>
      <c r="W146" s="223">
        <f t="shared" si="349"/>
        <v>0</v>
      </c>
      <c r="X146" s="223">
        <f t="shared" si="349"/>
        <v>0</v>
      </c>
      <c r="Y146" s="223">
        <f t="shared" si="349"/>
        <v>0</v>
      </c>
      <c r="Z146" s="223">
        <f t="shared" si="349"/>
        <v>0</v>
      </c>
      <c r="AA146" s="78">
        <f t="shared" si="194"/>
        <v>1460676027.8499999</v>
      </c>
      <c r="AB146" s="78">
        <f t="shared" si="339"/>
        <v>8834949621.8500004</v>
      </c>
      <c r="AC146" s="174">
        <f t="shared" si="340"/>
        <v>1.2066306503482656</v>
      </c>
    </row>
    <row r="147" spans="1:29" s="19" customFormat="1" ht="15.75" x14ac:dyDescent="0.2">
      <c r="A147" s="71">
        <v>1</v>
      </c>
      <c r="B147" s="82" t="s">
        <v>544</v>
      </c>
      <c r="C147" s="83" t="s">
        <v>233</v>
      </c>
      <c r="D147" s="329">
        <f>SUM(D148:D149)</f>
        <v>42000000</v>
      </c>
      <c r="E147" s="187">
        <f>SUM('ADICIONES  2021'!C147:I147)</f>
        <v>0</v>
      </c>
      <c r="F147" s="223">
        <f>SUM(F148:F149)</f>
        <v>0</v>
      </c>
      <c r="G147" s="223">
        <f t="shared" ref="G147:J147" si="350">SUM(G148:G149)</f>
        <v>0</v>
      </c>
      <c r="H147" s="223">
        <f t="shared" si="350"/>
        <v>0</v>
      </c>
      <c r="I147" s="223">
        <f t="shared" si="350"/>
        <v>0</v>
      </c>
      <c r="J147" s="223">
        <f t="shared" si="350"/>
        <v>0</v>
      </c>
      <c r="K147" s="126">
        <f t="shared" si="329"/>
        <v>42000000</v>
      </c>
      <c r="L147" s="260">
        <f t="shared" ref="L147:Q147" si="351">SUM(L148:L149)</f>
        <v>241500</v>
      </c>
      <c r="M147" s="260">
        <f t="shared" si="351"/>
        <v>627900</v>
      </c>
      <c r="N147" s="260">
        <f t="shared" si="351"/>
        <v>710700</v>
      </c>
      <c r="O147" s="260">
        <f t="shared" si="351"/>
        <v>372600</v>
      </c>
      <c r="P147" s="260">
        <f t="shared" si="351"/>
        <v>351900</v>
      </c>
      <c r="Q147" s="260">
        <f t="shared" si="351"/>
        <v>400200</v>
      </c>
      <c r="R147" s="78">
        <f t="shared" si="337"/>
        <v>2704800</v>
      </c>
      <c r="S147" s="260">
        <f t="shared" ref="S147:Z147" si="352">SUM(S148:S149)</f>
        <v>21217796</v>
      </c>
      <c r="T147" s="223">
        <f t="shared" si="352"/>
        <v>0</v>
      </c>
      <c r="U147" s="223">
        <f t="shared" si="352"/>
        <v>0</v>
      </c>
      <c r="V147" s="223">
        <f t="shared" si="352"/>
        <v>0</v>
      </c>
      <c r="W147" s="223">
        <f t="shared" si="352"/>
        <v>0</v>
      </c>
      <c r="X147" s="223">
        <f t="shared" si="352"/>
        <v>0</v>
      </c>
      <c r="Y147" s="260">
        <f t="shared" si="352"/>
        <v>0</v>
      </c>
      <c r="Z147" s="223">
        <f t="shared" si="352"/>
        <v>0</v>
      </c>
      <c r="AA147" s="78">
        <f t="shared" ref="AA147:AA212" si="353">SUM(S147:Z147)</f>
        <v>21217796</v>
      </c>
      <c r="AB147" s="126">
        <f t="shared" si="339"/>
        <v>23922596</v>
      </c>
      <c r="AC147" s="180">
        <f t="shared" si="340"/>
        <v>0.56958561904761906</v>
      </c>
    </row>
    <row r="148" spans="1:29" ht="14.25" hidden="1" x14ac:dyDescent="0.2">
      <c r="B148" s="76" t="s">
        <v>545</v>
      </c>
      <c r="C148" s="77" t="s">
        <v>234</v>
      </c>
      <c r="D148" s="334">
        <v>42000000</v>
      </c>
      <c r="E148" s="188">
        <f>SUM('ADICIONES  2021'!C148:I148)</f>
        <v>0</v>
      </c>
      <c r="F148" s="128"/>
      <c r="G148" s="128"/>
      <c r="H148" s="128"/>
      <c r="I148" s="128"/>
      <c r="J148" s="128"/>
      <c r="K148" s="128">
        <f t="shared" si="329"/>
        <v>42000000</v>
      </c>
      <c r="L148" s="128">
        <v>241500</v>
      </c>
      <c r="M148" s="128">
        <v>627900</v>
      </c>
      <c r="N148" s="128">
        <v>710700</v>
      </c>
      <c r="O148" s="128">
        <v>372600</v>
      </c>
      <c r="P148" s="128">
        <v>351900</v>
      </c>
      <c r="Q148" s="413">
        <v>400200</v>
      </c>
      <c r="R148" s="128">
        <f t="shared" si="337"/>
        <v>2704800</v>
      </c>
      <c r="S148" s="128">
        <v>462300</v>
      </c>
      <c r="T148" s="128"/>
      <c r="U148" s="128"/>
      <c r="V148" s="128"/>
      <c r="W148" s="128"/>
      <c r="X148" s="128"/>
      <c r="Y148" s="128"/>
      <c r="Z148" s="128"/>
      <c r="AA148" s="128">
        <f t="shared" si="353"/>
        <v>462300</v>
      </c>
      <c r="AB148" s="128">
        <f t="shared" si="339"/>
        <v>3167100</v>
      </c>
      <c r="AC148" s="175">
        <f t="shared" si="340"/>
        <v>7.5407142857142853E-2</v>
      </c>
    </row>
    <row r="149" spans="1:29" ht="28.5" hidden="1" x14ac:dyDescent="0.2">
      <c r="B149" s="76" t="s">
        <v>546</v>
      </c>
      <c r="C149" s="77" t="s">
        <v>261</v>
      </c>
      <c r="D149" s="334">
        <v>0</v>
      </c>
      <c r="E149" s="188">
        <f>SUM('ADICIONES  2021'!C149:I149)</f>
        <v>0</v>
      </c>
      <c r="F149" s="128"/>
      <c r="G149" s="128"/>
      <c r="H149" s="128"/>
      <c r="I149" s="128"/>
      <c r="J149" s="128"/>
      <c r="K149" s="128">
        <f t="shared" si="329"/>
        <v>0</v>
      </c>
      <c r="L149" s="128">
        <v>0</v>
      </c>
      <c r="M149" s="128">
        <v>0</v>
      </c>
      <c r="N149" s="128">
        <v>0</v>
      </c>
      <c r="O149" s="128">
        <v>0</v>
      </c>
      <c r="P149" s="128">
        <v>0</v>
      </c>
      <c r="Q149" s="413">
        <v>0</v>
      </c>
      <c r="R149" s="128">
        <f t="shared" si="337"/>
        <v>0</v>
      </c>
      <c r="S149" s="128">
        <v>20755496</v>
      </c>
      <c r="T149" s="128"/>
      <c r="U149" s="128"/>
      <c r="V149" s="128"/>
      <c r="W149" s="128"/>
      <c r="X149" s="128"/>
      <c r="Y149" s="128"/>
      <c r="Z149" s="128"/>
      <c r="AA149" s="128">
        <f t="shared" si="353"/>
        <v>20755496</v>
      </c>
      <c r="AB149" s="128">
        <f t="shared" si="339"/>
        <v>20755496</v>
      </c>
      <c r="AC149" s="175" t="e">
        <f t="shared" si="340"/>
        <v>#DIV/0!</v>
      </c>
    </row>
    <row r="150" spans="1:29" s="19" customFormat="1" ht="30" x14ac:dyDescent="0.2">
      <c r="A150" s="71">
        <v>1</v>
      </c>
      <c r="B150" s="82" t="s">
        <v>547</v>
      </c>
      <c r="C150" s="83" t="s">
        <v>548</v>
      </c>
      <c r="D150" s="333">
        <v>7280000000</v>
      </c>
      <c r="E150" s="187">
        <f>SUM('ADICIONES  2021'!C150:I150)</f>
        <v>0</v>
      </c>
      <c r="F150" s="78"/>
      <c r="G150" s="78"/>
      <c r="H150" s="78"/>
      <c r="I150" s="78"/>
      <c r="J150" s="78"/>
      <c r="K150" s="128">
        <f t="shared" si="329"/>
        <v>7280000000</v>
      </c>
      <c r="L150" s="126">
        <v>1857802887</v>
      </c>
      <c r="M150" s="126">
        <v>1217004439</v>
      </c>
      <c r="N150" s="126">
        <v>940335221</v>
      </c>
      <c r="O150" s="126">
        <v>857281643</v>
      </c>
      <c r="P150" s="126">
        <v>1530281023</v>
      </c>
      <c r="Q150" s="126">
        <v>968863581</v>
      </c>
      <c r="R150" s="127">
        <f t="shared" si="337"/>
        <v>7371568794</v>
      </c>
      <c r="S150" s="126">
        <v>1439458231.8499999</v>
      </c>
      <c r="T150" s="78"/>
      <c r="U150" s="78"/>
      <c r="V150" s="78"/>
      <c r="W150" s="78"/>
      <c r="X150" s="78"/>
      <c r="Y150" s="126"/>
      <c r="Z150" s="78"/>
      <c r="AA150" s="127">
        <f t="shared" si="353"/>
        <v>1439458231.8499999</v>
      </c>
      <c r="AB150" s="128">
        <f t="shared" si="339"/>
        <v>8811027025.8500004</v>
      </c>
      <c r="AC150" s="180">
        <f t="shared" si="340"/>
        <v>1.2103059101442308</v>
      </c>
    </row>
    <row r="151" spans="1:29" s="63" customFormat="1" ht="15.75" x14ac:dyDescent="0.2">
      <c r="A151" s="399">
        <v>1</v>
      </c>
      <c r="B151" s="81" t="s">
        <v>549</v>
      </c>
      <c r="C151" s="79" t="s">
        <v>550</v>
      </c>
      <c r="D151" s="329">
        <f>+D152+D167</f>
        <v>3265320000</v>
      </c>
      <c r="E151" s="188">
        <f>SUM('ADICIONES  2021'!C151:I151)</f>
        <v>0</v>
      </c>
      <c r="F151" s="223">
        <f t="shared" ref="F151:J151" si="354">+F152+F167</f>
        <v>0</v>
      </c>
      <c r="G151" s="223">
        <f t="shared" si="354"/>
        <v>0</v>
      </c>
      <c r="H151" s="223">
        <f t="shared" si="354"/>
        <v>0</v>
      </c>
      <c r="I151" s="223">
        <f t="shared" si="354"/>
        <v>0</v>
      </c>
      <c r="J151" s="223">
        <f t="shared" si="354"/>
        <v>0</v>
      </c>
      <c r="K151" s="78">
        <f t="shared" si="329"/>
        <v>3265320000</v>
      </c>
      <c r="L151" s="223">
        <f t="shared" ref="L151:Q151" si="355">+L152+L167</f>
        <v>1050363041</v>
      </c>
      <c r="M151" s="223">
        <f t="shared" si="355"/>
        <v>1883151455</v>
      </c>
      <c r="N151" s="223">
        <f t="shared" si="355"/>
        <v>1944774740</v>
      </c>
      <c r="O151" s="223">
        <f t="shared" si="355"/>
        <v>1643453298</v>
      </c>
      <c r="P151" s="223">
        <f t="shared" si="355"/>
        <v>1050611691</v>
      </c>
      <c r="Q151" s="223">
        <f t="shared" si="355"/>
        <v>2398628974</v>
      </c>
      <c r="R151" s="78">
        <f t="shared" si="337"/>
        <v>9970983199</v>
      </c>
      <c r="S151" s="223">
        <f t="shared" ref="S151:Z151" si="356">+S152+S167</f>
        <v>2242763792</v>
      </c>
      <c r="T151" s="223">
        <f t="shared" si="356"/>
        <v>0</v>
      </c>
      <c r="U151" s="223">
        <f t="shared" si="356"/>
        <v>0</v>
      </c>
      <c r="V151" s="223">
        <f t="shared" si="356"/>
        <v>0</v>
      </c>
      <c r="W151" s="223">
        <f t="shared" si="356"/>
        <v>0</v>
      </c>
      <c r="X151" s="223">
        <f t="shared" si="356"/>
        <v>0</v>
      </c>
      <c r="Y151" s="223">
        <f t="shared" si="356"/>
        <v>0</v>
      </c>
      <c r="Z151" s="223">
        <f t="shared" si="356"/>
        <v>0</v>
      </c>
      <c r="AA151" s="78">
        <f t="shared" si="353"/>
        <v>2242763792</v>
      </c>
      <c r="AB151" s="78">
        <f t="shared" si="339"/>
        <v>12213746991</v>
      </c>
      <c r="AC151" s="174">
        <f t="shared" si="340"/>
        <v>3.7404441191062436</v>
      </c>
    </row>
    <row r="152" spans="1:29" s="63" customFormat="1" ht="15.75" hidden="1" x14ac:dyDescent="0.2">
      <c r="A152" s="399"/>
      <c r="B152" s="81" t="s">
        <v>551</v>
      </c>
      <c r="C152" s="79" t="s">
        <v>552</v>
      </c>
      <c r="D152" s="329">
        <f>+D153</f>
        <v>1758320000</v>
      </c>
      <c r="E152" s="187">
        <f>SUM('ADICIONES  2021'!C152:I152)</f>
        <v>0</v>
      </c>
      <c r="F152" s="223">
        <f t="shared" ref="F152:J152" si="357">+F153</f>
        <v>0</v>
      </c>
      <c r="G152" s="223">
        <f t="shared" si="357"/>
        <v>0</v>
      </c>
      <c r="H152" s="223">
        <f t="shared" si="357"/>
        <v>0</v>
      </c>
      <c r="I152" s="223">
        <f t="shared" si="357"/>
        <v>0</v>
      </c>
      <c r="J152" s="223">
        <f t="shared" si="357"/>
        <v>0</v>
      </c>
      <c r="K152" s="78">
        <f t="shared" si="329"/>
        <v>1758320000</v>
      </c>
      <c r="L152" s="223">
        <f t="shared" ref="L152:Q152" si="358">+L153</f>
        <v>840156809</v>
      </c>
      <c r="M152" s="223">
        <f t="shared" si="358"/>
        <v>1330670530</v>
      </c>
      <c r="N152" s="223">
        <f t="shared" si="358"/>
        <v>1480652270</v>
      </c>
      <c r="O152" s="223">
        <f t="shared" si="358"/>
        <v>1191050969</v>
      </c>
      <c r="P152" s="223">
        <f t="shared" si="358"/>
        <v>755542453</v>
      </c>
      <c r="Q152" s="407">
        <f t="shared" si="358"/>
        <v>1878726274</v>
      </c>
      <c r="R152" s="78">
        <f t="shared" si="337"/>
        <v>7476799305</v>
      </c>
      <c r="S152" s="223">
        <f t="shared" ref="S152:Z152" si="359">+S153</f>
        <v>1816624660</v>
      </c>
      <c r="T152" s="223">
        <f t="shared" si="359"/>
        <v>0</v>
      </c>
      <c r="U152" s="223">
        <f t="shared" si="359"/>
        <v>0</v>
      </c>
      <c r="V152" s="223">
        <f t="shared" si="359"/>
        <v>0</v>
      </c>
      <c r="W152" s="223">
        <f t="shared" si="359"/>
        <v>0</v>
      </c>
      <c r="X152" s="223">
        <f t="shared" si="359"/>
        <v>0</v>
      </c>
      <c r="Y152" s="223">
        <f t="shared" si="359"/>
        <v>0</v>
      </c>
      <c r="Z152" s="223">
        <f t="shared" si="359"/>
        <v>0</v>
      </c>
      <c r="AA152" s="78">
        <f t="shared" si="353"/>
        <v>1816624660</v>
      </c>
      <c r="AB152" s="78">
        <f t="shared" si="339"/>
        <v>9293423965</v>
      </c>
      <c r="AC152" s="174">
        <f t="shared" si="340"/>
        <v>5.2853996798079983</v>
      </c>
    </row>
    <row r="153" spans="1:29" s="63" customFormat="1" ht="15.75" hidden="1" x14ac:dyDescent="0.2">
      <c r="A153" s="399"/>
      <c r="B153" s="81" t="s">
        <v>553</v>
      </c>
      <c r="C153" s="79" t="s">
        <v>554</v>
      </c>
      <c r="D153" s="329">
        <f>+D154+D161</f>
        <v>1758320000</v>
      </c>
      <c r="E153" s="187">
        <f>SUM('ADICIONES  2021'!C153:I153)</f>
        <v>0</v>
      </c>
      <c r="F153" s="223">
        <f t="shared" ref="F153:J153" si="360">+F154+F161</f>
        <v>0</v>
      </c>
      <c r="G153" s="223">
        <f t="shared" si="360"/>
        <v>0</v>
      </c>
      <c r="H153" s="223">
        <f t="shared" si="360"/>
        <v>0</v>
      </c>
      <c r="I153" s="223">
        <f t="shared" si="360"/>
        <v>0</v>
      </c>
      <c r="J153" s="223">
        <f t="shared" si="360"/>
        <v>0</v>
      </c>
      <c r="K153" s="78">
        <f t="shared" si="329"/>
        <v>1758320000</v>
      </c>
      <c r="L153" s="223">
        <f t="shared" ref="L153:Q153" si="361">+L154+L161</f>
        <v>840156809</v>
      </c>
      <c r="M153" s="223">
        <f t="shared" si="361"/>
        <v>1330670530</v>
      </c>
      <c r="N153" s="223">
        <f t="shared" si="361"/>
        <v>1480652270</v>
      </c>
      <c r="O153" s="223">
        <f t="shared" si="361"/>
        <v>1191050969</v>
      </c>
      <c r="P153" s="223">
        <f t="shared" si="361"/>
        <v>755542453</v>
      </c>
      <c r="Q153" s="407">
        <f t="shared" si="361"/>
        <v>1878726274</v>
      </c>
      <c r="R153" s="78">
        <f t="shared" si="337"/>
        <v>7476799305</v>
      </c>
      <c r="S153" s="223">
        <f t="shared" ref="S153:Z153" si="362">+S154+S161</f>
        <v>1816624660</v>
      </c>
      <c r="T153" s="223">
        <f t="shared" si="362"/>
        <v>0</v>
      </c>
      <c r="U153" s="223">
        <f t="shared" si="362"/>
        <v>0</v>
      </c>
      <c r="V153" s="223">
        <f t="shared" si="362"/>
        <v>0</v>
      </c>
      <c r="W153" s="223">
        <f t="shared" si="362"/>
        <v>0</v>
      </c>
      <c r="X153" s="223">
        <f t="shared" si="362"/>
        <v>0</v>
      </c>
      <c r="Y153" s="223">
        <f t="shared" si="362"/>
        <v>0</v>
      </c>
      <c r="Z153" s="223">
        <f t="shared" si="362"/>
        <v>0</v>
      </c>
      <c r="AA153" s="78">
        <f t="shared" si="353"/>
        <v>1816624660</v>
      </c>
      <c r="AB153" s="78">
        <f t="shared" si="339"/>
        <v>9293423965</v>
      </c>
      <c r="AC153" s="174">
        <f t="shared" si="340"/>
        <v>5.2853996798079983</v>
      </c>
    </row>
    <row r="154" spans="1:29" s="19" customFormat="1" ht="15.75" x14ac:dyDescent="0.2">
      <c r="A154" s="71">
        <v>1</v>
      </c>
      <c r="B154" s="82" t="s">
        <v>555</v>
      </c>
      <c r="C154" s="77" t="s">
        <v>222</v>
      </c>
      <c r="D154" s="329">
        <v>1750000000</v>
      </c>
      <c r="E154" s="187">
        <f>SUM('ADICIONES  2021'!C154:I154)</f>
        <v>0</v>
      </c>
      <c r="F154" s="78"/>
      <c r="G154" s="78"/>
      <c r="H154" s="78"/>
      <c r="I154" s="78"/>
      <c r="J154" s="78"/>
      <c r="K154" s="126">
        <f t="shared" si="329"/>
        <v>1750000000</v>
      </c>
      <c r="L154" s="126">
        <v>840156809</v>
      </c>
      <c r="M154" s="126">
        <v>1330670530</v>
      </c>
      <c r="N154" s="126">
        <v>1480652270</v>
      </c>
      <c r="O154" s="126">
        <v>1191050969</v>
      </c>
      <c r="P154" s="126">
        <v>755542453</v>
      </c>
      <c r="Q154" s="126">
        <v>1878726274</v>
      </c>
      <c r="R154" s="78">
        <f t="shared" si="337"/>
        <v>7476799305</v>
      </c>
      <c r="S154" s="126">
        <v>1816624660</v>
      </c>
      <c r="T154" s="78"/>
      <c r="U154" s="78"/>
      <c r="V154" s="78"/>
      <c r="W154" s="78"/>
      <c r="X154" s="78"/>
      <c r="Y154" s="126"/>
      <c r="Z154" s="78"/>
      <c r="AA154" s="78">
        <f t="shared" si="353"/>
        <v>1816624660</v>
      </c>
      <c r="AB154" s="126">
        <f t="shared" si="339"/>
        <v>9293423965</v>
      </c>
      <c r="AC154" s="180">
        <f t="shared" si="340"/>
        <v>5.3105279799999998</v>
      </c>
    </row>
    <row r="155" spans="1:29" ht="42.75" hidden="1" x14ac:dyDescent="0.2">
      <c r="B155" s="76" t="s">
        <v>556</v>
      </c>
      <c r="C155" s="77" t="s">
        <v>223</v>
      </c>
      <c r="D155" s="330">
        <f>+D154*69.7845456%</f>
        <v>1221229548</v>
      </c>
      <c r="E155" s="188">
        <f>SUM('ADICIONES  2021'!C155:I155)</f>
        <v>0</v>
      </c>
      <c r="F155" s="41">
        <f t="shared" ref="F155:J155" si="363">+F154*69.7845456%</f>
        <v>0</v>
      </c>
      <c r="G155" s="41">
        <f t="shared" si="363"/>
        <v>0</v>
      </c>
      <c r="H155" s="41">
        <f t="shared" si="363"/>
        <v>0</v>
      </c>
      <c r="I155" s="41">
        <f t="shared" si="363"/>
        <v>0</v>
      </c>
      <c r="J155" s="41">
        <f t="shared" si="363"/>
        <v>0</v>
      </c>
      <c r="K155" s="128">
        <f t="shared" si="329"/>
        <v>1221229548</v>
      </c>
      <c r="L155" s="41">
        <f t="shared" ref="L155:Q155" si="364">+L154*69.7845456%</f>
        <v>586299611.48810995</v>
      </c>
      <c r="M155" s="41">
        <f t="shared" si="364"/>
        <v>928602382.79361176</v>
      </c>
      <c r="N155" s="41">
        <f t="shared" si="364"/>
        <v>1033266458.5355852</v>
      </c>
      <c r="O155" s="41">
        <f t="shared" si="364"/>
        <v>831169506.58104694</v>
      </c>
      <c r="P155" s="41">
        <f t="shared" si="364"/>
        <v>527251867.64114362</v>
      </c>
      <c r="Q155" s="409">
        <f t="shared" si="364"/>
        <v>1311060593.378711</v>
      </c>
      <c r="R155" s="128">
        <f t="shared" si="337"/>
        <v>5217650420.4182081</v>
      </c>
      <c r="S155" s="41">
        <f t="shared" ref="S155:Z155" si="365">+S154*69.7845456%</f>
        <v>1267723264.2385449</v>
      </c>
      <c r="T155" s="41">
        <f t="shared" si="365"/>
        <v>0</v>
      </c>
      <c r="U155" s="41">
        <f t="shared" si="365"/>
        <v>0</v>
      </c>
      <c r="V155" s="41">
        <f t="shared" si="365"/>
        <v>0</v>
      </c>
      <c r="W155" s="41">
        <f t="shared" si="365"/>
        <v>0</v>
      </c>
      <c r="X155" s="41">
        <f t="shared" si="365"/>
        <v>0</v>
      </c>
      <c r="Y155" s="41">
        <f t="shared" si="365"/>
        <v>0</v>
      </c>
      <c r="Z155" s="41">
        <f t="shared" si="365"/>
        <v>0</v>
      </c>
      <c r="AA155" s="128">
        <f t="shared" si="353"/>
        <v>1267723264.2385449</v>
      </c>
      <c r="AB155" s="128">
        <f t="shared" si="339"/>
        <v>6485373684.6567535</v>
      </c>
      <c r="AC155" s="175">
        <f t="shared" si="340"/>
        <v>5.3105279800000007</v>
      </c>
    </row>
    <row r="156" spans="1:29" ht="28.5" hidden="1" x14ac:dyDescent="0.2">
      <c r="B156" s="76" t="s">
        <v>557</v>
      </c>
      <c r="C156" s="77" t="s">
        <v>224</v>
      </c>
      <c r="D156" s="330">
        <f>+D154*0.08%</f>
        <v>1400000</v>
      </c>
      <c r="E156" s="188">
        <f>SUM('ADICIONES  2021'!C156:I156)</f>
        <v>0</v>
      </c>
      <c r="F156" s="41">
        <f t="shared" ref="F156:J156" si="366">+F154*0.08%</f>
        <v>0</v>
      </c>
      <c r="G156" s="41">
        <f t="shared" si="366"/>
        <v>0</v>
      </c>
      <c r="H156" s="41">
        <f t="shared" si="366"/>
        <v>0</v>
      </c>
      <c r="I156" s="41">
        <f t="shared" si="366"/>
        <v>0</v>
      </c>
      <c r="J156" s="41">
        <f t="shared" si="366"/>
        <v>0</v>
      </c>
      <c r="K156" s="128">
        <f t="shared" si="329"/>
        <v>1400000</v>
      </c>
      <c r="L156" s="41">
        <f t="shared" ref="L156:Q156" si="367">+L154*0.08%</f>
        <v>672125.44720000005</v>
      </c>
      <c r="M156" s="41">
        <f t="shared" si="367"/>
        <v>1064536.4240000001</v>
      </c>
      <c r="N156" s="41">
        <f t="shared" si="367"/>
        <v>1184521.8160000001</v>
      </c>
      <c r="O156" s="41">
        <f t="shared" si="367"/>
        <v>952840.77520000003</v>
      </c>
      <c r="P156" s="41">
        <f t="shared" si="367"/>
        <v>604433.96240000008</v>
      </c>
      <c r="Q156" s="409">
        <f t="shared" si="367"/>
        <v>1502981.0192</v>
      </c>
      <c r="R156" s="128">
        <f t="shared" si="337"/>
        <v>5981439.4440000011</v>
      </c>
      <c r="S156" s="41">
        <f t="shared" ref="S156:Z156" si="368">+S154*0.08%</f>
        <v>1453299.7280000001</v>
      </c>
      <c r="T156" s="41">
        <f t="shared" si="368"/>
        <v>0</v>
      </c>
      <c r="U156" s="41">
        <f t="shared" si="368"/>
        <v>0</v>
      </c>
      <c r="V156" s="41">
        <f t="shared" si="368"/>
        <v>0</v>
      </c>
      <c r="W156" s="41">
        <f t="shared" si="368"/>
        <v>0</v>
      </c>
      <c r="X156" s="41">
        <f t="shared" si="368"/>
        <v>0</v>
      </c>
      <c r="Y156" s="41">
        <f t="shared" si="368"/>
        <v>0</v>
      </c>
      <c r="Z156" s="41">
        <f t="shared" si="368"/>
        <v>0</v>
      </c>
      <c r="AA156" s="128">
        <f t="shared" si="353"/>
        <v>1453299.7280000001</v>
      </c>
      <c r="AB156" s="128">
        <f t="shared" si="339"/>
        <v>7434739.1720000012</v>
      </c>
      <c r="AC156" s="175">
        <f t="shared" si="340"/>
        <v>5.3105279800000007</v>
      </c>
    </row>
    <row r="157" spans="1:29" ht="28.5" hidden="1" x14ac:dyDescent="0.2">
      <c r="B157" s="76" t="s">
        <v>558</v>
      </c>
      <c r="C157" s="77" t="s">
        <v>225</v>
      </c>
      <c r="D157" s="330">
        <f>+D154*7.992%</f>
        <v>139860000</v>
      </c>
      <c r="E157" s="188">
        <f>SUM('ADICIONES  2021'!C157:I157)</f>
        <v>0</v>
      </c>
      <c r="F157" s="41">
        <f t="shared" ref="F157:J157" si="369">+F154*7.992%</f>
        <v>0</v>
      </c>
      <c r="G157" s="41">
        <f t="shared" si="369"/>
        <v>0</v>
      </c>
      <c r="H157" s="41">
        <f t="shared" si="369"/>
        <v>0</v>
      </c>
      <c r="I157" s="41">
        <f t="shared" si="369"/>
        <v>0</v>
      </c>
      <c r="J157" s="41">
        <f t="shared" si="369"/>
        <v>0</v>
      </c>
      <c r="K157" s="128">
        <f t="shared" si="329"/>
        <v>139860000</v>
      </c>
      <c r="L157" s="41">
        <f t="shared" ref="L157:Q157" si="370">+L154*7.992%</f>
        <v>67145332.175280005</v>
      </c>
      <c r="M157" s="41">
        <f t="shared" si="370"/>
        <v>106347188.75760001</v>
      </c>
      <c r="N157" s="41">
        <f t="shared" si="370"/>
        <v>118333729.4184</v>
      </c>
      <c r="O157" s="41">
        <f t="shared" si="370"/>
        <v>95188793.442480013</v>
      </c>
      <c r="P157" s="41">
        <f t="shared" si="370"/>
        <v>60382952.843760006</v>
      </c>
      <c r="Q157" s="409">
        <f t="shared" si="370"/>
        <v>150147803.81808001</v>
      </c>
      <c r="R157" s="128">
        <f t="shared" si="337"/>
        <v>597545800.45560002</v>
      </c>
      <c r="S157" s="41">
        <f t="shared" ref="S157:Z157" si="371">+S154*7.992%</f>
        <v>145184642.8272</v>
      </c>
      <c r="T157" s="41">
        <f t="shared" si="371"/>
        <v>0</v>
      </c>
      <c r="U157" s="41">
        <f t="shared" si="371"/>
        <v>0</v>
      </c>
      <c r="V157" s="41">
        <f t="shared" si="371"/>
        <v>0</v>
      </c>
      <c r="W157" s="41">
        <f t="shared" si="371"/>
        <v>0</v>
      </c>
      <c r="X157" s="41">
        <f t="shared" si="371"/>
        <v>0</v>
      </c>
      <c r="Y157" s="41">
        <f t="shared" si="371"/>
        <v>0</v>
      </c>
      <c r="Z157" s="41">
        <f t="shared" si="371"/>
        <v>0</v>
      </c>
      <c r="AA157" s="128">
        <f t="shared" si="353"/>
        <v>145184642.8272</v>
      </c>
      <c r="AB157" s="128">
        <f t="shared" si="339"/>
        <v>742730443.28279996</v>
      </c>
      <c r="AC157" s="175">
        <f t="shared" si="340"/>
        <v>5.3105279799999998</v>
      </c>
    </row>
    <row r="158" spans="1:29" ht="28.5" hidden="1" x14ac:dyDescent="0.2">
      <c r="B158" s="76" t="s">
        <v>559</v>
      </c>
      <c r="C158" s="77" t="s">
        <v>226</v>
      </c>
      <c r="D158" s="330">
        <f>+D154*1.43856%</f>
        <v>25174800</v>
      </c>
      <c r="E158" s="188">
        <f>SUM('ADICIONES  2021'!C158:I158)</f>
        <v>0</v>
      </c>
      <c r="F158" s="41">
        <f t="shared" ref="F158:J158" si="372">+F154*1.43856%</f>
        <v>0</v>
      </c>
      <c r="G158" s="41">
        <f t="shared" si="372"/>
        <v>0</v>
      </c>
      <c r="H158" s="41">
        <f t="shared" si="372"/>
        <v>0</v>
      </c>
      <c r="I158" s="41">
        <f t="shared" si="372"/>
        <v>0</v>
      </c>
      <c r="J158" s="41">
        <f t="shared" si="372"/>
        <v>0</v>
      </c>
      <c r="K158" s="128">
        <f t="shared" si="329"/>
        <v>25174800</v>
      </c>
      <c r="L158" s="41">
        <f t="shared" ref="L158:Q158" si="373">+L154*1.43856%</f>
        <v>12086159.7915504</v>
      </c>
      <c r="M158" s="41">
        <f t="shared" si="373"/>
        <v>19142493.976367999</v>
      </c>
      <c r="N158" s="41">
        <f t="shared" si="373"/>
        <v>21300071.295311999</v>
      </c>
      <c r="O158" s="41">
        <f t="shared" si="373"/>
        <v>17133982.819646399</v>
      </c>
      <c r="P158" s="41">
        <f t="shared" si="373"/>
        <v>10868931.511876799</v>
      </c>
      <c r="Q158" s="409">
        <f t="shared" si="373"/>
        <v>27026604.687254399</v>
      </c>
      <c r="R158" s="128">
        <f t="shared" si="337"/>
        <v>107558244.082008</v>
      </c>
      <c r="S158" s="41">
        <f t="shared" ref="S158:Z158" si="374">+S154*1.43856%</f>
        <v>26133235.708896</v>
      </c>
      <c r="T158" s="41">
        <f t="shared" si="374"/>
        <v>0</v>
      </c>
      <c r="U158" s="41">
        <f t="shared" si="374"/>
        <v>0</v>
      </c>
      <c r="V158" s="41">
        <f t="shared" si="374"/>
        <v>0</v>
      </c>
      <c r="W158" s="41">
        <f t="shared" si="374"/>
        <v>0</v>
      </c>
      <c r="X158" s="41">
        <f t="shared" si="374"/>
        <v>0</v>
      </c>
      <c r="Y158" s="41">
        <f t="shared" si="374"/>
        <v>0</v>
      </c>
      <c r="Z158" s="41">
        <f t="shared" si="374"/>
        <v>0</v>
      </c>
      <c r="AA158" s="128">
        <f t="shared" si="353"/>
        <v>26133235.708896</v>
      </c>
      <c r="AB158" s="128">
        <f t="shared" si="339"/>
        <v>133691479.790904</v>
      </c>
      <c r="AC158" s="175">
        <f t="shared" si="340"/>
        <v>5.3105279799999998</v>
      </c>
    </row>
    <row r="159" spans="1:29" ht="42.75" hidden="1" x14ac:dyDescent="0.2">
      <c r="B159" s="76" t="s">
        <v>560</v>
      </c>
      <c r="C159" s="77" t="s">
        <v>227</v>
      </c>
      <c r="D159" s="330">
        <f>+D154*0.7048944%</f>
        <v>12335652.000000002</v>
      </c>
      <c r="E159" s="188">
        <f>SUM('ADICIONES  2021'!C159:I159)</f>
        <v>0</v>
      </c>
      <c r="F159" s="41">
        <f t="shared" ref="F159:J159" si="375">+F154*0.7048944%</f>
        <v>0</v>
      </c>
      <c r="G159" s="41">
        <f t="shared" si="375"/>
        <v>0</v>
      </c>
      <c r="H159" s="41">
        <f t="shared" si="375"/>
        <v>0</v>
      </c>
      <c r="I159" s="41">
        <f t="shared" si="375"/>
        <v>0</v>
      </c>
      <c r="J159" s="41">
        <f t="shared" si="375"/>
        <v>0</v>
      </c>
      <c r="K159" s="128">
        <f t="shared" si="329"/>
        <v>12335652.000000002</v>
      </c>
      <c r="L159" s="41">
        <f t="shared" ref="L159:Q159" si="376">+L154*0.7048944%</f>
        <v>5922218.2978596967</v>
      </c>
      <c r="M159" s="41">
        <f t="shared" si="376"/>
        <v>9379822.0484203212</v>
      </c>
      <c r="N159" s="41">
        <f t="shared" si="376"/>
        <v>10437034.934702881</v>
      </c>
      <c r="O159" s="41">
        <f t="shared" si="376"/>
        <v>8395651.5816267375</v>
      </c>
      <c r="P159" s="41">
        <f t="shared" si="376"/>
        <v>5325776.4408196323</v>
      </c>
      <c r="Q159" s="409">
        <f t="shared" si="376"/>
        <v>13243036.296754656</v>
      </c>
      <c r="R159" s="128">
        <f t="shared" si="337"/>
        <v>52703539.600183919</v>
      </c>
      <c r="S159" s="41">
        <f t="shared" ref="S159:Z159" si="377">+S154*0.7048944%</f>
        <v>12805285.497359041</v>
      </c>
      <c r="T159" s="41">
        <f t="shared" si="377"/>
        <v>0</v>
      </c>
      <c r="U159" s="41">
        <f t="shared" si="377"/>
        <v>0</v>
      </c>
      <c r="V159" s="41">
        <f t="shared" si="377"/>
        <v>0</v>
      </c>
      <c r="W159" s="41">
        <f t="shared" si="377"/>
        <v>0</v>
      </c>
      <c r="X159" s="41">
        <f t="shared" si="377"/>
        <v>0</v>
      </c>
      <c r="Y159" s="41">
        <f t="shared" si="377"/>
        <v>0</v>
      </c>
      <c r="Z159" s="41">
        <f t="shared" si="377"/>
        <v>0</v>
      </c>
      <c r="AA159" s="128">
        <f t="shared" si="353"/>
        <v>12805285.497359041</v>
      </c>
      <c r="AB159" s="128">
        <f t="shared" si="339"/>
        <v>65508825.097542956</v>
      </c>
      <c r="AC159" s="175">
        <f t="shared" si="340"/>
        <v>5.3105279799999989</v>
      </c>
    </row>
    <row r="160" spans="1:29" ht="28.5" hidden="1" x14ac:dyDescent="0.2">
      <c r="B160" s="76" t="s">
        <v>561</v>
      </c>
      <c r="C160" s="77" t="s">
        <v>562</v>
      </c>
      <c r="D160" s="331">
        <f>+D154*20%</f>
        <v>350000000</v>
      </c>
      <c r="E160" s="188">
        <f>SUM('ADICIONES  2021'!C160:I160)</f>
        <v>0</v>
      </c>
      <c r="F160" s="218">
        <f t="shared" ref="F160:J160" si="378">+F154*20%</f>
        <v>0</v>
      </c>
      <c r="G160" s="218">
        <f t="shared" si="378"/>
        <v>0</v>
      </c>
      <c r="H160" s="218">
        <f t="shared" si="378"/>
        <v>0</v>
      </c>
      <c r="I160" s="218">
        <f t="shared" si="378"/>
        <v>0</v>
      </c>
      <c r="J160" s="218">
        <f t="shared" si="378"/>
        <v>0</v>
      </c>
      <c r="K160" s="128">
        <f t="shared" si="329"/>
        <v>350000000</v>
      </c>
      <c r="L160" s="218">
        <f t="shared" ref="L160:Q160" si="379">+L154*20%</f>
        <v>168031361.80000001</v>
      </c>
      <c r="M160" s="218">
        <f t="shared" si="379"/>
        <v>266134106</v>
      </c>
      <c r="N160" s="218">
        <f t="shared" si="379"/>
        <v>296130454</v>
      </c>
      <c r="O160" s="218">
        <f t="shared" si="379"/>
        <v>238210193.80000001</v>
      </c>
      <c r="P160" s="218">
        <f t="shared" si="379"/>
        <v>151108490.59999999</v>
      </c>
      <c r="Q160" s="410">
        <f t="shared" si="379"/>
        <v>375745254.80000001</v>
      </c>
      <c r="R160" s="128">
        <f t="shared" si="337"/>
        <v>1495359860.9999998</v>
      </c>
      <c r="S160" s="218">
        <f t="shared" ref="S160:Z160" si="380">+S154*20%</f>
        <v>363324932</v>
      </c>
      <c r="T160" s="218">
        <f t="shared" si="380"/>
        <v>0</v>
      </c>
      <c r="U160" s="218">
        <f t="shared" si="380"/>
        <v>0</v>
      </c>
      <c r="V160" s="218">
        <f t="shared" si="380"/>
        <v>0</v>
      </c>
      <c r="W160" s="218">
        <f t="shared" si="380"/>
        <v>0</v>
      </c>
      <c r="X160" s="218">
        <f t="shared" si="380"/>
        <v>0</v>
      </c>
      <c r="Y160" s="218">
        <f t="shared" si="380"/>
        <v>0</v>
      </c>
      <c r="Z160" s="218">
        <f t="shared" si="380"/>
        <v>0</v>
      </c>
      <c r="AA160" s="128">
        <f t="shared" si="353"/>
        <v>363324932</v>
      </c>
      <c r="AB160" s="128">
        <f t="shared" si="339"/>
        <v>1858684792.9999998</v>
      </c>
      <c r="AC160" s="175">
        <f t="shared" si="340"/>
        <v>5.3105279799999989</v>
      </c>
    </row>
    <row r="161" spans="1:29" s="19" customFormat="1" ht="15.75" x14ac:dyDescent="0.2">
      <c r="A161" s="71">
        <v>1</v>
      </c>
      <c r="B161" s="82" t="s">
        <v>563</v>
      </c>
      <c r="C161" s="77" t="s">
        <v>564</v>
      </c>
      <c r="D161" s="333">
        <v>8320000</v>
      </c>
      <c r="E161" s="187">
        <f>SUM('ADICIONES  2021'!C161:I161)</f>
        <v>0</v>
      </c>
      <c r="F161" s="78"/>
      <c r="G161" s="78"/>
      <c r="H161" s="78"/>
      <c r="I161" s="78"/>
      <c r="J161" s="78"/>
      <c r="K161" s="126">
        <f t="shared" si="329"/>
        <v>8320000</v>
      </c>
      <c r="L161" s="126">
        <v>0</v>
      </c>
      <c r="M161" s="126">
        <v>0</v>
      </c>
      <c r="N161" s="126">
        <v>0</v>
      </c>
      <c r="O161" s="126">
        <v>0</v>
      </c>
      <c r="P161" s="126">
        <v>0</v>
      </c>
      <c r="Q161" s="126">
        <v>0</v>
      </c>
      <c r="R161" s="78">
        <f t="shared" si="337"/>
        <v>0</v>
      </c>
      <c r="S161" s="126">
        <v>0</v>
      </c>
      <c r="T161" s="78"/>
      <c r="U161" s="78"/>
      <c r="V161" s="78"/>
      <c r="W161" s="78"/>
      <c r="X161" s="78"/>
      <c r="Y161" s="126"/>
      <c r="Z161" s="78"/>
      <c r="AA161" s="78">
        <f t="shared" si="353"/>
        <v>0</v>
      </c>
      <c r="AB161" s="126">
        <f t="shared" si="339"/>
        <v>0</v>
      </c>
      <c r="AC161" s="180">
        <f t="shared" si="340"/>
        <v>0</v>
      </c>
    </row>
    <row r="162" spans="1:29" ht="42.75" hidden="1" x14ac:dyDescent="0.2">
      <c r="B162" s="76" t="s">
        <v>565</v>
      </c>
      <c r="C162" s="77" t="s">
        <v>228</v>
      </c>
      <c r="D162" s="330">
        <f>+D161*87.230682%</f>
        <v>7257592.7423999999</v>
      </c>
      <c r="E162" s="188">
        <f>SUM('ADICIONES  2021'!C162:I162)</f>
        <v>0</v>
      </c>
      <c r="F162" s="41">
        <f t="shared" ref="F162:J162" si="381">+F161*87.230682%</f>
        <v>0</v>
      </c>
      <c r="G162" s="41">
        <f t="shared" si="381"/>
        <v>0</v>
      </c>
      <c r="H162" s="41">
        <f t="shared" si="381"/>
        <v>0</v>
      </c>
      <c r="I162" s="41">
        <f t="shared" si="381"/>
        <v>0</v>
      </c>
      <c r="J162" s="41">
        <f t="shared" si="381"/>
        <v>0</v>
      </c>
      <c r="K162" s="128">
        <f t="shared" si="329"/>
        <v>7257592.7423999999</v>
      </c>
      <c r="L162" s="41">
        <f t="shared" ref="L162:Q162" si="382">+L161*87.230682%</f>
        <v>0</v>
      </c>
      <c r="M162" s="41">
        <f t="shared" si="382"/>
        <v>0</v>
      </c>
      <c r="N162" s="41">
        <f t="shared" si="382"/>
        <v>0</v>
      </c>
      <c r="O162" s="41">
        <f t="shared" si="382"/>
        <v>0</v>
      </c>
      <c r="P162" s="41">
        <f t="shared" si="382"/>
        <v>0</v>
      </c>
      <c r="Q162" s="409">
        <f t="shared" si="382"/>
        <v>0</v>
      </c>
      <c r="R162" s="128">
        <f t="shared" si="337"/>
        <v>0</v>
      </c>
      <c r="S162" s="41">
        <f t="shared" ref="S162:Z162" si="383">+S161*87.230682%</f>
        <v>0</v>
      </c>
      <c r="T162" s="41">
        <f t="shared" si="383"/>
        <v>0</v>
      </c>
      <c r="U162" s="41">
        <f t="shared" si="383"/>
        <v>0</v>
      </c>
      <c r="V162" s="41">
        <f t="shared" si="383"/>
        <v>0</v>
      </c>
      <c r="W162" s="41">
        <f t="shared" si="383"/>
        <v>0</v>
      </c>
      <c r="X162" s="41">
        <f t="shared" si="383"/>
        <v>0</v>
      </c>
      <c r="Y162" s="41">
        <f t="shared" si="383"/>
        <v>0</v>
      </c>
      <c r="Z162" s="41">
        <f t="shared" si="383"/>
        <v>0</v>
      </c>
      <c r="AA162" s="128">
        <f t="shared" si="353"/>
        <v>0</v>
      </c>
      <c r="AB162" s="128">
        <f t="shared" si="339"/>
        <v>0</v>
      </c>
      <c r="AC162" s="175">
        <f t="shared" si="340"/>
        <v>0</v>
      </c>
    </row>
    <row r="163" spans="1:29" ht="28.5" hidden="1" x14ac:dyDescent="0.2">
      <c r="B163" s="76" t="s">
        <v>566</v>
      </c>
      <c r="C163" s="77" t="s">
        <v>229</v>
      </c>
      <c r="D163" s="330">
        <f>+D161*0.1%</f>
        <v>8320</v>
      </c>
      <c r="E163" s="188">
        <f>SUM('ADICIONES  2021'!C163:I163)</f>
        <v>0</v>
      </c>
      <c r="F163" s="41">
        <f t="shared" ref="F163:J163" si="384">+F161*0.1%</f>
        <v>0</v>
      </c>
      <c r="G163" s="41">
        <f t="shared" si="384"/>
        <v>0</v>
      </c>
      <c r="H163" s="41">
        <f t="shared" si="384"/>
        <v>0</v>
      </c>
      <c r="I163" s="41">
        <f t="shared" si="384"/>
        <v>0</v>
      </c>
      <c r="J163" s="41">
        <f t="shared" si="384"/>
        <v>0</v>
      </c>
      <c r="K163" s="128">
        <f t="shared" si="329"/>
        <v>8320</v>
      </c>
      <c r="L163" s="41">
        <f t="shared" ref="L163:Q163" si="385">+L161*0.1%</f>
        <v>0</v>
      </c>
      <c r="M163" s="41">
        <f t="shared" si="385"/>
        <v>0</v>
      </c>
      <c r="N163" s="41">
        <f t="shared" si="385"/>
        <v>0</v>
      </c>
      <c r="O163" s="41">
        <f t="shared" si="385"/>
        <v>0</v>
      </c>
      <c r="P163" s="41">
        <f t="shared" si="385"/>
        <v>0</v>
      </c>
      <c r="Q163" s="409">
        <f t="shared" si="385"/>
        <v>0</v>
      </c>
      <c r="R163" s="128">
        <f t="shared" si="337"/>
        <v>0</v>
      </c>
      <c r="S163" s="41">
        <f t="shared" ref="S163:Z163" si="386">+S161*0.1%</f>
        <v>0</v>
      </c>
      <c r="T163" s="41">
        <f t="shared" si="386"/>
        <v>0</v>
      </c>
      <c r="U163" s="41">
        <f t="shared" si="386"/>
        <v>0</v>
      </c>
      <c r="V163" s="41">
        <f t="shared" si="386"/>
        <v>0</v>
      </c>
      <c r="W163" s="41">
        <f t="shared" si="386"/>
        <v>0</v>
      </c>
      <c r="X163" s="41">
        <f t="shared" si="386"/>
        <v>0</v>
      </c>
      <c r="Y163" s="41">
        <f t="shared" si="386"/>
        <v>0</v>
      </c>
      <c r="Z163" s="41">
        <f t="shared" si="386"/>
        <v>0</v>
      </c>
      <c r="AA163" s="128">
        <f t="shared" si="353"/>
        <v>0</v>
      </c>
      <c r="AB163" s="128">
        <f t="shared" si="339"/>
        <v>0</v>
      </c>
      <c r="AC163" s="175">
        <f t="shared" si="340"/>
        <v>0</v>
      </c>
    </row>
    <row r="164" spans="1:29" ht="28.5" hidden="1" x14ac:dyDescent="0.2">
      <c r="B164" s="76" t="s">
        <v>567</v>
      </c>
      <c r="C164" s="77" t="s">
        <v>230</v>
      </c>
      <c r="D164" s="330">
        <f>+D161*9.99%</f>
        <v>831168</v>
      </c>
      <c r="E164" s="188">
        <f>SUM('ADICIONES  2021'!C164:I164)</f>
        <v>0</v>
      </c>
      <c r="F164" s="41">
        <f t="shared" ref="F164:J164" si="387">+F161*9.99%</f>
        <v>0</v>
      </c>
      <c r="G164" s="41">
        <f t="shared" si="387"/>
        <v>0</v>
      </c>
      <c r="H164" s="41">
        <f t="shared" si="387"/>
        <v>0</v>
      </c>
      <c r="I164" s="41">
        <f t="shared" si="387"/>
        <v>0</v>
      </c>
      <c r="J164" s="41">
        <f t="shared" si="387"/>
        <v>0</v>
      </c>
      <c r="K164" s="128">
        <f t="shared" si="329"/>
        <v>831168</v>
      </c>
      <c r="L164" s="41">
        <f t="shared" ref="L164:Q164" si="388">+L161*9.99%</f>
        <v>0</v>
      </c>
      <c r="M164" s="41">
        <f t="shared" si="388"/>
        <v>0</v>
      </c>
      <c r="N164" s="41">
        <f t="shared" si="388"/>
        <v>0</v>
      </c>
      <c r="O164" s="41">
        <f t="shared" si="388"/>
        <v>0</v>
      </c>
      <c r="P164" s="41">
        <f t="shared" si="388"/>
        <v>0</v>
      </c>
      <c r="Q164" s="409">
        <f t="shared" si="388"/>
        <v>0</v>
      </c>
      <c r="R164" s="128">
        <f t="shared" si="337"/>
        <v>0</v>
      </c>
      <c r="S164" s="41">
        <f t="shared" ref="S164:Z164" si="389">+S161*9.99%</f>
        <v>0</v>
      </c>
      <c r="T164" s="41">
        <f t="shared" si="389"/>
        <v>0</v>
      </c>
      <c r="U164" s="41">
        <f t="shared" si="389"/>
        <v>0</v>
      </c>
      <c r="V164" s="41">
        <f t="shared" si="389"/>
        <v>0</v>
      </c>
      <c r="W164" s="41">
        <f t="shared" si="389"/>
        <v>0</v>
      </c>
      <c r="X164" s="41">
        <f t="shared" si="389"/>
        <v>0</v>
      </c>
      <c r="Y164" s="41">
        <f t="shared" si="389"/>
        <v>0</v>
      </c>
      <c r="Z164" s="41">
        <f t="shared" si="389"/>
        <v>0</v>
      </c>
      <c r="AA164" s="128">
        <f t="shared" si="353"/>
        <v>0</v>
      </c>
      <c r="AB164" s="128">
        <f t="shared" si="339"/>
        <v>0</v>
      </c>
      <c r="AC164" s="175">
        <f t="shared" si="340"/>
        <v>0</v>
      </c>
    </row>
    <row r="165" spans="1:29" ht="28.5" hidden="1" x14ac:dyDescent="0.2">
      <c r="B165" s="76" t="s">
        <v>568</v>
      </c>
      <c r="C165" s="77" t="s">
        <v>231</v>
      </c>
      <c r="D165" s="330">
        <f>+D161*1.7982%</f>
        <v>149610.24000000002</v>
      </c>
      <c r="E165" s="188">
        <f>SUM('ADICIONES  2021'!C165:I165)</f>
        <v>0</v>
      </c>
      <c r="F165" s="41">
        <f t="shared" ref="F165:J165" si="390">+F161*1.7982%</f>
        <v>0</v>
      </c>
      <c r="G165" s="41">
        <f t="shared" si="390"/>
        <v>0</v>
      </c>
      <c r="H165" s="41">
        <f t="shared" si="390"/>
        <v>0</v>
      </c>
      <c r="I165" s="41">
        <f t="shared" si="390"/>
        <v>0</v>
      </c>
      <c r="J165" s="41">
        <f t="shared" si="390"/>
        <v>0</v>
      </c>
      <c r="K165" s="128">
        <f t="shared" si="329"/>
        <v>149610.24000000002</v>
      </c>
      <c r="L165" s="41">
        <f t="shared" ref="L165:Q165" si="391">+L161*1.7982%</f>
        <v>0</v>
      </c>
      <c r="M165" s="41">
        <f t="shared" si="391"/>
        <v>0</v>
      </c>
      <c r="N165" s="41">
        <f t="shared" si="391"/>
        <v>0</v>
      </c>
      <c r="O165" s="41">
        <f t="shared" si="391"/>
        <v>0</v>
      </c>
      <c r="P165" s="41">
        <f t="shared" si="391"/>
        <v>0</v>
      </c>
      <c r="Q165" s="409">
        <f t="shared" si="391"/>
        <v>0</v>
      </c>
      <c r="R165" s="128">
        <f t="shared" si="337"/>
        <v>0</v>
      </c>
      <c r="S165" s="41">
        <f t="shared" ref="S165:Z165" si="392">+S161*1.7982%</f>
        <v>0</v>
      </c>
      <c r="T165" s="41">
        <f t="shared" si="392"/>
        <v>0</v>
      </c>
      <c r="U165" s="41">
        <f t="shared" si="392"/>
        <v>0</v>
      </c>
      <c r="V165" s="41">
        <f t="shared" si="392"/>
        <v>0</v>
      </c>
      <c r="W165" s="41">
        <f t="shared" si="392"/>
        <v>0</v>
      </c>
      <c r="X165" s="41">
        <f t="shared" si="392"/>
        <v>0</v>
      </c>
      <c r="Y165" s="41">
        <f t="shared" si="392"/>
        <v>0</v>
      </c>
      <c r="Z165" s="41">
        <f t="shared" si="392"/>
        <v>0</v>
      </c>
      <c r="AA165" s="128">
        <f t="shared" si="353"/>
        <v>0</v>
      </c>
      <c r="AB165" s="128">
        <f t="shared" si="339"/>
        <v>0</v>
      </c>
      <c r="AC165" s="175">
        <f t="shared" si="340"/>
        <v>0</v>
      </c>
    </row>
    <row r="166" spans="1:29" ht="42.75" hidden="1" x14ac:dyDescent="0.2">
      <c r="B166" s="76" t="s">
        <v>569</v>
      </c>
      <c r="C166" s="77" t="s">
        <v>232</v>
      </c>
      <c r="D166" s="330">
        <f>+D161*0.881118%</f>
        <v>73309.017600000006</v>
      </c>
      <c r="E166" s="188">
        <f>SUM('ADICIONES  2021'!C166:I166)</f>
        <v>0</v>
      </c>
      <c r="F166" s="41">
        <f t="shared" ref="F166:J166" si="393">+F161*0.881118%</f>
        <v>0</v>
      </c>
      <c r="G166" s="41">
        <f t="shared" si="393"/>
        <v>0</v>
      </c>
      <c r="H166" s="41">
        <f t="shared" si="393"/>
        <v>0</v>
      </c>
      <c r="I166" s="41">
        <f t="shared" si="393"/>
        <v>0</v>
      </c>
      <c r="J166" s="41">
        <f t="shared" si="393"/>
        <v>0</v>
      </c>
      <c r="K166" s="128">
        <f t="shared" si="329"/>
        <v>73309.017600000006</v>
      </c>
      <c r="L166" s="41">
        <f t="shared" ref="L166:Q166" si="394">+L161*0.881118%</f>
        <v>0</v>
      </c>
      <c r="M166" s="41">
        <f t="shared" si="394"/>
        <v>0</v>
      </c>
      <c r="N166" s="41">
        <f t="shared" si="394"/>
        <v>0</v>
      </c>
      <c r="O166" s="41">
        <f t="shared" si="394"/>
        <v>0</v>
      </c>
      <c r="P166" s="41">
        <f t="shared" si="394"/>
        <v>0</v>
      </c>
      <c r="Q166" s="409">
        <f t="shared" si="394"/>
        <v>0</v>
      </c>
      <c r="R166" s="128">
        <f t="shared" si="337"/>
        <v>0</v>
      </c>
      <c r="S166" s="41">
        <f t="shared" ref="S166:Z166" si="395">+S161*0.881118%</f>
        <v>0</v>
      </c>
      <c r="T166" s="41">
        <f t="shared" si="395"/>
        <v>0</v>
      </c>
      <c r="U166" s="41">
        <f t="shared" si="395"/>
        <v>0</v>
      </c>
      <c r="V166" s="41">
        <f t="shared" si="395"/>
        <v>0</v>
      </c>
      <c r="W166" s="41">
        <f t="shared" si="395"/>
        <v>0</v>
      </c>
      <c r="X166" s="41">
        <f t="shared" si="395"/>
        <v>0</v>
      </c>
      <c r="Y166" s="41">
        <f t="shared" si="395"/>
        <v>0</v>
      </c>
      <c r="Z166" s="41">
        <f t="shared" si="395"/>
        <v>0</v>
      </c>
      <c r="AA166" s="128">
        <f t="shared" si="353"/>
        <v>0</v>
      </c>
      <c r="AB166" s="128">
        <f t="shared" si="339"/>
        <v>0</v>
      </c>
      <c r="AC166" s="175">
        <f t="shared" si="340"/>
        <v>0</v>
      </c>
    </row>
    <row r="167" spans="1:29" s="63" customFormat="1" ht="15.75" hidden="1" x14ac:dyDescent="0.2">
      <c r="A167" s="399"/>
      <c r="B167" s="81" t="s">
        <v>570</v>
      </c>
      <c r="C167" s="79" t="s">
        <v>571</v>
      </c>
      <c r="D167" s="329">
        <f>+D168+D175</f>
        <v>1507000000</v>
      </c>
      <c r="E167" s="187">
        <f>SUM('ADICIONES  2021'!C167:I167)</f>
        <v>0</v>
      </c>
      <c r="F167" s="223">
        <f t="shared" ref="F167:J167" si="396">+F168+F175</f>
        <v>0</v>
      </c>
      <c r="G167" s="223">
        <f t="shared" si="396"/>
        <v>0</v>
      </c>
      <c r="H167" s="223">
        <f t="shared" si="396"/>
        <v>0</v>
      </c>
      <c r="I167" s="223">
        <f t="shared" si="396"/>
        <v>0</v>
      </c>
      <c r="J167" s="223">
        <f t="shared" si="396"/>
        <v>0</v>
      </c>
      <c r="K167" s="78">
        <f t="shared" si="329"/>
        <v>1507000000</v>
      </c>
      <c r="L167" s="223">
        <f t="shared" ref="L167:Q167" si="397">+L168+L175</f>
        <v>210206232</v>
      </c>
      <c r="M167" s="223">
        <f t="shared" si="397"/>
        <v>552480925</v>
      </c>
      <c r="N167" s="223">
        <f t="shared" si="397"/>
        <v>464122470</v>
      </c>
      <c r="O167" s="223">
        <f t="shared" si="397"/>
        <v>452402329</v>
      </c>
      <c r="P167" s="223">
        <f t="shared" si="397"/>
        <v>295069238</v>
      </c>
      <c r="Q167" s="407">
        <f t="shared" si="397"/>
        <v>519902700</v>
      </c>
      <c r="R167" s="78">
        <f t="shared" si="337"/>
        <v>2494183894</v>
      </c>
      <c r="S167" s="223">
        <f t="shared" ref="S167:Z167" si="398">+S168+S175</f>
        <v>426139132</v>
      </c>
      <c r="T167" s="223">
        <f t="shared" si="398"/>
        <v>0</v>
      </c>
      <c r="U167" s="223">
        <f t="shared" si="398"/>
        <v>0</v>
      </c>
      <c r="V167" s="223">
        <f t="shared" si="398"/>
        <v>0</v>
      </c>
      <c r="W167" s="223">
        <f t="shared" si="398"/>
        <v>0</v>
      </c>
      <c r="X167" s="223">
        <f t="shared" si="398"/>
        <v>0</v>
      </c>
      <c r="Y167" s="223">
        <f t="shared" si="398"/>
        <v>0</v>
      </c>
      <c r="Z167" s="223">
        <f t="shared" si="398"/>
        <v>0</v>
      </c>
      <c r="AA167" s="78">
        <f t="shared" si="353"/>
        <v>426139132</v>
      </c>
      <c r="AB167" s="78">
        <f t="shared" si="339"/>
        <v>2920323026</v>
      </c>
      <c r="AC167" s="174">
        <f t="shared" si="340"/>
        <v>1.9378387697412076</v>
      </c>
    </row>
    <row r="168" spans="1:29" s="19" customFormat="1" ht="30" x14ac:dyDescent="0.2">
      <c r="A168" s="71">
        <v>1</v>
      </c>
      <c r="B168" s="82" t="s">
        <v>572</v>
      </c>
      <c r="C168" s="83" t="s">
        <v>573</v>
      </c>
      <c r="D168" s="329">
        <v>675000000</v>
      </c>
      <c r="E168" s="187">
        <f>SUM('ADICIONES  2021'!C168:I168)</f>
        <v>0</v>
      </c>
      <c r="F168" s="78"/>
      <c r="G168" s="78"/>
      <c r="H168" s="78"/>
      <c r="I168" s="78"/>
      <c r="J168" s="78"/>
      <c r="K168" s="126">
        <f t="shared" si="329"/>
        <v>675000000</v>
      </c>
      <c r="L168" s="126">
        <v>169812232</v>
      </c>
      <c r="M168" s="126">
        <v>479710925</v>
      </c>
      <c r="N168" s="126">
        <v>353780470</v>
      </c>
      <c r="O168" s="126">
        <v>354599329</v>
      </c>
      <c r="P168" s="126">
        <v>246575238</v>
      </c>
      <c r="Q168" s="126">
        <v>446672700</v>
      </c>
      <c r="R168" s="78">
        <f t="shared" si="337"/>
        <v>2051150894</v>
      </c>
      <c r="S168" s="126">
        <v>367526132</v>
      </c>
      <c r="T168" s="78"/>
      <c r="U168" s="78"/>
      <c r="V168" s="78"/>
      <c r="W168" s="78"/>
      <c r="X168" s="78"/>
      <c r="Y168" s="126"/>
      <c r="Z168" s="78"/>
      <c r="AA168" s="78">
        <f t="shared" si="353"/>
        <v>367526132</v>
      </c>
      <c r="AB168" s="126">
        <f t="shared" si="339"/>
        <v>2418677026</v>
      </c>
      <c r="AC168" s="180">
        <f t="shared" si="340"/>
        <v>3.5832252237037037</v>
      </c>
    </row>
    <row r="169" spans="1:29" ht="42.75" hidden="1" x14ac:dyDescent="0.2">
      <c r="B169" s="76" t="s">
        <v>574</v>
      </c>
      <c r="C169" s="77" t="s">
        <v>217</v>
      </c>
      <c r="D169" s="330">
        <f>+D168*69.7845456%</f>
        <v>471045682.80000001</v>
      </c>
      <c r="E169" s="188">
        <f>SUM('ADICIONES  2021'!C169:I169)</f>
        <v>0</v>
      </c>
      <c r="F169" s="41">
        <f t="shared" ref="F169:J169" si="399">+F168*69.7845456%</f>
        <v>0</v>
      </c>
      <c r="G169" s="41">
        <f t="shared" si="399"/>
        <v>0</v>
      </c>
      <c r="H169" s="41">
        <f t="shared" si="399"/>
        <v>0</v>
      </c>
      <c r="I169" s="41">
        <f t="shared" si="399"/>
        <v>0</v>
      </c>
      <c r="J169" s="41">
        <f t="shared" si="399"/>
        <v>0</v>
      </c>
      <c r="K169" s="128">
        <f t="shared" si="329"/>
        <v>471045682.80000001</v>
      </c>
      <c r="L169" s="41">
        <f t="shared" ref="L169:Q169" si="400">+L168*69.7845456%</f>
        <v>118502694.47441779</v>
      </c>
      <c r="M169" s="41">
        <f t="shared" si="400"/>
        <v>334764089.2048068</v>
      </c>
      <c r="N169" s="41">
        <f t="shared" si="400"/>
        <v>246884093.41104433</v>
      </c>
      <c r="O169" s="41">
        <f t="shared" si="400"/>
        <v>247455530.44329903</v>
      </c>
      <c r="P169" s="41">
        <f t="shared" si="400"/>
        <v>172071409.40041855</v>
      </c>
      <c r="Q169" s="409">
        <f t="shared" si="400"/>
        <v>311708514.01425123</v>
      </c>
      <c r="R169" s="128">
        <f t="shared" si="337"/>
        <v>1431386330.9482379</v>
      </c>
      <c r="S169" s="41">
        <f t="shared" ref="S169:Z169" si="401">+S168*69.7845456%</f>
        <v>256476441.1774562</v>
      </c>
      <c r="T169" s="41">
        <f t="shared" si="401"/>
        <v>0</v>
      </c>
      <c r="U169" s="41">
        <f t="shared" si="401"/>
        <v>0</v>
      </c>
      <c r="V169" s="41">
        <f t="shared" si="401"/>
        <v>0</v>
      </c>
      <c r="W169" s="41">
        <f t="shared" si="401"/>
        <v>0</v>
      </c>
      <c r="X169" s="41">
        <f t="shared" si="401"/>
        <v>0</v>
      </c>
      <c r="Y169" s="41">
        <f t="shared" si="401"/>
        <v>0</v>
      </c>
      <c r="Z169" s="41">
        <f t="shared" si="401"/>
        <v>0</v>
      </c>
      <c r="AA169" s="128">
        <f t="shared" si="353"/>
        <v>256476441.1774562</v>
      </c>
      <c r="AB169" s="128">
        <f t="shared" si="339"/>
        <v>1687862772.125694</v>
      </c>
      <c r="AC169" s="175">
        <f t="shared" si="340"/>
        <v>3.5832252237037041</v>
      </c>
    </row>
    <row r="170" spans="1:29" ht="28.5" hidden="1" x14ac:dyDescent="0.2">
      <c r="B170" s="76" t="s">
        <v>575</v>
      </c>
      <c r="C170" s="77" t="s">
        <v>218</v>
      </c>
      <c r="D170" s="330">
        <f>+D168*0.08%</f>
        <v>540000</v>
      </c>
      <c r="E170" s="188">
        <f>SUM('ADICIONES  2021'!C170:I170)</f>
        <v>0</v>
      </c>
      <c r="F170" s="41">
        <f t="shared" ref="F170:J170" si="402">+F168*0.08%</f>
        <v>0</v>
      </c>
      <c r="G170" s="41">
        <f t="shared" si="402"/>
        <v>0</v>
      </c>
      <c r="H170" s="41">
        <f t="shared" si="402"/>
        <v>0</v>
      </c>
      <c r="I170" s="41">
        <f t="shared" si="402"/>
        <v>0</v>
      </c>
      <c r="J170" s="41">
        <f t="shared" si="402"/>
        <v>0</v>
      </c>
      <c r="K170" s="128">
        <f t="shared" si="329"/>
        <v>540000</v>
      </c>
      <c r="L170" s="41">
        <f t="shared" ref="L170:Q170" si="403">+L168*0.08%</f>
        <v>135849.7856</v>
      </c>
      <c r="M170" s="41">
        <f t="shared" si="403"/>
        <v>383768.74</v>
      </c>
      <c r="N170" s="41">
        <f t="shared" si="403"/>
        <v>283024.37599999999</v>
      </c>
      <c r="O170" s="41">
        <f t="shared" si="403"/>
        <v>283679.4632</v>
      </c>
      <c r="P170" s="41">
        <f t="shared" si="403"/>
        <v>197260.19040000002</v>
      </c>
      <c r="Q170" s="409">
        <f t="shared" si="403"/>
        <v>357338.16000000003</v>
      </c>
      <c r="R170" s="128">
        <f t="shared" si="337"/>
        <v>1640920.7152</v>
      </c>
      <c r="S170" s="41">
        <f t="shared" ref="S170:Z170" si="404">+S168*0.08%</f>
        <v>294020.9056</v>
      </c>
      <c r="T170" s="41">
        <f t="shared" si="404"/>
        <v>0</v>
      </c>
      <c r="U170" s="41">
        <f t="shared" si="404"/>
        <v>0</v>
      </c>
      <c r="V170" s="41">
        <f t="shared" si="404"/>
        <v>0</v>
      </c>
      <c r="W170" s="41">
        <f t="shared" si="404"/>
        <v>0</v>
      </c>
      <c r="X170" s="41">
        <f t="shared" si="404"/>
        <v>0</v>
      </c>
      <c r="Y170" s="41">
        <f t="shared" si="404"/>
        <v>0</v>
      </c>
      <c r="Z170" s="41">
        <f t="shared" si="404"/>
        <v>0</v>
      </c>
      <c r="AA170" s="128">
        <f t="shared" si="353"/>
        <v>294020.9056</v>
      </c>
      <c r="AB170" s="128">
        <f t="shared" si="339"/>
        <v>1934941.6207999999</v>
      </c>
      <c r="AC170" s="175">
        <f t="shared" si="340"/>
        <v>3.5832252237037037</v>
      </c>
    </row>
    <row r="171" spans="1:29" ht="28.5" hidden="1" x14ac:dyDescent="0.2">
      <c r="B171" s="76" t="s">
        <v>576</v>
      </c>
      <c r="C171" s="77" t="s">
        <v>219</v>
      </c>
      <c r="D171" s="330">
        <f>+D168*7.992%</f>
        <v>53946000</v>
      </c>
      <c r="E171" s="188">
        <f>SUM('ADICIONES  2021'!C171:I171)</f>
        <v>0</v>
      </c>
      <c r="F171" s="41">
        <f t="shared" ref="F171:J171" si="405">+F168*7.992%</f>
        <v>0</v>
      </c>
      <c r="G171" s="41">
        <f t="shared" si="405"/>
        <v>0</v>
      </c>
      <c r="H171" s="41">
        <f t="shared" si="405"/>
        <v>0</v>
      </c>
      <c r="I171" s="41">
        <f t="shared" si="405"/>
        <v>0</v>
      </c>
      <c r="J171" s="41">
        <f t="shared" si="405"/>
        <v>0</v>
      </c>
      <c r="K171" s="128">
        <f t="shared" si="329"/>
        <v>53946000</v>
      </c>
      <c r="L171" s="41">
        <f t="shared" ref="L171:Q171" si="406">+L168*7.992%</f>
        <v>13571393.581440002</v>
      </c>
      <c r="M171" s="41">
        <f t="shared" si="406"/>
        <v>38338497.126000002</v>
      </c>
      <c r="N171" s="41">
        <f t="shared" si="406"/>
        <v>28274135.162400004</v>
      </c>
      <c r="O171" s="41">
        <f t="shared" si="406"/>
        <v>28339578.373680003</v>
      </c>
      <c r="P171" s="41">
        <f t="shared" si="406"/>
        <v>19706293.020959999</v>
      </c>
      <c r="Q171" s="409">
        <f t="shared" si="406"/>
        <v>35698082.184</v>
      </c>
      <c r="R171" s="128">
        <f t="shared" si="337"/>
        <v>163927979.44848001</v>
      </c>
      <c r="S171" s="41">
        <f t="shared" ref="S171:Z171" si="407">+S168*7.992%</f>
        <v>29372688.469440002</v>
      </c>
      <c r="T171" s="41">
        <f t="shared" si="407"/>
        <v>0</v>
      </c>
      <c r="U171" s="41">
        <f t="shared" si="407"/>
        <v>0</v>
      </c>
      <c r="V171" s="41">
        <f t="shared" si="407"/>
        <v>0</v>
      </c>
      <c r="W171" s="41">
        <f t="shared" si="407"/>
        <v>0</v>
      </c>
      <c r="X171" s="41">
        <f t="shared" si="407"/>
        <v>0</v>
      </c>
      <c r="Y171" s="41">
        <f t="shared" si="407"/>
        <v>0</v>
      </c>
      <c r="Z171" s="41">
        <f t="shared" si="407"/>
        <v>0</v>
      </c>
      <c r="AA171" s="128">
        <f t="shared" si="353"/>
        <v>29372688.469440002</v>
      </c>
      <c r="AB171" s="128">
        <f t="shared" si="339"/>
        <v>193300667.91792002</v>
      </c>
      <c r="AC171" s="175">
        <f t="shared" si="340"/>
        <v>3.5832252237037041</v>
      </c>
    </row>
    <row r="172" spans="1:29" ht="28.5" hidden="1" x14ac:dyDescent="0.2">
      <c r="B172" s="76" t="s">
        <v>577</v>
      </c>
      <c r="C172" s="77" t="s">
        <v>220</v>
      </c>
      <c r="D172" s="330">
        <f>+D168*1.43856%</f>
        <v>9710280</v>
      </c>
      <c r="E172" s="188">
        <f>SUM('ADICIONES  2021'!C172:I172)</f>
        <v>0</v>
      </c>
      <c r="F172" s="41">
        <f t="shared" ref="F172:J172" si="408">+F168*1.43856%</f>
        <v>0</v>
      </c>
      <c r="G172" s="41">
        <f t="shared" si="408"/>
        <v>0</v>
      </c>
      <c r="H172" s="41">
        <f t="shared" si="408"/>
        <v>0</v>
      </c>
      <c r="I172" s="41">
        <f t="shared" si="408"/>
        <v>0</v>
      </c>
      <c r="J172" s="41">
        <f t="shared" si="408"/>
        <v>0</v>
      </c>
      <c r="K172" s="128">
        <f t="shared" si="329"/>
        <v>9710280</v>
      </c>
      <c r="L172" s="41">
        <f t="shared" ref="L172:Q172" si="409">+L168*1.43856%</f>
        <v>2442850.8446591999</v>
      </c>
      <c r="M172" s="41">
        <f t="shared" si="409"/>
        <v>6900929.4826800004</v>
      </c>
      <c r="N172" s="41">
        <f t="shared" si="409"/>
        <v>5089344.3292319998</v>
      </c>
      <c r="O172" s="41">
        <f t="shared" si="409"/>
        <v>5101124.1072624</v>
      </c>
      <c r="P172" s="41">
        <f t="shared" si="409"/>
        <v>3547132.7437728001</v>
      </c>
      <c r="Q172" s="409">
        <f t="shared" si="409"/>
        <v>6425654.7931200005</v>
      </c>
      <c r="R172" s="128">
        <f t="shared" si="337"/>
        <v>29507036.300726403</v>
      </c>
      <c r="S172" s="41">
        <f t="shared" ref="S172:Z172" si="410">+S168*1.43856%</f>
        <v>5287083.9244991997</v>
      </c>
      <c r="T172" s="41">
        <f t="shared" si="410"/>
        <v>0</v>
      </c>
      <c r="U172" s="41">
        <f t="shared" si="410"/>
        <v>0</v>
      </c>
      <c r="V172" s="41">
        <f t="shared" si="410"/>
        <v>0</v>
      </c>
      <c r="W172" s="41">
        <f t="shared" si="410"/>
        <v>0</v>
      </c>
      <c r="X172" s="41">
        <f t="shared" si="410"/>
        <v>0</v>
      </c>
      <c r="Y172" s="41">
        <f t="shared" si="410"/>
        <v>0</v>
      </c>
      <c r="Z172" s="41">
        <f t="shared" si="410"/>
        <v>0</v>
      </c>
      <c r="AA172" s="128">
        <f t="shared" si="353"/>
        <v>5287083.9244991997</v>
      </c>
      <c r="AB172" s="128">
        <f t="shared" si="339"/>
        <v>34794120.225225605</v>
      </c>
      <c r="AC172" s="175">
        <f t="shared" si="340"/>
        <v>3.5832252237037041</v>
      </c>
    </row>
    <row r="173" spans="1:29" ht="42.75" hidden="1" x14ac:dyDescent="0.2">
      <c r="B173" s="76" t="s">
        <v>578</v>
      </c>
      <c r="C173" s="77" t="s">
        <v>221</v>
      </c>
      <c r="D173" s="330">
        <f>+D168*0.7048944%</f>
        <v>4758037.2</v>
      </c>
      <c r="E173" s="188">
        <f>SUM('ADICIONES  2021'!C173:I173)</f>
        <v>0</v>
      </c>
      <c r="F173" s="41">
        <f t="shared" ref="F173:J173" si="411">+F168*0.7048944%</f>
        <v>0</v>
      </c>
      <c r="G173" s="41">
        <f t="shared" si="411"/>
        <v>0</v>
      </c>
      <c r="H173" s="41">
        <f t="shared" si="411"/>
        <v>0</v>
      </c>
      <c r="I173" s="41">
        <f t="shared" si="411"/>
        <v>0</v>
      </c>
      <c r="J173" s="41">
        <f t="shared" si="411"/>
        <v>0</v>
      </c>
      <c r="K173" s="128">
        <f t="shared" si="329"/>
        <v>4758037.2</v>
      </c>
      <c r="L173" s="41">
        <f t="shared" ref="L173:Q173" si="412">+L168*0.7048944%</f>
        <v>1196996.9138830081</v>
      </c>
      <c r="M173" s="41">
        <f t="shared" si="412"/>
        <v>3381455.4465132002</v>
      </c>
      <c r="N173" s="41">
        <f t="shared" si="412"/>
        <v>2493778.7213236801</v>
      </c>
      <c r="O173" s="41">
        <f t="shared" si="412"/>
        <v>2499550.812558576</v>
      </c>
      <c r="P173" s="41">
        <f t="shared" si="412"/>
        <v>1738095.0444486721</v>
      </c>
      <c r="Q173" s="409">
        <f t="shared" si="412"/>
        <v>3148570.8486288004</v>
      </c>
      <c r="R173" s="128">
        <f t="shared" si="337"/>
        <v>14458447.787355937</v>
      </c>
      <c r="S173" s="41">
        <f t="shared" ref="S173:Z173" si="413">+S168*0.7048944%</f>
        <v>2590671.1230046083</v>
      </c>
      <c r="T173" s="41">
        <f t="shared" si="413"/>
        <v>0</v>
      </c>
      <c r="U173" s="41">
        <f t="shared" si="413"/>
        <v>0</v>
      </c>
      <c r="V173" s="41">
        <f t="shared" si="413"/>
        <v>0</v>
      </c>
      <c r="W173" s="41">
        <f t="shared" si="413"/>
        <v>0</v>
      </c>
      <c r="X173" s="41">
        <f t="shared" si="413"/>
        <v>0</v>
      </c>
      <c r="Y173" s="41">
        <f t="shared" si="413"/>
        <v>0</v>
      </c>
      <c r="Z173" s="41">
        <f t="shared" si="413"/>
        <v>0</v>
      </c>
      <c r="AA173" s="128">
        <f t="shared" si="353"/>
        <v>2590671.1230046083</v>
      </c>
      <c r="AB173" s="128">
        <f t="shared" si="339"/>
        <v>17049118.910360545</v>
      </c>
      <c r="AC173" s="175">
        <f t="shared" si="340"/>
        <v>3.5832252237037037</v>
      </c>
    </row>
    <row r="174" spans="1:29" ht="28.5" hidden="1" x14ac:dyDescent="0.2">
      <c r="B174" s="76" t="s">
        <v>579</v>
      </c>
      <c r="C174" s="77" t="s">
        <v>580</v>
      </c>
      <c r="D174" s="331">
        <f>+D168*20%</f>
        <v>135000000</v>
      </c>
      <c r="E174" s="188">
        <f>SUM('ADICIONES  2021'!C174:I174)</f>
        <v>0</v>
      </c>
      <c r="F174" s="218">
        <f t="shared" ref="F174:J174" si="414">+F168*20%</f>
        <v>0</v>
      </c>
      <c r="G174" s="218">
        <f t="shared" si="414"/>
        <v>0</v>
      </c>
      <c r="H174" s="218">
        <f t="shared" si="414"/>
        <v>0</v>
      </c>
      <c r="I174" s="218">
        <f t="shared" si="414"/>
        <v>0</v>
      </c>
      <c r="J174" s="218">
        <f t="shared" si="414"/>
        <v>0</v>
      </c>
      <c r="K174" s="128">
        <f t="shared" si="329"/>
        <v>135000000</v>
      </c>
      <c r="L174" s="218">
        <f t="shared" ref="L174:Q174" si="415">+L168*20%</f>
        <v>33962446.399999999</v>
      </c>
      <c r="M174" s="218">
        <f t="shared" si="415"/>
        <v>95942185</v>
      </c>
      <c r="N174" s="218">
        <f t="shared" si="415"/>
        <v>70756094</v>
      </c>
      <c r="O174" s="218">
        <f t="shared" si="415"/>
        <v>70919865.799999997</v>
      </c>
      <c r="P174" s="218">
        <f t="shared" si="415"/>
        <v>49315047.600000001</v>
      </c>
      <c r="Q174" s="410">
        <f t="shared" si="415"/>
        <v>89334540</v>
      </c>
      <c r="R174" s="128">
        <f t="shared" si="337"/>
        <v>410230178.80000001</v>
      </c>
      <c r="S174" s="218">
        <f t="shared" ref="S174:Z174" si="416">+S168*20%</f>
        <v>73505226.400000006</v>
      </c>
      <c r="T174" s="218">
        <f t="shared" si="416"/>
        <v>0</v>
      </c>
      <c r="U174" s="218">
        <f t="shared" si="416"/>
        <v>0</v>
      </c>
      <c r="V174" s="218">
        <f t="shared" si="416"/>
        <v>0</v>
      </c>
      <c r="W174" s="218">
        <f t="shared" si="416"/>
        <v>0</v>
      </c>
      <c r="X174" s="218">
        <f t="shared" si="416"/>
        <v>0</v>
      </c>
      <c r="Y174" s="218">
        <f t="shared" si="416"/>
        <v>0</v>
      </c>
      <c r="Z174" s="218">
        <f t="shared" si="416"/>
        <v>0</v>
      </c>
      <c r="AA174" s="128">
        <f t="shared" si="353"/>
        <v>73505226.400000006</v>
      </c>
      <c r="AB174" s="128">
        <f t="shared" si="339"/>
        <v>483735405.20000005</v>
      </c>
      <c r="AC174" s="175">
        <f t="shared" si="340"/>
        <v>3.5832252237037041</v>
      </c>
    </row>
    <row r="175" spans="1:29" s="19" customFormat="1" ht="36" customHeight="1" x14ac:dyDescent="0.2">
      <c r="A175" s="71">
        <v>1</v>
      </c>
      <c r="B175" s="82" t="s">
        <v>581</v>
      </c>
      <c r="C175" s="261" t="s">
        <v>582</v>
      </c>
      <c r="D175" s="332">
        <v>832000000</v>
      </c>
      <c r="E175" s="187">
        <f>SUM('ADICIONES  2021'!C175:I175)</f>
        <v>0</v>
      </c>
      <c r="F175" s="146"/>
      <c r="G175" s="146"/>
      <c r="H175" s="146"/>
      <c r="I175" s="146"/>
      <c r="J175" s="146"/>
      <c r="K175" s="126">
        <f t="shared" si="329"/>
        <v>832000000</v>
      </c>
      <c r="L175" s="181">
        <v>40394000</v>
      </c>
      <c r="M175" s="181">
        <v>72770000</v>
      </c>
      <c r="N175" s="181">
        <v>110342000</v>
      </c>
      <c r="O175" s="181">
        <v>97803000</v>
      </c>
      <c r="P175" s="181">
        <v>48494000</v>
      </c>
      <c r="Q175" s="181">
        <v>73230000</v>
      </c>
      <c r="R175" s="78">
        <f t="shared" si="337"/>
        <v>443033000</v>
      </c>
      <c r="S175" s="181">
        <v>58613000</v>
      </c>
      <c r="T175" s="146"/>
      <c r="U175" s="146"/>
      <c r="V175" s="146"/>
      <c r="W175" s="146"/>
      <c r="X175" s="146"/>
      <c r="Y175" s="181"/>
      <c r="Z175" s="146"/>
      <c r="AA175" s="78">
        <f t="shared" si="353"/>
        <v>58613000</v>
      </c>
      <c r="AB175" s="126">
        <f t="shared" si="339"/>
        <v>501646000</v>
      </c>
      <c r="AC175" s="180">
        <f t="shared" si="340"/>
        <v>0.60293990384615381</v>
      </c>
    </row>
    <row r="176" spans="1:29" ht="42.75" hidden="1" x14ac:dyDescent="0.2">
      <c r="B176" s="76" t="s">
        <v>583</v>
      </c>
      <c r="C176" s="77" t="s">
        <v>212</v>
      </c>
      <c r="D176" s="330">
        <f>+D175*87.230682%</f>
        <v>725759274.24000001</v>
      </c>
      <c r="E176" s="188">
        <f>SUM('ADICIONES  2021'!C176:I176)</f>
        <v>0</v>
      </c>
      <c r="F176" s="41">
        <f t="shared" ref="F176:J176" si="417">+F175*87.230682%</f>
        <v>0</v>
      </c>
      <c r="G176" s="41">
        <f t="shared" si="417"/>
        <v>0</v>
      </c>
      <c r="H176" s="41">
        <f t="shared" si="417"/>
        <v>0</v>
      </c>
      <c r="I176" s="41">
        <f t="shared" si="417"/>
        <v>0</v>
      </c>
      <c r="J176" s="41">
        <f t="shared" si="417"/>
        <v>0</v>
      </c>
      <c r="K176" s="128">
        <f t="shared" si="329"/>
        <v>725759274.24000001</v>
      </c>
      <c r="L176" s="41">
        <f t="shared" ref="L176:Q176" si="418">+L175*87.230682%</f>
        <v>35235961.687080003</v>
      </c>
      <c r="M176" s="41">
        <f t="shared" si="418"/>
        <v>63477767.2914</v>
      </c>
      <c r="N176" s="41">
        <f t="shared" si="418"/>
        <v>96252079.132440001</v>
      </c>
      <c r="O176" s="41">
        <f t="shared" si="418"/>
        <v>85314223.916460007</v>
      </c>
      <c r="P176" s="41">
        <f t="shared" si="418"/>
        <v>42301646.929080002</v>
      </c>
      <c r="Q176" s="409">
        <f t="shared" si="418"/>
        <v>63879028.428600006</v>
      </c>
      <c r="R176" s="128">
        <f t="shared" si="337"/>
        <v>386460707.38506001</v>
      </c>
      <c r="S176" s="41">
        <f t="shared" ref="S176:Z176" si="419">+S175*87.230682%</f>
        <v>51128519.640660003</v>
      </c>
      <c r="T176" s="41">
        <f t="shared" si="419"/>
        <v>0</v>
      </c>
      <c r="U176" s="41">
        <f t="shared" si="419"/>
        <v>0</v>
      </c>
      <c r="V176" s="41">
        <f t="shared" si="419"/>
        <v>0</v>
      </c>
      <c r="W176" s="41">
        <f t="shared" si="419"/>
        <v>0</v>
      </c>
      <c r="X176" s="41">
        <f t="shared" si="419"/>
        <v>0</v>
      </c>
      <c r="Y176" s="41">
        <f t="shared" si="419"/>
        <v>0</v>
      </c>
      <c r="Z176" s="41">
        <f t="shared" si="419"/>
        <v>0</v>
      </c>
      <c r="AA176" s="128">
        <f t="shared" si="353"/>
        <v>51128519.640660003</v>
      </c>
      <c r="AB176" s="128">
        <f t="shared" si="339"/>
        <v>437589227.02572</v>
      </c>
      <c r="AC176" s="175">
        <f t="shared" si="340"/>
        <v>0.60293990384615381</v>
      </c>
    </row>
    <row r="177" spans="1:29" ht="28.5" hidden="1" x14ac:dyDescent="0.2">
      <c r="B177" s="76" t="s">
        <v>584</v>
      </c>
      <c r="C177" s="77" t="s">
        <v>213</v>
      </c>
      <c r="D177" s="330">
        <f>+D175*0.1%</f>
        <v>832000</v>
      </c>
      <c r="E177" s="188">
        <f>SUM('ADICIONES  2021'!C177:I177)</f>
        <v>0</v>
      </c>
      <c r="F177" s="41">
        <f t="shared" ref="F177:J177" si="420">+F175*0.1%</f>
        <v>0</v>
      </c>
      <c r="G177" s="41">
        <f t="shared" si="420"/>
        <v>0</v>
      </c>
      <c r="H177" s="41">
        <f t="shared" si="420"/>
        <v>0</v>
      </c>
      <c r="I177" s="41">
        <f t="shared" si="420"/>
        <v>0</v>
      </c>
      <c r="J177" s="41">
        <f t="shared" si="420"/>
        <v>0</v>
      </c>
      <c r="K177" s="128">
        <f t="shared" si="329"/>
        <v>832000</v>
      </c>
      <c r="L177" s="41">
        <f t="shared" ref="L177:Q177" si="421">+L175*0.1%</f>
        <v>40394</v>
      </c>
      <c r="M177" s="41">
        <f t="shared" si="421"/>
        <v>72770</v>
      </c>
      <c r="N177" s="41">
        <f t="shared" si="421"/>
        <v>110342</v>
      </c>
      <c r="O177" s="41">
        <f t="shared" si="421"/>
        <v>97803</v>
      </c>
      <c r="P177" s="41">
        <f t="shared" si="421"/>
        <v>48494</v>
      </c>
      <c r="Q177" s="409">
        <f t="shared" si="421"/>
        <v>73230</v>
      </c>
      <c r="R177" s="128">
        <f t="shared" si="337"/>
        <v>443033</v>
      </c>
      <c r="S177" s="41">
        <f t="shared" ref="S177:Z177" si="422">+S175*0.1%</f>
        <v>58613</v>
      </c>
      <c r="T177" s="41">
        <f t="shared" si="422"/>
        <v>0</v>
      </c>
      <c r="U177" s="41">
        <f t="shared" si="422"/>
        <v>0</v>
      </c>
      <c r="V177" s="41">
        <f t="shared" si="422"/>
        <v>0</v>
      </c>
      <c r="W177" s="41">
        <f t="shared" si="422"/>
        <v>0</v>
      </c>
      <c r="X177" s="41">
        <f t="shared" si="422"/>
        <v>0</v>
      </c>
      <c r="Y177" s="41">
        <f t="shared" si="422"/>
        <v>0</v>
      </c>
      <c r="Z177" s="41">
        <f t="shared" si="422"/>
        <v>0</v>
      </c>
      <c r="AA177" s="128">
        <f t="shared" si="353"/>
        <v>58613</v>
      </c>
      <c r="AB177" s="128">
        <f t="shared" si="339"/>
        <v>501646</v>
      </c>
      <c r="AC177" s="175">
        <f t="shared" si="340"/>
        <v>0.60293990384615381</v>
      </c>
    </row>
    <row r="178" spans="1:29" ht="28.5" hidden="1" x14ac:dyDescent="0.2">
      <c r="B178" s="76" t="s">
        <v>585</v>
      </c>
      <c r="C178" s="77" t="s">
        <v>214</v>
      </c>
      <c r="D178" s="330">
        <f>+D175*9.99%</f>
        <v>83116800</v>
      </c>
      <c r="E178" s="188">
        <f>SUM('ADICIONES  2021'!C178:I178)</f>
        <v>0</v>
      </c>
      <c r="F178" s="41">
        <f t="shared" ref="F178:J178" si="423">+F175*9.99%</f>
        <v>0</v>
      </c>
      <c r="G178" s="41">
        <f t="shared" si="423"/>
        <v>0</v>
      </c>
      <c r="H178" s="41">
        <f t="shared" si="423"/>
        <v>0</v>
      </c>
      <c r="I178" s="41">
        <f t="shared" si="423"/>
        <v>0</v>
      </c>
      <c r="J178" s="41">
        <f t="shared" si="423"/>
        <v>0</v>
      </c>
      <c r="K178" s="128">
        <f t="shared" si="329"/>
        <v>83116800</v>
      </c>
      <c r="L178" s="41">
        <f t="shared" ref="L178:Q178" si="424">+L175*9.99%</f>
        <v>4035360.6</v>
      </c>
      <c r="M178" s="41">
        <f t="shared" si="424"/>
        <v>7269723</v>
      </c>
      <c r="N178" s="41">
        <f t="shared" si="424"/>
        <v>11023165.800000001</v>
      </c>
      <c r="O178" s="41">
        <f t="shared" si="424"/>
        <v>9770519.7000000011</v>
      </c>
      <c r="P178" s="41">
        <f t="shared" si="424"/>
        <v>4844550.6000000006</v>
      </c>
      <c r="Q178" s="409">
        <f t="shared" si="424"/>
        <v>7315677</v>
      </c>
      <c r="R178" s="128">
        <f t="shared" si="337"/>
        <v>44258996.700000003</v>
      </c>
      <c r="S178" s="41">
        <f t="shared" ref="S178:Z178" si="425">+S175*9.99%</f>
        <v>5855438.7000000002</v>
      </c>
      <c r="T178" s="41">
        <f t="shared" si="425"/>
        <v>0</v>
      </c>
      <c r="U178" s="41">
        <f t="shared" si="425"/>
        <v>0</v>
      </c>
      <c r="V178" s="41">
        <f t="shared" si="425"/>
        <v>0</v>
      </c>
      <c r="W178" s="41">
        <f t="shared" si="425"/>
        <v>0</v>
      </c>
      <c r="X178" s="41">
        <f t="shared" si="425"/>
        <v>0</v>
      </c>
      <c r="Y178" s="41">
        <f t="shared" si="425"/>
        <v>0</v>
      </c>
      <c r="Z178" s="41">
        <f t="shared" si="425"/>
        <v>0</v>
      </c>
      <c r="AA178" s="128">
        <f t="shared" si="353"/>
        <v>5855438.7000000002</v>
      </c>
      <c r="AB178" s="128">
        <f t="shared" si="339"/>
        <v>50114435.400000006</v>
      </c>
      <c r="AC178" s="175">
        <f t="shared" si="340"/>
        <v>0.60293990384615392</v>
      </c>
    </row>
    <row r="179" spans="1:29" ht="28.5" hidden="1" x14ac:dyDescent="0.2">
      <c r="B179" s="76" t="s">
        <v>586</v>
      </c>
      <c r="C179" s="77" t="s">
        <v>215</v>
      </c>
      <c r="D179" s="330">
        <f>+D175*1.7982%</f>
        <v>14961024.000000002</v>
      </c>
      <c r="E179" s="188">
        <f>SUM('ADICIONES  2021'!C179:I179)</f>
        <v>0</v>
      </c>
      <c r="F179" s="41">
        <f t="shared" ref="F179:J179" si="426">+F175*1.7982%</f>
        <v>0</v>
      </c>
      <c r="G179" s="41">
        <f t="shared" si="426"/>
        <v>0</v>
      </c>
      <c r="H179" s="41">
        <f t="shared" si="426"/>
        <v>0</v>
      </c>
      <c r="I179" s="41">
        <f t="shared" si="426"/>
        <v>0</v>
      </c>
      <c r="J179" s="41">
        <f t="shared" si="426"/>
        <v>0</v>
      </c>
      <c r="K179" s="128">
        <f t="shared" si="329"/>
        <v>14961024.000000002</v>
      </c>
      <c r="L179" s="41">
        <f t="shared" ref="L179:Q179" si="427">+L175*1.7982%</f>
        <v>726364.90800000005</v>
      </c>
      <c r="M179" s="41">
        <f t="shared" si="427"/>
        <v>1308550.1400000001</v>
      </c>
      <c r="N179" s="41">
        <f t="shared" si="427"/>
        <v>1984169.8440000003</v>
      </c>
      <c r="O179" s="41">
        <f t="shared" si="427"/>
        <v>1758693.5460000001</v>
      </c>
      <c r="P179" s="41">
        <f t="shared" si="427"/>
        <v>872019.10800000012</v>
      </c>
      <c r="Q179" s="409">
        <f t="shared" si="427"/>
        <v>1316821.8600000001</v>
      </c>
      <c r="R179" s="128">
        <f t="shared" si="337"/>
        <v>7966619.4060000014</v>
      </c>
      <c r="S179" s="41">
        <f t="shared" ref="S179:Z179" si="428">+S175*1.7982%</f>
        <v>1053978.966</v>
      </c>
      <c r="T179" s="41">
        <f t="shared" si="428"/>
        <v>0</v>
      </c>
      <c r="U179" s="41">
        <f t="shared" si="428"/>
        <v>0</v>
      </c>
      <c r="V179" s="41">
        <f t="shared" si="428"/>
        <v>0</v>
      </c>
      <c r="W179" s="41">
        <f t="shared" si="428"/>
        <v>0</v>
      </c>
      <c r="X179" s="41">
        <f t="shared" si="428"/>
        <v>0</v>
      </c>
      <c r="Y179" s="41">
        <f t="shared" si="428"/>
        <v>0</v>
      </c>
      <c r="Z179" s="41">
        <f t="shared" si="428"/>
        <v>0</v>
      </c>
      <c r="AA179" s="128">
        <f t="shared" si="353"/>
        <v>1053978.966</v>
      </c>
      <c r="AB179" s="128">
        <f t="shared" si="339"/>
        <v>9020598.3720000014</v>
      </c>
      <c r="AC179" s="175">
        <f t="shared" si="340"/>
        <v>0.60293990384615381</v>
      </c>
    </row>
    <row r="180" spans="1:29" ht="42.75" hidden="1" x14ac:dyDescent="0.2">
      <c r="B180" s="76" t="s">
        <v>587</v>
      </c>
      <c r="C180" s="77" t="s">
        <v>216</v>
      </c>
      <c r="D180" s="330">
        <f>+D175*0.881118%</f>
        <v>7330901.7599999998</v>
      </c>
      <c r="E180" s="188">
        <f>SUM('ADICIONES  2021'!C180:I180)</f>
        <v>0</v>
      </c>
      <c r="F180" s="41">
        <f t="shared" ref="F180:J180" si="429">+F175*0.881118%</f>
        <v>0</v>
      </c>
      <c r="G180" s="41">
        <f t="shared" si="429"/>
        <v>0</v>
      </c>
      <c r="H180" s="41">
        <f t="shared" si="429"/>
        <v>0</v>
      </c>
      <c r="I180" s="41">
        <f t="shared" si="429"/>
        <v>0</v>
      </c>
      <c r="J180" s="41">
        <f t="shared" si="429"/>
        <v>0</v>
      </c>
      <c r="K180" s="128">
        <f t="shared" si="329"/>
        <v>7330901.7599999998</v>
      </c>
      <c r="L180" s="41">
        <f t="shared" ref="L180:Q180" si="430">+L175*0.881118%</f>
        <v>355918.80492000002</v>
      </c>
      <c r="M180" s="41">
        <f t="shared" si="430"/>
        <v>641189.5686</v>
      </c>
      <c r="N180" s="41">
        <f t="shared" si="430"/>
        <v>972243.22355999995</v>
      </c>
      <c r="O180" s="41">
        <f t="shared" si="430"/>
        <v>861759.83753999998</v>
      </c>
      <c r="P180" s="41">
        <f t="shared" si="430"/>
        <v>427289.36291999999</v>
      </c>
      <c r="Q180" s="409">
        <f t="shared" si="430"/>
        <v>645242.71140000003</v>
      </c>
      <c r="R180" s="128">
        <f t="shared" si="337"/>
        <v>3903643.5089399996</v>
      </c>
      <c r="S180" s="41">
        <f t="shared" ref="S180:Z180" si="431">+S175*0.881118%</f>
        <v>516449.69334</v>
      </c>
      <c r="T180" s="41">
        <f t="shared" si="431"/>
        <v>0</v>
      </c>
      <c r="U180" s="41">
        <f t="shared" si="431"/>
        <v>0</v>
      </c>
      <c r="V180" s="41">
        <f t="shared" si="431"/>
        <v>0</v>
      </c>
      <c r="W180" s="41">
        <f t="shared" si="431"/>
        <v>0</v>
      </c>
      <c r="X180" s="41">
        <f t="shared" si="431"/>
        <v>0</v>
      </c>
      <c r="Y180" s="41">
        <f t="shared" si="431"/>
        <v>0</v>
      </c>
      <c r="Z180" s="41">
        <f t="shared" si="431"/>
        <v>0</v>
      </c>
      <c r="AA180" s="128">
        <f t="shared" si="353"/>
        <v>516449.69334</v>
      </c>
      <c r="AB180" s="128">
        <f t="shared" si="339"/>
        <v>4420093.2022799999</v>
      </c>
      <c r="AC180" s="175">
        <f t="shared" si="340"/>
        <v>0.60293990384615381</v>
      </c>
    </row>
    <row r="181" spans="1:29" s="63" customFormat="1" ht="15.75" hidden="1" x14ac:dyDescent="0.2">
      <c r="A181" s="399"/>
      <c r="B181" s="81" t="s">
        <v>588</v>
      </c>
      <c r="C181" s="79" t="s">
        <v>589</v>
      </c>
      <c r="D181" s="329">
        <f>+D182</f>
        <v>260000000</v>
      </c>
      <c r="E181" s="187">
        <f>SUM('ADICIONES  2021'!C181:I181)</f>
        <v>0</v>
      </c>
      <c r="F181" s="223">
        <f t="shared" ref="F181:J184" si="432">+F182</f>
        <v>0</v>
      </c>
      <c r="G181" s="223">
        <f t="shared" si="432"/>
        <v>0</v>
      </c>
      <c r="H181" s="223">
        <f t="shared" si="432"/>
        <v>0</v>
      </c>
      <c r="I181" s="223">
        <f t="shared" si="432"/>
        <v>0</v>
      </c>
      <c r="J181" s="223">
        <f t="shared" si="432"/>
        <v>0</v>
      </c>
      <c r="K181" s="78">
        <f t="shared" si="329"/>
        <v>260000000</v>
      </c>
      <c r="L181" s="223">
        <f t="shared" ref="L181:Q184" si="433">+L182</f>
        <v>18449079</v>
      </c>
      <c r="M181" s="223">
        <f t="shared" si="433"/>
        <v>22269664</v>
      </c>
      <c r="N181" s="223">
        <f t="shared" si="433"/>
        <v>30051717</v>
      </c>
      <c r="O181" s="223">
        <f t="shared" si="433"/>
        <v>18188817</v>
      </c>
      <c r="P181" s="223">
        <f t="shared" si="433"/>
        <v>18039653</v>
      </c>
      <c r="Q181" s="407">
        <f t="shared" si="433"/>
        <v>21039653</v>
      </c>
      <c r="R181" s="78">
        <f t="shared" si="337"/>
        <v>128038583</v>
      </c>
      <c r="S181" s="223">
        <f t="shared" ref="S181:Z184" si="434">+S182</f>
        <v>15370300</v>
      </c>
      <c r="T181" s="223">
        <f t="shared" si="434"/>
        <v>0</v>
      </c>
      <c r="U181" s="223">
        <f t="shared" si="434"/>
        <v>0</v>
      </c>
      <c r="V181" s="223">
        <f t="shared" si="434"/>
        <v>0</v>
      </c>
      <c r="W181" s="223">
        <f t="shared" si="434"/>
        <v>0</v>
      </c>
      <c r="X181" s="223">
        <f t="shared" si="434"/>
        <v>0</v>
      </c>
      <c r="Y181" s="223">
        <f t="shared" si="434"/>
        <v>0</v>
      </c>
      <c r="Z181" s="223">
        <f t="shared" si="434"/>
        <v>0</v>
      </c>
      <c r="AA181" s="78">
        <f t="shared" si="353"/>
        <v>15370300</v>
      </c>
      <c r="AB181" s="78">
        <f t="shared" si="339"/>
        <v>143408883</v>
      </c>
      <c r="AC181" s="174">
        <f t="shared" si="340"/>
        <v>0.55157262692307696</v>
      </c>
    </row>
    <row r="182" spans="1:29" s="63" customFormat="1" ht="15.75" hidden="1" x14ac:dyDescent="0.2">
      <c r="A182" s="399"/>
      <c r="B182" s="81" t="s">
        <v>590</v>
      </c>
      <c r="C182" s="101" t="s">
        <v>591</v>
      </c>
      <c r="D182" s="329">
        <f>+D183</f>
        <v>260000000</v>
      </c>
      <c r="E182" s="187">
        <f>SUM('ADICIONES  2021'!C182:I182)</f>
        <v>0</v>
      </c>
      <c r="F182" s="223">
        <f t="shared" si="432"/>
        <v>0</v>
      </c>
      <c r="G182" s="223">
        <f t="shared" si="432"/>
        <v>0</v>
      </c>
      <c r="H182" s="223">
        <f t="shared" si="432"/>
        <v>0</v>
      </c>
      <c r="I182" s="223">
        <f t="shared" si="432"/>
        <v>0</v>
      </c>
      <c r="J182" s="223">
        <f t="shared" si="432"/>
        <v>0</v>
      </c>
      <c r="K182" s="78">
        <f t="shared" si="329"/>
        <v>260000000</v>
      </c>
      <c r="L182" s="223">
        <f t="shared" si="433"/>
        <v>18449079</v>
      </c>
      <c r="M182" s="223">
        <f t="shared" si="433"/>
        <v>22269664</v>
      </c>
      <c r="N182" s="223">
        <f t="shared" si="433"/>
        <v>30051717</v>
      </c>
      <c r="O182" s="223">
        <f t="shared" si="433"/>
        <v>18188817</v>
      </c>
      <c r="P182" s="223">
        <f t="shared" si="433"/>
        <v>18039653</v>
      </c>
      <c r="Q182" s="407">
        <f t="shared" si="433"/>
        <v>21039653</v>
      </c>
      <c r="R182" s="78">
        <f t="shared" si="337"/>
        <v>128038583</v>
      </c>
      <c r="S182" s="223">
        <f t="shared" si="434"/>
        <v>15370300</v>
      </c>
      <c r="T182" s="223">
        <f t="shared" si="434"/>
        <v>0</v>
      </c>
      <c r="U182" s="223">
        <f t="shared" si="434"/>
        <v>0</v>
      </c>
      <c r="V182" s="223">
        <f t="shared" si="434"/>
        <v>0</v>
      </c>
      <c r="W182" s="223">
        <f t="shared" si="434"/>
        <v>0</v>
      </c>
      <c r="X182" s="223">
        <f t="shared" si="434"/>
        <v>0</v>
      </c>
      <c r="Y182" s="223">
        <f t="shared" si="434"/>
        <v>0</v>
      </c>
      <c r="Z182" s="223">
        <f t="shared" si="434"/>
        <v>0</v>
      </c>
      <c r="AA182" s="78">
        <f t="shared" si="353"/>
        <v>15370300</v>
      </c>
      <c r="AB182" s="78">
        <f t="shared" si="339"/>
        <v>143408883</v>
      </c>
      <c r="AC182" s="174">
        <f t="shared" si="340"/>
        <v>0.55157262692307696</v>
      </c>
    </row>
    <row r="183" spans="1:29" s="63" customFormat="1" ht="47.25" hidden="1" x14ac:dyDescent="0.2">
      <c r="A183" s="399"/>
      <c r="B183" s="81" t="s">
        <v>592</v>
      </c>
      <c r="C183" s="79" t="s">
        <v>593</v>
      </c>
      <c r="D183" s="329">
        <f>+D184</f>
        <v>260000000</v>
      </c>
      <c r="E183" s="187">
        <f>SUM('ADICIONES  2021'!C183:I183)</f>
        <v>0</v>
      </c>
      <c r="F183" s="223">
        <f t="shared" si="432"/>
        <v>0</v>
      </c>
      <c r="G183" s="223">
        <f t="shared" si="432"/>
        <v>0</v>
      </c>
      <c r="H183" s="223">
        <f t="shared" si="432"/>
        <v>0</v>
      </c>
      <c r="I183" s="223">
        <f t="shared" si="432"/>
        <v>0</v>
      </c>
      <c r="J183" s="223">
        <f t="shared" si="432"/>
        <v>0</v>
      </c>
      <c r="K183" s="78">
        <f t="shared" si="329"/>
        <v>260000000</v>
      </c>
      <c r="L183" s="223">
        <f t="shared" si="433"/>
        <v>18449079</v>
      </c>
      <c r="M183" s="223">
        <f t="shared" si="433"/>
        <v>22269664</v>
      </c>
      <c r="N183" s="223">
        <f t="shared" si="433"/>
        <v>30051717</v>
      </c>
      <c r="O183" s="223">
        <f t="shared" si="433"/>
        <v>18188817</v>
      </c>
      <c r="P183" s="223">
        <f t="shared" si="433"/>
        <v>18039653</v>
      </c>
      <c r="Q183" s="407">
        <f t="shared" si="433"/>
        <v>21039653</v>
      </c>
      <c r="R183" s="78">
        <f t="shared" si="337"/>
        <v>128038583</v>
      </c>
      <c r="S183" s="223">
        <f t="shared" si="434"/>
        <v>15370300</v>
      </c>
      <c r="T183" s="223">
        <f t="shared" si="434"/>
        <v>0</v>
      </c>
      <c r="U183" s="223">
        <f t="shared" si="434"/>
        <v>0</v>
      </c>
      <c r="V183" s="223">
        <f t="shared" si="434"/>
        <v>0</v>
      </c>
      <c r="W183" s="223">
        <f t="shared" si="434"/>
        <v>0</v>
      </c>
      <c r="X183" s="223">
        <f t="shared" si="434"/>
        <v>0</v>
      </c>
      <c r="Y183" s="223">
        <f t="shared" si="434"/>
        <v>0</v>
      </c>
      <c r="Z183" s="223">
        <f t="shared" si="434"/>
        <v>0</v>
      </c>
      <c r="AA183" s="78">
        <f t="shared" si="353"/>
        <v>15370300</v>
      </c>
      <c r="AB183" s="78">
        <f t="shared" si="339"/>
        <v>143408883</v>
      </c>
      <c r="AC183" s="174">
        <f t="shared" si="340"/>
        <v>0.55157262692307696</v>
      </c>
    </row>
    <row r="184" spans="1:29" s="63" customFormat="1" ht="31.5" hidden="1" x14ac:dyDescent="0.2">
      <c r="A184" s="399"/>
      <c r="B184" s="81" t="s">
        <v>594</v>
      </c>
      <c r="C184" s="79" t="s">
        <v>595</v>
      </c>
      <c r="D184" s="329">
        <f>+D185</f>
        <v>260000000</v>
      </c>
      <c r="E184" s="187">
        <f>SUM('ADICIONES  2021'!C184:I184)</f>
        <v>0</v>
      </c>
      <c r="F184" s="223">
        <f t="shared" si="432"/>
        <v>0</v>
      </c>
      <c r="G184" s="223">
        <f t="shared" si="432"/>
        <v>0</v>
      </c>
      <c r="H184" s="223">
        <f t="shared" si="432"/>
        <v>0</v>
      </c>
      <c r="I184" s="223">
        <f t="shared" si="432"/>
        <v>0</v>
      </c>
      <c r="J184" s="223">
        <f t="shared" si="432"/>
        <v>0</v>
      </c>
      <c r="K184" s="78">
        <f t="shared" si="329"/>
        <v>260000000</v>
      </c>
      <c r="L184" s="223">
        <f t="shared" si="433"/>
        <v>18449079</v>
      </c>
      <c r="M184" s="223">
        <f t="shared" si="433"/>
        <v>22269664</v>
      </c>
      <c r="N184" s="223">
        <f t="shared" si="433"/>
        <v>30051717</v>
      </c>
      <c r="O184" s="223">
        <f t="shared" si="433"/>
        <v>18188817</v>
      </c>
      <c r="P184" s="223">
        <f t="shared" si="433"/>
        <v>18039653</v>
      </c>
      <c r="Q184" s="407">
        <f t="shared" si="433"/>
        <v>21039653</v>
      </c>
      <c r="R184" s="78">
        <f t="shared" si="337"/>
        <v>128038583</v>
      </c>
      <c r="S184" s="223">
        <f t="shared" si="434"/>
        <v>15370300</v>
      </c>
      <c r="T184" s="223">
        <f t="shared" si="434"/>
        <v>0</v>
      </c>
      <c r="U184" s="223">
        <f t="shared" si="434"/>
        <v>0</v>
      </c>
      <c r="V184" s="223">
        <f t="shared" si="434"/>
        <v>0</v>
      </c>
      <c r="W184" s="223">
        <f t="shared" si="434"/>
        <v>0</v>
      </c>
      <c r="X184" s="223">
        <f t="shared" si="434"/>
        <v>0</v>
      </c>
      <c r="Y184" s="223">
        <f t="shared" si="434"/>
        <v>0</v>
      </c>
      <c r="Z184" s="223">
        <f t="shared" si="434"/>
        <v>0</v>
      </c>
      <c r="AA184" s="78">
        <f t="shared" si="353"/>
        <v>15370300</v>
      </c>
      <c r="AB184" s="78">
        <f t="shared" si="339"/>
        <v>143408883</v>
      </c>
      <c r="AC184" s="174">
        <f t="shared" si="340"/>
        <v>0.55157262692307696</v>
      </c>
    </row>
    <row r="185" spans="1:29" s="19" customFormat="1" ht="45" x14ac:dyDescent="0.2">
      <c r="A185" s="71">
        <v>1</v>
      </c>
      <c r="B185" s="81" t="s">
        <v>596</v>
      </c>
      <c r="C185" s="83" t="s">
        <v>597</v>
      </c>
      <c r="D185" s="332">
        <v>260000000</v>
      </c>
      <c r="E185" s="187">
        <f>SUM('ADICIONES  2021'!C185:I185)</f>
        <v>0</v>
      </c>
      <c r="F185" s="146"/>
      <c r="G185" s="146"/>
      <c r="H185" s="146"/>
      <c r="I185" s="146"/>
      <c r="J185" s="146"/>
      <c r="K185" s="126">
        <f t="shared" si="329"/>
        <v>260000000</v>
      </c>
      <c r="L185" s="181">
        <v>18449079</v>
      </c>
      <c r="M185" s="181">
        <v>22269664</v>
      </c>
      <c r="N185" s="181">
        <v>30051717</v>
      </c>
      <c r="O185" s="181">
        <v>18188817</v>
      </c>
      <c r="P185" s="181">
        <v>18039653</v>
      </c>
      <c r="Q185" s="181">
        <v>21039653</v>
      </c>
      <c r="R185" s="78">
        <f t="shared" si="337"/>
        <v>128038583</v>
      </c>
      <c r="S185" s="181">
        <v>15370300</v>
      </c>
      <c r="T185" s="146"/>
      <c r="U185" s="146"/>
      <c r="V185" s="146"/>
      <c r="W185" s="146"/>
      <c r="X185" s="146"/>
      <c r="Y185" s="181"/>
      <c r="Z185" s="146"/>
      <c r="AA185" s="78">
        <f t="shared" si="353"/>
        <v>15370300</v>
      </c>
      <c r="AB185" s="126">
        <f t="shared" si="339"/>
        <v>143408883</v>
      </c>
      <c r="AC185" s="180">
        <f t="shared" si="340"/>
        <v>0.55157262692307696</v>
      </c>
    </row>
    <row r="186" spans="1:29" ht="28.5" hidden="1" x14ac:dyDescent="0.2">
      <c r="B186" s="76" t="s">
        <v>598</v>
      </c>
      <c r="C186" s="77" t="s">
        <v>599</v>
      </c>
      <c r="D186" s="330">
        <f>+D185*87.230682%</f>
        <v>226799773.20000002</v>
      </c>
      <c r="E186" s="188">
        <f>SUM('ADICIONES  2021'!C186:I186)</f>
        <v>0</v>
      </c>
      <c r="F186" s="41">
        <f t="shared" ref="F186:J186" si="435">+F185*87.230682%</f>
        <v>0</v>
      </c>
      <c r="G186" s="41">
        <f t="shared" si="435"/>
        <v>0</v>
      </c>
      <c r="H186" s="41">
        <f t="shared" si="435"/>
        <v>0</v>
      </c>
      <c r="I186" s="41">
        <f t="shared" si="435"/>
        <v>0</v>
      </c>
      <c r="J186" s="41">
        <f t="shared" si="435"/>
        <v>0</v>
      </c>
      <c r="K186" s="128">
        <f t="shared" si="329"/>
        <v>226799773.20000002</v>
      </c>
      <c r="L186" s="41">
        <f t="shared" ref="L186:Q186" si="436">+L185*87.230682%</f>
        <v>16093257.434418781</v>
      </c>
      <c r="M186" s="41">
        <f t="shared" si="436"/>
        <v>19425979.786308482</v>
      </c>
      <c r="N186" s="41">
        <f t="shared" si="436"/>
        <v>26214317.691809941</v>
      </c>
      <c r="O186" s="41">
        <f t="shared" si="436"/>
        <v>15866229.116831942</v>
      </c>
      <c r="P186" s="41">
        <f t="shared" si="436"/>
        <v>15736112.34233346</v>
      </c>
      <c r="Q186" s="409">
        <f t="shared" si="436"/>
        <v>18353032.802333459</v>
      </c>
      <c r="R186" s="128">
        <f t="shared" si="337"/>
        <v>111688929.17403607</v>
      </c>
      <c r="S186" s="41">
        <f t="shared" ref="S186:Z186" si="437">+S185*87.230682%</f>
        <v>13407617.515446</v>
      </c>
      <c r="T186" s="41">
        <f t="shared" si="437"/>
        <v>0</v>
      </c>
      <c r="U186" s="41">
        <f t="shared" si="437"/>
        <v>0</v>
      </c>
      <c r="V186" s="41">
        <f t="shared" si="437"/>
        <v>0</v>
      </c>
      <c r="W186" s="41">
        <f t="shared" si="437"/>
        <v>0</v>
      </c>
      <c r="X186" s="41">
        <f t="shared" si="437"/>
        <v>0</v>
      </c>
      <c r="Y186" s="41">
        <f t="shared" si="437"/>
        <v>0</v>
      </c>
      <c r="Z186" s="41">
        <f t="shared" si="437"/>
        <v>0</v>
      </c>
      <c r="AA186" s="128">
        <f t="shared" si="353"/>
        <v>13407617.515446</v>
      </c>
      <c r="AB186" s="128">
        <f t="shared" si="339"/>
        <v>125096546.68948206</v>
      </c>
      <c r="AC186" s="175">
        <f t="shared" si="340"/>
        <v>0.55157262692307685</v>
      </c>
    </row>
    <row r="187" spans="1:29" ht="14.25" hidden="1" x14ac:dyDescent="0.2">
      <c r="B187" s="76" t="s">
        <v>600</v>
      </c>
      <c r="C187" s="77" t="s">
        <v>601</v>
      </c>
      <c r="D187" s="330">
        <f>+D185*0.1%</f>
        <v>260000</v>
      </c>
      <c r="E187" s="188">
        <f>SUM('ADICIONES  2021'!C187:I187)</f>
        <v>0</v>
      </c>
      <c r="F187" s="41">
        <f t="shared" ref="F187:J187" si="438">+F185*0.1%</f>
        <v>0</v>
      </c>
      <c r="G187" s="41">
        <f t="shared" si="438"/>
        <v>0</v>
      </c>
      <c r="H187" s="41">
        <f t="shared" si="438"/>
        <v>0</v>
      </c>
      <c r="I187" s="41">
        <f t="shared" si="438"/>
        <v>0</v>
      </c>
      <c r="J187" s="41">
        <f t="shared" si="438"/>
        <v>0</v>
      </c>
      <c r="K187" s="128">
        <f t="shared" si="329"/>
        <v>260000</v>
      </c>
      <c r="L187" s="41">
        <f t="shared" ref="L187:Q187" si="439">+L185*0.1%</f>
        <v>18449.079000000002</v>
      </c>
      <c r="M187" s="41">
        <f t="shared" si="439"/>
        <v>22269.664000000001</v>
      </c>
      <c r="N187" s="41">
        <f t="shared" si="439"/>
        <v>30051.717000000001</v>
      </c>
      <c r="O187" s="41">
        <f t="shared" si="439"/>
        <v>18188.816999999999</v>
      </c>
      <c r="P187" s="41">
        <f t="shared" si="439"/>
        <v>18039.653000000002</v>
      </c>
      <c r="Q187" s="409">
        <f t="shared" si="439"/>
        <v>21039.653000000002</v>
      </c>
      <c r="R187" s="128">
        <f t="shared" si="337"/>
        <v>128038.58300000001</v>
      </c>
      <c r="S187" s="41">
        <f t="shared" ref="S187:Z187" si="440">+S185*0.1%</f>
        <v>15370.300000000001</v>
      </c>
      <c r="T187" s="41">
        <f t="shared" si="440"/>
        <v>0</v>
      </c>
      <c r="U187" s="41">
        <f t="shared" si="440"/>
        <v>0</v>
      </c>
      <c r="V187" s="41">
        <f t="shared" si="440"/>
        <v>0</v>
      </c>
      <c r="W187" s="41">
        <f t="shared" si="440"/>
        <v>0</v>
      </c>
      <c r="X187" s="41">
        <f t="shared" si="440"/>
        <v>0</v>
      </c>
      <c r="Y187" s="41">
        <f t="shared" si="440"/>
        <v>0</v>
      </c>
      <c r="Z187" s="41">
        <f t="shared" si="440"/>
        <v>0</v>
      </c>
      <c r="AA187" s="128">
        <f t="shared" si="353"/>
        <v>15370.300000000001</v>
      </c>
      <c r="AB187" s="128">
        <f t="shared" si="339"/>
        <v>143408.883</v>
      </c>
      <c r="AC187" s="175">
        <f t="shared" si="340"/>
        <v>0.55157262692307696</v>
      </c>
    </row>
    <row r="188" spans="1:29" ht="14.25" hidden="1" x14ac:dyDescent="0.2">
      <c r="B188" s="76" t="s">
        <v>602</v>
      </c>
      <c r="C188" s="77" t="s">
        <v>603</v>
      </c>
      <c r="D188" s="330">
        <f>+D185*9.99%</f>
        <v>25974000</v>
      </c>
      <c r="E188" s="188">
        <f>SUM('ADICIONES  2021'!C188:I188)</f>
        <v>0</v>
      </c>
      <c r="F188" s="41">
        <f t="shared" ref="F188:J188" si="441">+F185*9.99%</f>
        <v>0</v>
      </c>
      <c r="G188" s="41">
        <f t="shared" si="441"/>
        <v>0</v>
      </c>
      <c r="H188" s="41">
        <f t="shared" si="441"/>
        <v>0</v>
      </c>
      <c r="I188" s="41">
        <f t="shared" si="441"/>
        <v>0</v>
      </c>
      <c r="J188" s="41">
        <f t="shared" si="441"/>
        <v>0</v>
      </c>
      <c r="K188" s="128">
        <f t="shared" si="329"/>
        <v>25974000</v>
      </c>
      <c r="L188" s="41">
        <f t="shared" ref="L188:Q188" si="442">+L185*9.99%</f>
        <v>1843062.9921000001</v>
      </c>
      <c r="M188" s="41">
        <f t="shared" si="442"/>
        <v>2224739.4336000001</v>
      </c>
      <c r="N188" s="41">
        <f t="shared" si="442"/>
        <v>3002166.5282999999</v>
      </c>
      <c r="O188" s="41">
        <f t="shared" si="442"/>
        <v>1817062.8183000002</v>
      </c>
      <c r="P188" s="41">
        <f t="shared" si="442"/>
        <v>1802161.3347</v>
      </c>
      <c r="Q188" s="409">
        <f t="shared" si="442"/>
        <v>2101861.3347</v>
      </c>
      <c r="R188" s="128">
        <f t="shared" si="337"/>
        <v>12791054.441699998</v>
      </c>
      <c r="S188" s="41">
        <f t="shared" ref="S188:Z188" si="443">+S185*9.99%</f>
        <v>1535492.97</v>
      </c>
      <c r="T188" s="41">
        <f t="shared" si="443"/>
        <v>0</v>
      </c>
      <c r="U188" s="41">
        <f t="shared" si="443"/>
        <v>0</v>
      </c>
      <c r="V188" s="41">
        <f t="shared" si="443"/>
        <v>0</v>
      </c>
      <c r="W188" s="41">
        <f t="shared" si="443"/>
        <v>0</v>
      </c>
      <c r="X188" s="41">
        <f t="shared" si="443"/>
        <v>0</v>
      </c>
      <c r="Y188" s="41">
        <f t="shared" si="443"/>
        <v>0</v>
      </c>
      <c r="Z188" s="41">
        <f t="shared" si="443"/>
        <v>0</v>
      </c>
      <c r="AA188" s="128">
        <f t="shared" si="353"/>
        <v>1535492.97</v>
      </c>
      <c r="AB188" s="128">
        <f t="shared" si="339"/>
        <v>14326547.411699999</v>
      </c>
      <c r="AC188" s="175">
        <f t="shared" si="340"/>
        <v>0.55157262692307685</v>
      </c>
    </row>
    <row r="189" spans="1:29" ht="14.25" hidden="1" x14ac:dyDescent="0.2">
      <c r="B189" s="76" t="s">
        <v>604</v>
      </c>
      <c r="C189" s="77" t="s">
        <v>605</v>
      </c>
      <c r="D189" s="330">
        <f>+D185*1.7982%</f>
        <v>4675320</v>
      </c>
      <c r="E189" s="188">
        <f>SUM('ADICIONES  2021'!C189:I189)</f>
        <v>0</v>
      </c>
      <c r="F189" s="41">
        <f t="shared" ref="F189:J189" si="444">+F185*1.7982%</f>
        <v>0</v>
      </c>
      <c r="G189" s="41">
        <f t="shared" si="444"/>
        <v>0</v>
      </c>
      <c r="H189" s="41">
        <f t="shared" si="444"/>
        <v>0</v>
      </c>
      <c r="I189" s="41">
        <f t="shared" si="444"/>
        <v>0</v>
      </c>
      <c r="J189" s="41">
        <f t="shared" si="444"/>
        <v>0</v>
      </c>
      <c r="K189" s="128">
        <f t="shared" si="329"/>
        <v>4675320</v>
      </c>
      <c r="L189" s="41">
        <f t="shared" ref="L189:Q189" si="445">+L185*1.7982%</f>
        <v>331751.33857800002</v>
      </c>
      <c r="M189" s="41">
        <f t="shared" si="445"/>
        <v>400453.09804800001</v>
      </c>
      <c r="N189" s="41">
        <f t="shared" si="445"/>
        <v>540389.97509399999</v>
      </c>
      <c r="O189" s="41">
        <f t="shared" si="445"/>
        <v>327071.307294</v>
      </c>
      <c r="P189" s="41">
        <f t="shared" si="445"/>
        <v>324389.04024600005</v>
      </c>
      <c r="Q189" s="409">
        <f t="shared" si="445"/>
        <v>378335.04024600005</v>
      </c>
      <c r="R189" s="128">
        <f t="shared" si="337"/>
        <v>2302389.7995060002</v>
      </c>
      <c r="S189" s="41">
        <f t="shared" ref="S189:Z189" si="446">+S185*1.7982%</f>
        <v>276388.73460000003</v>
      </c>
      <c r="T189" s="41">
        <f t="shared" si="446"/>
        <v>0</v>
      </c>
      <c r="U189" s="41">
        <f t="shared" si="446"/>
        <v>0</v>
      </c>
      <c r="V189" s="41">
        <f t="shared" si="446"/>
        <v>0</v>
      </c>
      <c r="W189" s="41">
        <f t="shared" si="446"/>
        <v>0</v>
      </c>
      <c r="X189" s="41">
        <f t="shared" si="446"/>
        <v>0</v>
      </c>
      <c r="Y189" s="41">
        <f t="shared" si="446"/>
        <v>0</v>
      </c>
      <c r="Z189" s="41">
        <f t="shared" si="446"/>
        <v>0</v>
      </c>
      <c r="AA189" s="128">
        <f t="shared" si="353"/>
        <v>276388.73460000003</v>
      </c>
      <c r="AB189" s="128">
        <f t="shared" si="339"/>
        <v>2578778.5341060003</v>
      </c>
      <c r="AC189" s="175">
        <f t="shared" si="340"/>
        <v>0.55157262692307696</v>
      </c>
    </row>
    <row r="190" spans="1:29" ht="28.5" hidden="1" x14ac:dyDescent="0.2">
      <c r="B190" s="76" t="s">
        <v>606</v>
      </c>
      <c r="C190" s="154" t="s">
        <v>607</v>
      </c>
      <c r="D190" s="330">
        <f>+D185*0.881118%</f>
        <v>2290906.7999999998</v>
      </c>
      <c r="E190" s="188">
        <f>SUM('ADICIONES  2021'!C190:I190)</f>
        <v>0</v>
      </c>
      <c r="F190" s="41">
        <f t="shared" ref="F190:J190" si="447">+F185*0.881118%</f>
        <v>0</v>
      </c>
      <c r="G190" s="41">
        <f t="shared" si="447"/>
        <v>0</v>
      </c>
      <c r="H190" s="41">
        <f t="shared" si="447"/>
        <v>0</v>
      </c>
      <c r="I190" s="41">
        <f t="shared" si="447"/>
        <v>0</v>
      </c>
      <c r="J190" s="41">
        <f t="shared" si="447"/>
        <v>0</v>
      </c>
      <c r="K190" s="128">
        <f t="shared" si="329"/>
        <v>2290906.7999999998</v>
      </c>
      <c r="L190" s="41">
        <f t="shared" ref="L190:Q190" si="448">+L185*0.881118%</f>
        <v>162558.15590322</v>
      </c>
      <c r="M190" s="41">
        <f t="shared" si="448"/>
        <v>196222.01804351999</v>
      </c>
      <c r="N190" s="41">
        <f t="shared" si="448"/>
        <v>264791.08779606002</v>
      </c>
      <c r="O190" s="41">
        <f t="shared" si="448"/>
        <v>160264.94057405999</v>
      </c>
      <c r="P190" s="41">
        <f t="shared" si="448"/>
        <v>158950.62972053999</v>
      </c>
      <c r="Q190" s="409">
        <f t="shared" si="448"/>
        <v>185384.16972054</v>
      </c>
      <c r="R190" s="128">
        <f t="shared" si="337"/>
        <v>1128171.00175794</v>
      </c>
      <c r="S190" s="41">
        <f t="shared" ref="S190:Z190" si="449">+S185*0.881118%</f>
        <v>135430.47995400001</v>
      </c>
      <c r="T190" s="41">
        <f t="shared" si="449"/>
        <v>0</v>
      </c>
      <c r="U190" s="41">
        <f t="shared" si="449"/>
        <v>0</v>
      </c>
      <c r="V190" s="41">
        <f t="shared" si="449"/>
        <v>0</v>
      </c>
      <c r="W190" s="41">
        <f t="shared" si="449"/>
        <v>0</v>
      </c>
      <c r="X190" s="41">
        <f t="shared" si="449"/>
        <v>0</v>
      </c>
      <c r="Y190" s="41">
        <f t="shared" si="449"/>
        <v>0</v>
      </c>
      <c r="Z190" s="41">
        <f t="shared" si="449"/>
        <v>0</v>
      </c>
      <c r="AA190" s="128">
        <f t="shared" si="353"/>
        <v>135430.47995400001</v>
      </c>
      <c r="AB190" s="128">
        <f t="shared" si="339"/>
        <v>1263601.4817119401</v>
      </c>
      <c r="AC190" s="175">
        <f t="shared" si="340"/>
        <v>0.55157262692307707</v>
      </c>
    </row>
    <row r="191" spans="1:29" s="63" customFormat="1" ht="15.75" x14ac:dyDescent="0.2">
      <c r="A191" s="399">
        <v>1</v>
      </c>
      <c r="B191" s="81" t="s">
        <v>608</v>
      </c>
      <c r="C191" s="79" t="s">
        <v>609</v>
      </c>
      <c r="D191" s="329">
        <f>+D192+D200+D206+D215</f>
        <v>104209963818</v>
      </c>
      <c r="E191" s="187">
        <f>SUM('ADICIONES  2021'!C191:I191)</f>
        <v>0</v>
      </c>
      <c r="F191" s="223">
        <f t="shared" ref="F191:J191" si="450">+F192+F200+F206+F215</f>
        <v>684211000</v>
      </c>
      <c r="G191" s="223">
        <f t="shared" si="450"/>
        <v>0</v>
      </c>
      <c r="H191" s="223">
        <f t="shared" si="450"/>
        <v>0</v>
      </c>
      <c r="I191" s="223">
        <f t="shared" si="450"/>
        <v>0</v>
      </c>
      <c r="J191" s="223">
        <f t="shared" si="450"/>
        <v>0</v>
      </c>
      <c r="K191" s="78">
        <f t="shared" si="329"/>
        <v>103525752818</v>
      </c>
      <c r="L191" s="223">
        <f t="shared" ref="L191:Q191" si="451">+L192+L200+L206+L215</f>
        <v>6634610340.9099998</v>
      </c>
      <c r="M191" s="223">
        <f t="shared" si="451"/>
        <v>8037321341.5299997</v>
      </c>
      <c r="N191" s="223">
        <f t="shared" si="451"/>
        <v>8329136993.6999998</v>
      </c>
      <c r="O191" s="223">
        <f t="shared" si="451"/>
        <v>7571180061.6900005</v>
      </c>
      <c r="P191" s="223">
        <f t="shared" si="451"/>
        <v>8776462305.4599991</v>
      </c>
      <c r="Q191" s="223">
        <f t="shared" si="451"/>
        <v>9584573862.5599995</v>
      </c>
      <c r="R191" s="78">
        <f t="shared" si="337"/>
        <v>48933284905.849998</v>
      </c>
      <c r="S191" s="223">
        <f t="shared" ref="S191:Z191" si="452">+S192+S200+S206+S215</f>
        <v>8034676646.3299999</v>
      </c>
      <c r="T191" s="223">
        <f t="shared" si="452"/>
        <v>0</v>
      </c>
      <c r="U191" s="223">
        <f t="shared" si="452"/>
        <v>0</v>
      </c>
      <c r="V191" s="223">
        <f t="shared" si="452"/>
        <v>0</v>
      </c>
      <c r="W191" s="223">
        <f t="shared" si="452"/>
        <v>0</v>
      </c>
      <c r="X191" s="223">
        <f t="shared" si="452"/>
        <v>0</v>
      </c>
      <c r="Y191" s="223">
        <f t="shared" si="452"/>
        <v>0</v>
      </c>
      <c r="Z191" s="223">
        <f t="shared" si="452"/>
        <v>0</v>
      </c>
      <c r="AA191" s="78">
        <f t="shared" si="353"/>
        <v>8034676646.3299999</v>
      </c>
      <c r="AB191" s="78">
        <f t="shared" si="339"/>
        <v>56967961552.18</v>
      </c>
      <c r="AC191" s="174">
        <f t="shared" si="340"/>
        <v>0.55027816752350134</v>
      </c>
    </row>
    <row r="192" spans="1:29" s="63" customFormat="1" ht="15.75" x14ac:dyDescent="0.2">
      <c r="A192" s="399">
        <v>1</v>
      </c>
      <c r="B192" s="81" t="s">
        <v>610</v>
      </c>
      <c r="C192" s="79" t="s">
        <v>611</v>
      </c>
      <c r="D192" s="223">
        <f>+D193+D197+D198+D199</f>
        <v>38056330164</v>
      </c>
      <c r="E192" s="187">
        <f>SUM('ADICIONES  2021'!C192:I192)</f>
        <v>0</v>
      </c>
      <c r="F192" s="223">
        <f t="shared" ref="F192:J192" si="453">+F193+F197+F198+F199</f>
        <v>0</v>
      </c>
      <c r="G192" s="223">
        <f t="shared" si="453"/>
        <v>0</v>
      </c>
      <c r="H192" s="223">
        <f t="shared" si="453"/>
        <v>0</v>
      </c>
      <c r="I192" s="223">
        <f t="shared" si="453"/>
        <v>0</v>
      </c>
      <c r="J192" s="223">
        <f t="shared" si="453"/>
        <v>0</v>
      </c>
      <c r="K192" s="78">
        <f t="shared" si="329"/>
        <v>38056330164</v>
      </c>
      <c r="L192" s="223">
        <f t="shared" ref="L192:Q192" si="454">+L193+L197+L198+L199</f>
        <v>1807132284.9100001</v>
      </c>
      <c r="M192" s="223">
        <f t="shared" si="454"/>
        <v>2535499423.54</v>
      </c>
      <c r="N192" s="223">
        <f t="shared" si="454"/>
        <v>3951800697.96</v>
      </c>
      <c r="O192" s="223">
        <f t="shared" si="454"/>
        <v>2959306782.6900001</v>
      </c>
      <c r="P192" s="223">
        <f t="shared" si="454"/>
        <v>3999985062.46</v>
      </c>
      <c r="Q192" s="223">
        <f t="shared" si="454"/>
        <v>4231944300.0500002</v>
      </c>
      <c r="R192" s="78">
        <f t="shared" si="337"/>
        <v>19485668551.610001</v>
      </c>
      <c r="S192" s="223">
        <f>+S193+S197+S198+S199</f>
        <v>3621814882.3299999</v>
      </c>
      <c r="T192" s="223">
        <f t="shared" ref="T192:Z192" si="455">+T193+T197+T198+T199</f>
        <v>0</v>
      </c>
      <c r="U192" s="223">
        <f t="shared" si="455"/>
        <v>0</v>
      </c>
      <c r="V192" s="223">
        <f t="shared" si="455"/>
        <v>0</v>
      </c>
      <c r="W192" s="223">
        <f t="shared" si="455"/>
        <v>0</v>
      </c>
      <c r="X192" s="223">
        <f t="shared" si="455"/>
        <v>0</v>
      </c>
      <c r="Y192" s="223">
        <f t="shared" si="455"/>
        <v>0</v>
      </c>
      <c r="Z192" s="223">
        <f t="shared" si="455"/>
        <v>0</v>
      </c>
      <c r="AA192" s="78">
        <f t="shared" si="353"/>
        <v>3621814882.3299999</v>
      </c>
      <c r="AB192" s="78">
        <f t="shared" si="339"/>
        <v>23107483433.940002</v>
      </c>
      <c r="AC192" s="174">
        <f t="shared" si="340"/>
        <v>0.60719158506247406</v>
      </c>
    </row>
    <row r="193" spans="1:29" s="63" customFormat="1" ht="15.75" hidden="1" x14ac:dyDescent="0.2">
      <c r="A193" s="399"/>
      <c r="B193" s="81" t="s">
        <v>612</v>
      </c>
      <c r="C193" s="79" t="s">
        <v>613</v>
      </c>
      <c r="D193" s="329">
        <f>SUM(D194:D196)</f>
        <v>28475122042</v>
      </c>
      <c r="E193" s="187">
        <f>SUM('ADICIONES  2021'!C193:I193)</f>
        <v>0</v>
      </c>
      <c r="F193" s="223">
        <f t="shared" ref="F193:J193" si="456">SUM(F194:F196)</f>
        <v>0</v>
      </c>
      <c r="G193" s="223">
        <f t="shared" si="456"/>
        <v>0</v>
      </c>
      <c r="H193" s="223">
        <f t="shared" si="456"/>
        <v>0</v>
      </c>
      <c r="I193" s="223">
        <f t="shared" si="456"/>
        <v>0</v>
      </c>
      <c r="J193" s="223">
        <f t="shared" si="456"/>
        <v>0</v>
      </c>
      <c r="K193" s="78">
        <f t="shared" si="329"/>
        <v>28475122042</v>
      </c>
      <c r="L193" s="223">
        <f t="shared" ref="L193:Q193" si="457">SUM(L194:L196)</f>
        <v>1807132284.9100001</v>
      </c>
      <c r="M193" s="223">
        <f t="shared" si="457"/>
        <v>1368944374.54</v>
      </c>
      <c r="N193" s="223">
        <f t="shared" si="457"/>
        <v>1690104655.96</v>
      </c>
      <c r="O193" s="223">
        <f t="shared" si="457"/>
        <v>1828458761.6900001</v>
      </c>
      <c r="P193" s="223">
        <f t="shared" si="457"/>
        <v>2869137041.46</v>
      </c>
      <c r="Q193" s="407">
        <f t="shared" si="457"/>
        <v>3101096279.0500002</v>
      </c>
      <c r="R193" s="78">
        <f t="shared" si="337"/>
        <v>12664873397.610001</v>
      </c>
      <c r="S193" s="223">
        <f>SUM(S194:S196)</f>
        <v>2490966861.3299999</v>
      </c>
      <c r="T193" s="223">
        <f t="shared" ref="T193:Z193" si="458">SUM(T194:T196)</f>
        <v>0</v>
      </c>
      <c r="U193" s="223">
        <f t="shared" si="458"/>
        <v>0</v>
      </c>
      <c r="V193" s="223">
        <f t="shared" si="458"/>
        <v>0</v>
      </c>
      <c r="W193" s="223">
        <f t="shared" si="458"/>
        <v>0</v>
      </c>
      <c r="X193" s="223">
        <f t="shared" si="458"/>
        <v>0</v>
      </c>
      <c r="Y193" s="223">
        <f t="shared" si="458"/>
        <v>0</v>
      </c>
      <c r="Z193" s="223">
        <f t="shared" si="458"/>
        <v>0</v>
      </c>
      <c r="AA193" s="78">
        <f t="shared" si="353"/>
        <v>2490966861.3299999</v>
      </c>
      <c r="AB193" s="78">
        <f t="shared" si="339"/>
        <v>15155840258.940001</v>
      </c>
      <c r="AC193" s="174">
        <f t="shared" si="340"/>
        <v>0.53224847417986709</v>
      </c>
    </row>
    <row r="194" spans="1:29" ht="28.5" x14ac:dyDescent="0.2">
      <c r="A194" s="398">
        <v>1</v>
      </c>
      <c r="B194" s="76" t="s">
        <v>614</v>
      </c>
      <c r="C194" s="77" t="s">
        <v>615</v>
      </c>
      <c r="D194" s="330">
        <v>22468768140</v>
      </c>
      <c r="E194" s="188">
        <f>SUM('ADICIONES  2021'!C194:I194)</f>
        <v>0</v>
      </c>
      <c r="F194" s="41"/>
      <c r="G194" s="41"/>
      <c r="H194" s="41"/>
      <c r="I194" s="41"/>
      <c r="J194" s="41"/>
      <c r="K194" s="128">
        <f t="shared" si="329"/>
        <v>22468768140</v>
      </c>
      <c r="L194" s="41">
        <v>1496322037</v>
      </c>
      <c r="M194" s="41">
        <v>1368196271</v>
      </c>
      <c r="N194" s="41">
        <v>1496322037</v>
      </c>
      <c r="O194" s="41">
        <v>1496322037</v>
      </c>
      <c r="P194" s="41">
        <v>1496322037</v>
      </c>
      <c r="Q194" s="181">
        <v>2992644074</v>
      </c>
      <c r="R194" s="128">
        <f t="shared" si="337"/>
        <v>10346128493</v>
      </c>
      <c r="S194" s="41">
        <v>1496322037</v>
      </c>
      <c r="T194" s="41"/>
      <c r="U194" s="41"/>
      <c r="V194" s="41"/>
      <c r="W194" s="41"/>
      <c r="X194" s="41"/>
      <c r="Y194" s="41"/>
      <c r="Z194" s="41"/>
      <c r="AA194" s="128">
        <f t="shared" si="353"/>
        <v>1496322037</v>
      </c>
      <c r="AB194" s="128">
        <f t="shared" si="339"/>
        <v>11842450530</v>
      </c>
      <c r="AC194" s="175">
        <f t="shared" si="340"/>
        <v>0.5270627413221417</v>
      </c>
    </row>
    <row r="195" spans="1:29" ht="28.5" x14ac:dyDescent="0.2">
      <c r="A195" s="398">
        <v>1</v>
      </c>
      <c r="B195" s="76" t="s">
        <v>616</v>
      </c>
      <c r="C195" s="77" t="s">
        <v>617</v>
      </c>
      <c r="D195" s="330">
        <v>4054780119</v>
      </c>
      <c r="E195" s="188">
        <f>SUM('ADICIONES  2021'!C195:I195)</f>
        <v>0</v>
      </c>
      <c r="F195" s="41"/>
      <c r="G195" s="41"/>
      <c r="H195" s="41"/>
      <c r="I195" s="41"/>
      <c r="J195" s="41"/>
      <c r="K195" s="128">
        <f t="shared" si="329"/>
        <v>4054780119</v>
      </c>
      <c r="L195" s="41">
        <v>310810247.91000003</v>
      </c>
      <c r="M195" s="41">
        <v>748103.54</v>
      </c>
      <c r="N195" s="41">
        <v>193782618.96000001</v>
      </c>
      <c r="O195" s="41">
        <v>332136724.69</v>
      </c>
      <c r="P195" s="41">
        <v>1372815004.46</v>
      </c>
      <c r="Q195" s="181">
        <v>108452205.05</v>
      </c>
      <c r="R195" s="128">
        <f t="shared" si="337"/>
        <v>2318744904.6100006</v>
      </c>
      <c r="S195" s="41">
        <v>994644824.33000004</v>
      </c>
      <c r="T195" s="41"/>
      <c r="U195" s="41"/>
      <c r="V195" s="41"/>
      <c r="W195" s="41"/>
      <c r="X195" s="41"/>
      <c r="Y195" s="41"/>
      <c r="Z195" s="41"/>
      <c r="AA195" s="128">
        <f t="shared" si="353"/>
        <v>994644824.33000004</v>
      </c>
      <c r="AB195" s="128">
        <f t="shared" si="339"/>
        <v>3313389728.9400005</v>
      </c>
      <c r="AC195" s="175">
        <f t="shared" si="340"/>
        <v>0.81715645033722739</v>
      </c>
    </row>
    <row r="196" spans="1:29" x14ac:dyDescent="0.2">
      <c r="A196" s="398">
        <v>1</v>
      </c>
      <c r="B196" s="76" t="s">
        <v>618</v>
      </c>
      <c r="C196" s="77" t="s">
        <v>619</v>
      </c>
      <c r="D196" s="330">
        <v>1951573783</v>
      </c>
      <c r="E196" s="188">
        <f>SUM('ADICIONES  2021'!C196:I196)</f>
        <v>0</v>
      </c>
      <c r="F196" s="41"/>
      <c r="G196" s="41"/>
      <c r="H196" s="41"/>
      <c r="I196" s="41"/>
      <c r="J196" s="41"/>
      <c r="K196" s="128">
        <f t="shared" si="329"/>
        <v>1951573783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181">
        <v>0</v>
      </c>
      <c r="R196" s="128">
        <f t="shared" si="337"/>
        <v>0</v>
      </c>
      <c r="S196" s="41">
        <v>0</v>
      </c>
      <c r="T196" s="41"/>
      <c r="U196" s="41"/>
      <c r="V196" s="41"/>
      <c r="W196" s="41"/>
      <c r="X196" s="41"/>
      <c r="Y196" s="41"/>
      <c r="Z196" s="41"/>
      <c r="AA196" s="128">
        <f t="shared" si="353"/>
        <v>0</v>
      </c>
      <c r="AB196" s="128">
        <f t="shared" si="339"/>
        <v>0</v>
      </c>
      <c r="AC196" s="175">
        <f t="shared" si="340"/>
        <v>0</v>
      </c>
    </row>
    <row r="197" spans="1:29" x14ac:dyDescent="0.2">
      <c r="A197" s="398">
        <v>1</v>
      </c>
      <c r="B197" s="82" t="s">
        <v>620</v>
      </c>
      <c r="C197" s="154" t="s">
        <v>621</v>
      </c>
      <c r="D197" s="330">
        <v>9581208122</v>
      </c>
      <c r="E197" s="188">
        <f>SUM('ADICIONES  2021'!C197:I197)</f>
        <v>0</v>
      </c>
      <c r="F197" s="41"/>
      <c r="G197" s="41"/>
      <c r="H197" s="41"/>
      <c r="I197" s="41"/>
      <c r="J197" s="41"/>
      <c r="K197" s="128">
        <f t="shared" si="329"/>
        <v>9581208122</v>
      </c>
      <c r="L197" s="41">
        <v>0</v>
      </c>
      <c r="M197" s="41">
        <v>1166555049</v>
      </c>
      <c r="N197" s="41">
        <v>2261696042</v>
      </c>
      <c r="O197" s="41">
        <v>1130848021</v>
      </c>
      <c r="P197" s="41">
        <v>1130848021</v>
      </c>
      <c r="Q197" s="181">
        <v>1130848021</v>
      </c>
      <c r="R197" s="128">
        <f t="shared" si="337"/>
        <v>6820795154</v>
      </c>
      <c r="S197" s="41">
        <v>1130848021</v>
      </c>
      <c r="T197" s="41"/>
      <c r="U197" s="41"/>
      <c r="V197" s="41"/>
      <c r="W197" s="41"/>
      <c r="X197" s="41"/>
      <c r="Y197" s="41"/>
      <c r="Z197" s="41"/>
      <c r="AA197" s="128">
        <f t="shared" si="353"/>
        <v>1130848021</v>
      </c>
      <c r="AB197" s="128">
        <f t="shared" si="339"/>
        <v>7951643175</v>
      </c>
      <c r="AC197" s="175">
        <f t="shared" si="340"/>
        <v>0.82992072333151223</v>
      </c>
    </row>
    <row r="198" spans="1:29" hidden="1" x14ac:dyDescent="0.2">
      <c r="B198" s="82" t="s">
        <v>620</v>
      </c>
      <c r="C198" s="154" t="s">
        <v>621</v>
      </c>
      <c r="D198" s="330"/>
      <c r="E198" s="188">
        <f>SUM('ADICIONES  2021'!C198:I198)</f>
        <v>0</v>
      </c>
      <c r="F198" s="41"/>
      <c r="G198" s="41"/>
      <c r="H198" s="41"/>
      <c r="I198" s="41"/>
      <c r="J198" s="41"/>
      <c r="K198" s="128">
        <f t="shared" si="329"/>
        <v>0</v>
      </c>
      <c r="L198" s="41"/>
      <c r="M198" s="41"/>
      <c r="N198" s="41"/>
      <c r="O198" s="41"/>
      <c r="P198" s="41"/>
      <c r="Q198" s="409"/>
      <c r="R198" s="128">
        <f t="shared" si="337"/>
        <v>0</v>
      </c>
      <c r="S198" s="41"/>
      <c r="T198" s="41"/>
      <c r="U198" s="41"/>
      <c r="V198" s="41"/>
      <c r="W198" s="41"/>
      <c r="X198" s="41"/>
      <c r="Y198" s="41"/>
      <c r="Z198" s="41"/>
      <c r="AA198" s="128">
        <f t="shared" ref="AA198:AA199" si="459">SUM(S198:Z198)</f>
        <v>0</v>
      </c>
      <c r="AB198" s="128">
        <f t="shared" si="339"/>
        <v>0</v>
      </c>
      <c r="AC198" s="175" t="e">
        <f t="shared" si="340"/>
        <v>#DIV/0!</v>
      </c>
    </row>
    <row r="199" spans="1:29" ht="28.5" hidden="1" x14ac:dyDescent="0.2">
      <c r="B199" s="82" t="s">
        <v>1889</v>
      </c>
      <c r="C199" s="154" t="s">
        <v>1890</v>
      </c>
      <c r="D199" s="330"/>
      <c r="E199" s="188">
        <f>SUM('ADICIONES  2021'!C199:I199)</f>
        <v>0</v>
      </c>
      <c r="F199" s="41"/>
      <c r="G199" s="41"/>
      <c r="H199" s="41"/>
      <c r="I199" s="41"/>
      <c r="J199" s="41"/>
      <c r="K199" s="128">
        <f t="shared" si="329"/>
        <v>0</v>
      </c>
      <c r="L199" s="41"/>
      <c r="M199" s="41"/>
      <c r="N199" s="41"/>
      <c r="O199" s="41"/>
      <c r="P199" s="41"/>
      <c r="Q199" s="409"/>
      <c r="R199" s="128">
        <f t="shared" si="337"/>
        <v>0</v>
      </c>
      <c r="S199" s="41"/>
      <c r="T199" s="41"/>
      <c r="U199" s="41"/>
      <c r="V199" s="41"/>
      <c r="W199" s="41"/>
      <c r="X199" s="41"/>
      <c r="Y199" s="41"/>
      <c r="Z199" s="41"/>
      <c r="AA199" s="128">
        <f t="shared" si="459"/>
        <v>0</v>
      </c>
      <c r="AB199" s="128">
        <f t="shared" si="339"/>
        <v>0</v>
      </c>
      <c r="AC199" s="175" t="e">
        <f t="shared" si="340"/>
        <v>#DIV/0!</v>
      </c>
    </row>
    <row r="200" spans="1:29" s="63" customFormat="1" ht="15.75" hidden="1" x14ac:dyDescent="0.2">
      <c r="A200" s="399"/>
      <c r="B200" s="81" t="s">
        <v>622</v>
      </c>
      <c r="C200" s="79" t="s">
        <v>623</v>
      </c>
      <c r="D200" s="329">
        <f>+D201</f>
        <v>26607211000</v>
      </c>
      <c r="E200" s="187">
        <f>SUM('ADICIONES  2021'!C200:I200)</f>
        <v>0</v>
      </c>
      <c r="F200" s="223">
        <f t="shared" ref="F200:J201" si="460">+F201</f>
        <v>684211000</v>
      </c>
      <c r="G200" s="223">
        <f t="shared" si="460"/>
        <v>0</v>
      </c>
      <c r="H200" s="223">
        <f t="shared" si="460"/>
        <v>0</v>
      </c>
      <c r="I200" s="223">
        <f t="shared" si="460"/>
        <v>0</v>
      </c>
      <c r="J200" s="223">
        <f t="shared" si="460"/>
        <v>0</v>
      </c>
      <c r="K200" s="78">
        <f t="shared" si="329"/>
        <v>25923000000</v>
      </c>
      <c r="L200" s="223">
        <f t="shared" ref="L200:Q201" si="461">+L201</f>
        <v>2138137700</v>
      </c>
      <c r="M200" s="223">
        <f t="shared" si="461"/>
        <v>2332148877</v>
      </c>
      <c r="N200" s="223">
        <f t="shared" si="461"/>
        <v>2067713952</v>
      </c>
      <c r="O200" s="223">
        <f t="shared" si="461"/>
        <v>2146608857</v>
      </c>
      <c r="P200" s="223">
        <f t="shared" si="461"/>
        <v>2495200340</v>
      </c>
      <c r="Q200" s="407">
        <f t="shared" si="461"/>
        <v>2151327249</v>
      </c>
      <c r="R200" s="78">
        <f t="shared" si="337"/>
        <v>13331136975</v>
      </c>
      <c r="S200" s="223">
        <f t="shared" ref="S200:Z201" si="462">+S201</f>
        <v>1836998746</v>
      </c>
      <c r="T200" s="223">
        <f t="shared" si="462"/>
        <v>0</v>
      </c>
      <c r="U200" s="223">
        <f t="shared" si="462"/>
        <v>0</v>
      </c>
      <c r="V200" s="223">
        <f t="shared" si="462"/>
        <v>0</v>
      </c>
      <c r="W200" s="223">
        <f t="shared" si="462"/>
        <v>0</v>
      </c>
      <c r="X200" s="223">
        <f t="shared" si="462"/>
        <v>0</v>
      </c>
      <c r="Y200" s="223">
        <f t="shared" si="462"/>
        <v>0</v>
      </c>
      <c r="Z200" s="223">
        <f t="shared" si="462"/>
        <v>0</v>
      </c>
      <c r="AA200" s="78">
        <f t="shared" si="353"/>
        <v>1836998746</v>
      </c>
      <c r="AB200" s="78">
        <f t="shared" si="339"/>
        <v>15168135721</v>
      </c>
      <c r="AC200" s="174">
        <f t="shared" si="340"/>
        <v>0.58512269880029322</v>
      </c>
    </row>
    <row r="201" spans="1:29" s="63" customFormat="1" ht="15.75" hidden="1" x14ac:dyDescent="0.2">
      <c r="A201" s="399"/>
      <c r="B201" s="81" t="s">
        <v>624</v>
      </c>
      <c r="C201" s="79" t="s">
        <v>625</v>
      </c>
      <c r="D201" s="329">
        <f>+D202</f>
        <v>26607211000</v>
      </c>
      <c r="E201" s="187">
        <f>SUM('ADICIONES  2021'!C201:I201)</f>
        <v>0</v>
      </c>
      <c r="F201" s="223">
        <f t="shared" si="460"/>
        <v>684211000</v>
      </c>
      <c r="G201" s="223">
        <f t="shared" si="460"/>
        <v>0</v>
      </c>
      <c r="H201" s="223">
        <f t="shared" si="460"/>
        <v>0</v>
      </c>
      <c r="I201" s="223">
        <f t="shared" si="460"/>
        <v>0</v>
      </c>
      <c r="J201" s="223">
        <f t="shared" si="460"/>
        <v>0</v>
      </c>
      <c r="K201" s="78">
        <f t="shared" si="329"/>
        <v>25923000000</v>
      </c>
      <c r="L201" s="223">
        <f t="shared" si="461"/>
        <v>2138137700</v>
      </c>
      <c r="M201" s="223">
        <f t="shared" si="461"/>
        <v>2332148877</v>
      </c>
      <c r="N201" s="223">
        <f t="shared" si="461"/>
        <v>2067713952</v>
      </c>
      <c r="O201" s="223">
        <f t="shared" si="461"/>
        <v>2146608857</v>
      </c>
      <c r="P201" s="223">
        <f t="shared" si="461"/>
        <v>2495200340</v>
      </c>
      <c r="Q201" s="407">
        <f t="shared" si="461"/>
        <v>2151327249</v>
      </c>
      <c r="R201" s="78">
        <f t="shared" si="337"/>
        <v>13331136975</v>
      </c>
      <c r="S201" s="223">
        <f t="shared" si="462"/>
        <v>1836998746</v>
      </c>
      <c r="T201" s="223">
        <f t="shared" si="462"/>
        <v>0</v>
      </c>
      <c r="U201" s="223">
        <f t="shared" si="462"/>
        <v>0</v>
      </c>
      <c r="V201" s="223">
        <f t="shared" si="462"/>
        <v>0</v>
      </c>
      <c r="W201" s="223">
        <f t="shared" si="462"/>
        <v>0</v>
      </c>
      <c r="X201" s="223">
        <f t="shared" si="462"/>
        <v>0</v>
      </c>
      <c r="Y201" s="223">
        <f t="shared" si="462"/>
        <v>0</v>
      </c>
      <c r="Z201" s="223">
        <f t="shared" si="462"/>
        <v>0</v>
      </c>
      <c r="AA201" s="78">
        <f t="shared" si="353"/>
        <v>1836998746</v>
      </c>
      <c r="AB201" s="78">
        <f t="shared" si="339"/>
        <v>15168135721</v>
      </c>
      <c r="AC201" s="174">
        <f t="shared" si="340"/>
        <v>0.58512269880029322</v>
      </c>
    </row>
    <row r="202" spans="1:29" s="19" customFormat="1" ht="15.75" x14ac:dyDescent="0.2">
      <c r="A202" s="71">
        <v>1</v>
      </c>
      <c r="B202" s="82" t="s">
        <v>626</v>
      </c>
      <c r="C202" s="83" t="s">
        <v>627</v>
      </c>
      <c r="D202" s="329">
        <f>SUM(D203:D205)</f>
        <v>26607211000</v>
      </c>
      <c r="E202" s="187">
        <f>SUM('ADICIONES  2021'!C202:I202)</f>
        <v>0</v>
      </c>
      <c r="F202" s="223">
        <f t="shared" ref="F202:J202" si="463">SUM(F203:F205)</f>
        <v>684211000</v>
      </c>
      <c r="G202" s="223">
        <f t="shared" si="463"/>
        <v>0</v>
      </c>
      <c r="H202" s="223">
        <f t="shared" si="463"/>
        <v>0</v>
      </c>
      <c r="I202" s="223">
        <f t="shared" si="463"/>
        <v>0</v>
      </c>
      <c r="J202" s="223">
        <f t="shared" si="463"/>
        <v>0</v>
      </c>
      <c r="K202" s="126">
        <f t="shared" si="329"/>
        <v>25923000000</v>
      </c>
      <c r="L202" s="260">
        <f t="shared" ref="L202:Q202" si="464">SUM(L203:L205)</f>
        <v>2138137700</v>
      </c>
      <c r="M202" s="260">
        <f t="shared" si="464"/>
        <v>2332148877</v>
      </c>
      <c r="N202" s="260">
        <f t="shared" si="464"/>
        <v>2067713952</v>
      </c>
      <c r="O202" s="260">
        <f t="shared" si="464"/>
        <v>2146608857</v>
      </c>
      <c r="P202" s="260">
        <f t="shared" si="464"/>
        <v>2495200340</v>
      </c>
      <c r="Q202" s="260">
        <f t="shared" si="464"/>
        <v>2151327249</v>
      </c>
      <c r="R202" s="78">
        <f t="shared" si="337"/>
        <v>13331136975</v>
      </c>
      <c r="S202" s="260">
        <f t="shared" ref="S202:Z202" si="465">SUM(S203:S205)</f>
        <v>1836998746</v>
      </c>
      <c r="T202" s="223">
        <f t="shared" si="465"/>
        <v>0</v>
      </c>
      <c r="U202" s="223">
        <f t="shared" si="465"/>
        <v>0</v>
      </c>
      <c r="V202" s="223">
        <f t="shared" si="465"/>
        <v>0</v>
      </c>
      <c r="W202" s="223">
        <f t="shared" si="465"/>
        <v>0</v>
      </c>
      <c r="X202" s="223">
        <f t="shared" si="465"/>
        <v>0</v>
      </c>
      <c r="Y202" s="260">
        <f t="shared" si="465"/>
        <v>0</v>
      </c>
      <c r="Z202" s="223">
        <f t="shared" si="465"/>
        <v>0</v>
      </c>
      <c r="AA202" s="78">
        <f t="shared" si="353"/>
        <v>1836998746</v>
      </c>
      <c r="AB202" s="126">
        <f t="shared" si="339"/>
        <v>15168135721</v>
      </c>
      <c r="AC202" s="180">
        <f t="shared" si="340"/>
        <v>0.58512269880029322</v>
      </c>
    </row>
    <row r="203" spans="1:29" ht="14.25" hidden="1" x14ac:dyDescent="0.2">
      <c r="B203" s="76" t="s">
        <v>628</v>
      </c>
      <c r="C203" s="77" t="s">
        <v>629</v>
      </c>
      <c r="D203" s="334">
        <v>13000000000</v>
      </c>
      <c r="E203" s="188">
        <f>SUM('ADICIONES  2021'!C203:I203)</f>
        <v>0</v>
      </c>
      <c r="F203" s="128"/>
      <c r="G203" s="128"/>
      <c r="H203" s="128"/>
      <c r="I203" s="128"/>
      <c r="J203" s="128"/>
      <c r="K203" s="128">
        <f t="shared" si="329"/>
        <v>13000000000</v>
      </c>
      <c r="L203" s="128">
        <v>1069068850</v>
      </c>
      <c r="M203" s="128">
        <v>1166074438.5</v>
      </c>
      <c r="N203" s="128">
        <v>1033856976</v>
      </c>
      <c r="O203" s="128">
        <v>1073304428.5</v>
      </c>
      <c r="P203" s="128">
        <v>1247600170</v>
      </c>
      <c r="Q203" s="413">
        <v>1075663624.5</v>
      </c>
      <c r="R203" s="128">
        <f t="shared" si="337"/>
        <v>6665568487.5</v>
      </c>
      <c r="S203" s="128">
        <v>918499373</v>
      </c>
      <c r="T203" s="128"/>
      <c r="U203" s="128"/>
      <c r="V203" s="128"/>
      <c r="W203" s="128"/>
      <c r="X203" s="128"/>
      <c r="Y203" s="128"/>
      <c r="Z203" s="128"/>
      <c r="AA203" s="128">
        <f t="shared" si="353"/>
        <v>918499373</v>
      </c>
      <c r="AB203" s="128">
        <f t="shared" si="339"/>
        <v>7584067860.5</v>
      </c>
      <c r="AC203" s="175">
        <v>0</v>
      </c>
    </row>
    <row r="204" spans="1:29" ht="28.5" hidden="1" x14ac:dyDescent="0.2">
      <c r="B204" s="76" t="s">
        <v>630</v>
      </c>
      <c r="C204" s="77" t="s">
        <v>631</v>
      </c>
      <c r="D204" s="334">
        <v>684211000</v>
      </c>
      <c r="E204" s="188">
        <f>SUM('ADICIONES  2021'!C204:I204)</f>
        <v>0</v>
      </c>
      <c r="F204" s="128">
        <v>684211000</v>
      </c>
      <c r="G204" s="128"/>
      <c r="H204" s="128"/>
      <c r="I204" s="128"/>
      <c r="J204" s="128"/>
      <c r="K204" s="128">
        <f t="shared" si="329"/>
        <v>0</v>
      </c>
      <c r="L204" s="128">
        <v>0</v>
      </c>
      <c r="M204" s="128">
        <v>0</v>
      </c>
      <c r="N204" s="128">
        <v>0</v>
      </c>
      <c r="O204" s="128">
        <v>0</v>
      </c>
      <c r="P204" s="128">
        <v>0</v>
      </c>
      <c r="Q204" s="413">
        <v>0</v>
      </c>
      <c r="R204" s="128">
        <f t="shared" si="337"/>
        <v>0</v>
      </c>
      <c r="S204" s="128">
        <v>0</v>
      </c>
      <c r="T204" s="128"/>
      <c r="U204" s="128"/>
      <c r="V204" s="128"/>
      <c r="W204" s="128"/>
      <c r="X204" s="128"/>
      <c r="Y204" s="128"/>
      <c r="Z204" s="128"/>
      <c r="AA204" s="128">
        <f t="shared" si="353"/>
        <v>0</v>
      </c>
      <c r="AB204" s="128">
        <f t="shared" si="339"/>
        <v>0</v>
      </c>
      <c r="AC204" s="175" t="e">
        <f t="shared" si="340"/>
        <v>#DIV/0!</v>
      </c>
    </row>
    <row r="205" spans="1:29" ht="14.25" hidden="1" x14ac:dyDescent="0.2">
      <c r="B205" s="76" t="s">
        <v>632</v>
      </c>
      <c r="C205" s="77" t="s">
        <v>633</v>
      </c>
      <c r="D205" s="334">
        <v>12923000000</v>
      </c>
      <c r="E205" s="188">
        <f>SUM('ADICIONES  2021'!C205:I205)</f>
        <v>0</v>
      </c>
      <c r="F205" s="128"/>
      <c r="G205" s="128"/>
      <c r="H205" s="128"/>
      <c r="I205" s="128"/>
      <c r="J205" s="128"/>
      <c r="K205" s="128">
        <f t="shared" si="329"/>
        <v>12923000000</v>
      </c>
      <c r="L205" s="128">
        <v>1069068850</v>
      </c>
      <c r="M205" s="128">
        <v>1166074438.5</v>
      </c>
      <c r="N205" s="128">
        <v>1033856976</v>
      </c>
      <c r="O205" s="128">
        <v>1073304428.5</v>
      </c>
      <c r="P205" s="128">
        <v>1247600170</v>
      </c>
      <c r="Q205" s="413">
        <v>1075663624.5</v>
      </c>
      <c r="R205" s="128">
        <f t="shared" si="337"/>
        <v>6665568487.5</v>
      </c>
      <c r="S205" s="128">
        <v>918499373</v>
      </c>
      <c r="T205" s="128"/>
      <c r="U205" s="128"/>
      <c r="V205" s="128"/>
      <c r="W205" s="128"/>
      <c r="X205" s="128"/>
      <c r="Y205" s="128"/>
      <c r="Z205" s="128"/>
      <c r="AA205" s="128">
        <f t="shared" si="353"/>
        <v>918499373</v>
      </c>
      <c r="AB205" s="128">
        <f t="shared" si="339"/>
        <v>7584067860.5</v>
      </c>
      <c r="AC205" s="175">
        <f t="shared" si="340"/>
        <v>0.58686588721659061</v>
      </c>
    </row>
    <row r="206" spans="1:29" s="63" customFormat="1" ht="31.5" hidden="1" x14ac:dyDescent="0.2">
      <c r="A206" s="399"/>
      <c r="B206" s="81" t="s">
        <v>634</v>
      </c>
      <c r="C206" s="79" t="s">
        <v>635</v>
      </c>
      <c r="D206" s="329">
        <f>+D207</f>
        <v>29546422654</v>
      </c>
      <c r="E206" s="187">
        <f>SUM('ADICIONES  2021'!C206:I206)</f>
        <v>0</v>
      </c>
      <c r="F206" s="223">
        <f t="shared" ref="F206:J206" si="466">+F207</f>
        <v>0</v>
      </c>
      <c r="G206" s="223">
        <f t="shared" si="466"/>
        <v>0</v>
      </c>
      <c r="H206" s="223">
        <f t="shared" si="466"/>
        <v>0</v>
      </c>
      <c r="I206" s="223">
        <f t="shared" si="466"/>
        <v>0</v>
      </c>
      <c r="J206" s="223">
        <f t="shared" si="466"/>
        <v>0</v>
      </c>
      <c r="K206" s="78">
        <f t="shared" ref="K206:K269" si="467">+D206+E206-F206+G206-H206</f>
        <v>29546422654</v>
      </c>
      <c r="L206" s="223">
        <f t="shared" ref="L206:Q206" si="468">+L207</f>
        <v>2689340356</v>
      </c>
      <c r="M206" s="223">
        <f t="shared" si="468"/>
        <v>3121740609</v>
      </c>
      <c r="N206" s="223">
        <f t="shared" si="468"/>
        <v>2232489239</v>
      </c>
      <c r="O206" s="223">
        <f t="shared" si="468"/>
        <v>2465264422</v>
      </c>
      <c r="P206" s="223">
        <f t="shared" si="468"/>
        <v>2281276903</v>
      </c>
      <c r="Q206" s="407">
        <f t="shared" si="468"/>
        <v>2326994969</v>
      </c>
      <c r="R206" s="78">
        <f t="shared" si="337"/>
        <v>15117106498</v>
      </c>
      <c r="S206" s="223">
        <f t="shared" ref="S206:Z206" si="469">+S207</f>
        <v>2575863018</v>
      </c>
      <c r="T206" s="223">
        <f t="shared" si="469"/>
        <v>0</v>
      </c>
      <c r="U206" s="223">
        <f t="shared" si="469"/>
        <v>0</v>
      </c>
      <c r="V206" s="223">
        <f t="shared" si="469"/>
        <v>0</v>
      </c>
      <c r="W206" s="223">
        <f t="shared" si="469"/>
        <v>0</v>
      </c>
      <c r="X206" s="223">
        <f t="shared" si="469"/>
        <v>0</v>
      </c>
      <c r="Y206" s="223">
        <f t="shared" si="469"/>
        <v>0</v>
      </c>
      <c r="Z206" s="223">
        <f t="shared" si="469"/>
        <v>0</v>
      </c>
      <c r="AA206" s="78">
        <f t="shared" si="353"/>
        <v>2575863018</v>
      </c>
      <c r="AB206" s="78">
        <f t="shared" si="339"/>
        <v>17692969516</v>
      </c>
      <c r="AC206" s="174">
        <f t="shared" si="340"/>
        <v>0.59881934686955152</v>
      </c>
    </row>
    <row r="207" spans="1:29" s="63" customFormat="1" ht="15.75" hidden="1" x14ac:dyDescent="0.2">
      <c r="A207" s="399"/>
      <c r="B207" s="81" t="s">
        <v>636</v>
      </c>
      <c r="C207" s="79" t="s">
        <v>637</v>
      </c>
      <c r="D207" s="329">
        <f>SUM(D208:D211)</f>
        <v>29546422654</v>
      </c>
      <c r="E207" s="187">
        <f>SUM('ADICIONES  2021'!C207:I207)</f>
        <v>0</v>
      </c>
      <c r="F207" s="223">
        <f t="shared" ref="F207:J207" si="470">SUM(F208:F211)</f>
        <v>0</v>
      </c>
      <c r="G207" s="223">
        <f t="shared" si="470"/>
        <v>0</v>
      </c>
      <c r="H207" s="223">
        <f t="shared" si="470"/>
        <v>0</v>
      </c>
      <c r="I207" s="223">
        <f t="shared" si="470"/>
        <v>0</v>
      </c>
      <c r="J207" s="223">
        <f t="shared" si="470"/>
        <v>0</v>
      </c>
      <c r="K207" s="78">
        <f t="shared" si="467"/>
        <v>29546422654</v>
      </c>
      <c r="L207" s="223">
        <f t="shared" ref="L207:Q207" si="471">SUM(L208:L211)</f>
        <v>2689340356</v>
      </c>
      <c r="M207" s="223">
        <f t="shared" si="471"/>
        <v>3121740609</v>
      </c>
      <c r="N207" s="223">
        <f t="shared" si="471"/>
        <v>2232489239</v>
      </c>
      <c r="O207" s="223">
        <f t="shared" si="471"/>
        <v>2465264422</v>
      </c>
      <c r="P207" s="223">
        <f t="shared" si="471"/>
        <v>2281276903</v>
      </c>
      <c r="Q207" s="407">
        <f t="shared" si="471"/>
        <v>2326994969</v>
      </c>
      <c r="R207" s="78">
        <f t="shared" si="337"/>
        <v>15117106498</v>
      </c>
      <c r="S207" s="223">
        <f t="shared" ref="S207:Z207" si="472">SUM(S208:S211)</f>
        <v>2575863018</v>
      </c>
      <c r="T207" s="223">
        <f t="shared" si="472"/>
        <v>0</v>
      </c>
      <c r="U207" s="223">
        <f t="shared" si="472"/>
        <v>0</v>
      </c>
      <c r="V207" s="223">
        <f t="shared" si="472"/>
        <v>0</v>
      </c>
      <c r="W207" s="223">
        <f t="shared" si="472"/>
        <v>0</v>
      </c>
      <c r="X207" s="223">
        <f t="shared" si="472"/>
        <v>0</v>
      </c>
      <c r="Y207" s="223">
        <f t="shared" si="472"/>
        <v>0</v>
      </c>
      <c r="Z207" s="223">
        <f t="shared" si="472"/>
        <v>0</v>
      </c>
      <c r="AA207" s="78">
        <f t="shared" si="353"/>
        <v>2575863018</v>
      </c>
      <c r="AB207" s="78">
        <f t="shared" si="339"/>
        <v>17692969516</v>
      </c>
      <c r="AC207" s="174">
        <f t="shared" si="340"/>
        <v>0.59881934686955152</v>
      </c>
    </row>
    <row r="208" spans="1:29" x14ac:dyDescent="0.2">
      <c r="A208" s="398">
        <v>1</v>
      </c>
      <c r="B208" s="76" t="s">
        <v>638</v>
      </c>
      <c r="C208" s="77" t="s">
        <v>639</v>
      </c>
      <c r="D208" s="330">
        <v>2000000000</v>
      </c>
      <c r="E208" s="188">
        <f>SUM('ADICIONES  2021'!C208:I208)</f>
        <v>0</v>
      </c>
      <c r="F208" s="41"/>
      <c r="G208" s="41"/>
      <c r="H208" s="41"/>
      <c r="I208" s="41"/>
      <c r="J208" s="41"/>
      <c r="K208" s="128">
        <f t="shared" si="467"/>
        <v>2000000000</v>
      </c>
      <c r="L208" s="41">
        <v>0</v>
      </c>
      <c r="M208" s="41">
        <v>250391108</v>
      </c>
      <c r="N208" s="41">
        <v>7595746</v>
      </c>
      <c r="O208" s="41">
        <v>7749123</v>
      </c>
      <c r="P208" s="41">
        <v>7239528</v>
      </c>
      <c r="Q208" s="181">
        <v>7940102</v>
      </c>
      <c r="R208" s="128">
        <f t="shared" ref="R208:R272" si="473">SUM(L208:Q208)</f>
        <v>280915607</v>
      </c>
      <c r="S208" s="41">
        <v>11152333</v>
      </c>
      <c r="T208" s="41"/>
      <c r="U208" s="41"/>
      <c r="V208" s="41"/>
      <c r="W208" s="41"/>
      <c r="X208" s="41"/>
      <c r="Y208" s="41"/>
      <c r="Z208" s="41"/>
      <c r="AA208" s="128">
        <f t="shared" si="353"/>
        <v>11152333</v>
      </c>
      <c r="AB208" s="128">
        <f t="shared" ref="AB208:AB272" si="474">+R208+AA208</f>
        <v>292067940</v>
      </c>
      <c r="AC208" s="175">
        <f t="shared" si="340"/>
        <v>0.14603397000000001</v>
      </c>
    </row>
    <row r="209" spans="1:29" ht="28.5" x14ac:dyDescent="0.2">
      <c r="A209" s="398">
        <v>1</v>
      </c>
      <c r="B209" s="76" t="s">
        <v>640</v>
      </c>
      <c r="C209" s="77" t="s">
        <v>641</v>
      </c>
      <c r="D209" s="330">
        <v>13813301332</v>
      </c>
      <c r="E209" s="188">
        <f>SUM('ADICIONES  2021'!C209:I209)</f>
        <v>0</v>
      </c>
      <c r="F209" s="41"/>
      <c r="G209" s="41"/>
      <c r="H209" s="41"/>
      <c r="I209" s="41"/>
      <c r="J209" s="41"/>
      <c r="K209" s="128">
        <f t="shared" si="467"/>
        <v>13813301332</v>
      </c>
      <c r="L209" s="41">
        <v>0</v>
      </c>
      <c r="M209" s="41">
        <v>0</v>
      </c>
      <c r="N209" s="41">
        <v>0</v>
      </c>
      <c r="O209" s="41">
        <v>0</v>
      </c>
      <c r="P209" s="41">
        <v>0</v>
      </c>
      <c r="Q209" s="181">
        <v>0</v>
      </c>
      <c r="R209" s="128">
        <f t="shared" si="473"/>
        <v>0</v>
      </c>
      <c r="S209" s="41">
        <v>0</v>
      </c>
      <c r="T209" s="41"/>
      <c r="U209" s="41"/>
      <c r="V209" s="41"/>
      <c r="W209" s="41"/>
      <c r="X209" s="41"/>
      <c r="Y209" s="41"/>
      <c r="Z209" s="41"/>
      <c r="AA209" s="128">
        <f t="shared" si="353"/>
        <v>0</v>
      </c>
      <c r="AB209" s="128">
        <f t="shared" si="474"/>
        <v>0</v>
      </c>
      <c r="AC209" s="175">
        <f t="shared" si="340"/>
        <v>0</v>
      </c>
    </row>
    <row r="210" spans="1:29" ht="28.5" x14ac:dyDescent="0.2">
      <c r="A210" s="398">
        <v>1</v>
      </c>
      <c r="B210" s="76" t="s">
        <v>642</v>
      </c>
      <c r="C210" s="77" t="s">
        <v>643</v>
      </c>
      <c r="D210" s="330">
        <v>7046121322</v>
      </c>
      <c r="E210" s="188">
        <f>SUM('ADICIONES  2021'!C210:I210)</f>
        <v>0</v>
      </c>
      <c r="F210" s="41"/>
      <c r="G210" s="41"/>
      <c r="H210" s="41"/>
      <c r="I210" s="41"/>
      <c r="J210" s="41"/>
      <c r="K210" s="128">
        <f t="shared" si="467"/>
        <v>7046121322</v>
      </c>
      <c r="L210" s="41">
        <v>1914493529</v>
      </c>
      <c r="M210" s="41">
        <v>1914493529</v>
      </c>
      <c r="N210" s="41">
        <v>1914493529</v>
      </c>
      <c r="O210" s="41">
        <v>1914493529</v>
      </c>
      <c r="P210" s="41">
        <v>1914493529</v>
      </c>
      <c r="Q210" s="181">
        <v>1914493529</v>
      </c>
      <c r="R210" s="128">
        <f t="shared" si="473"/>
        <v>11486961174</v>
      </c>
      <c r="S210" s="41">
        <v>1973761499</v>
      </c>
      <c r="T210" s="41"/>
      <c r="U210" s="41"/>
      <c r="V210" s="41"/>
      <c r="W210" s="41"/>
      <c r="X210" s="41"/>
      <c r="Y210" s="41"/>
      <c r="Z210" s="41"/>
      <c r="AA210" s="128">
        <f t="shared" si="353"/>
        <v>1973761499</v>
      </c>
      <c r="AB210" s="128">
        <f t="shared" si="474"/>
        <v>13460722673</v>
      </c>
      <c r="AC210" s="175">
        <f t="shared" si="340"/>
        <v>1.9103733895372743</v>
      </c>
    </row>
    <row r="211" spans="1:29" s="63" customFormat="1" ht="15.75" hidden="1" x14ac:dyDescent="0.2">
      <c r="A211" s="399"/>
      <c r="B211" s="81" t="s">
        <v>644</v>
      </c>
      <c r="C211" s="101" t="s">
        <v>645</v>
      </c>
      <c r="D211" s="329">
        <f>SUM(D212:D214)</f>
        <v>6687000000</v>
      </c>
      <c r="E211" s="187">
        <f>SUM('ADICIONES  2021'!C211:I211)</f>
        <v>0</v>
      </c>
      <c r="F211" s="223">
        <f t="shared" ref="F211:J211" si="475">SUM(F212:F214)</f>
        <v>0</v>
      </c>
      <c r="G211" s="223">
        <f t="shared" si="475"/>
        <v>0</v>
      </c>
      <c r="H211" s="223">
        <f t="shared" si="475"/>
        <v>0</v>
      </c>
      <c r="I211" s="223">
        <f t="shared" si="475"/>
        <v>0</v>
      </c>
      <c r="J211" s="223">
        <f t="shared" si="475"/>
        <v>0</v>
      </c>
      <c r="K211" s="78">
        <f t="shared" si="467"/>
        <v>6687000000</v>
      </c>
      <c r="L211" s="223">
        <f t="shared" ref="L211:Q211" si="476">SUM(L212:L214)</f>
        <v>774846827</v>
      </c>
      <c r="M211" s="223">
        <f t="shared" si="476"/>
        <v>956855972</v>
      </c>
      <c r="N211" s="223">
        <f t="shared" si="476"/>
        <v>310399964</v>
      </c>
      <c r="O211" s="223">
        <f t="shared" si="476"/>
        <v>543021770</v>
      </c>
      <c r="P211" s="223">
        <f t="shared" si="476"/>
        <v>359543846</v>
      </c>
      <c r="Q211" s="407">
        <f t="shared" si="476"/>
        <v>404561338</v>
      </c>
      <c r="R211" s="78">
        <f t="shared" si="473"/>
        <v>3349229717</v>
      </c>
      <c r="S211" s="223">
        <f t="shared" ref="S211:Z211" si="477">SUM(S212:S214)</f>
        <v>590949186</v>
      </c>
      <c r="T211" s="223">
        <f t="shared" si="477"/>
        <v>0</v>
      </c>
      <c r="U211" s="223">
        <f t="shared" si="477"/>
        <v>0</v>
      </c>
      <c r="V211" s="223">
        <f t="shared" si="477"/>
        <v>0</v>
      </c>
      <c r="W211" s="223">
        <f t="shared" si="477"/>
        <v>0</v>
      </c>
      <c r="X211" s="223">
        <f t="shared" si="477"/>
        <v>0</v>
      </c>
      <c r="Y211" s="223">
        <f t="shared" si="477"/>
        <v>0</v>
      </c>
      <c r="Z211" s="223">
        <f t="shared" si="477"/>
        <v>0</v>
      </c>
      <c r="AA211" s="78">
        <f t="shared" si="353"/>
        <v>590949186</v>
      </c>
      <c r="AB211" s="78">
        <f t="shared" si="474"/>
        <v>3940178903</v>
      </c>
      <c r="AC211" s="174">
        <f t="shared" ref="AC211:AC284" si="478">+AB211/K211</f>
        <v>0.58922968491102135</v>
      </c>
    </row>
    <row r="212" spans="1:29" x14ac:dyDescent="0.2">
      <c r="A212" s="398">
        <v>1</v>
      </c>
      <c r="B212" s="76" t="s">
        <v>646</v>
      </c>
      <c r="C212" s="77" t="s">
        <v>647</v>
      </c>
      <c r="D212" s="334">
        <v>4100000000</v>
      </c>
      <c r="E212" s="188">
        <f>SUM('ADICIONES  2021'!C212:I212)</f>
        <v>0</v>
      </c>
      <c r="F212" s="128"/>
      <c r="G212" s="128"/>
      <c r="H212" s="128"/>
      <c r="I212" s="128"/>
      <c r="J212" s="128"/>
      <c r="K212" s="128">
        <f t="shared" si="467"/>
        <v>4100000000</v>
      </c>
      <c r="L212" s="128">
        <v>323158015</v>
      </c>
      <c r="M212" s="128">
        <v>641354900</v>
      </c>
      <c r="N212" s="128">
        <v>76236793</v>
      </c>
      <c r="O212" s="128">
        <v>382579570</v>
      </c>
      <c r="P212" s="128">
        <v>232838443</v>
      </c>
      <c r="Q212" s="126">
        <v>225772422</v>
      </c>
      <c r="R212" s="128">
        <f t="shared" si="473"/>
        <v>1881940143</v>
      </c>
      <c r="S212" s="128">
        <v>322677630</v>
      </c>
      <c r="T212" s="128"/>
      <c r="U212" s="128"/>
      <c r="V212" s="128"/>
      <c r="W212" s="128"/>
      <c r="X212" s="128"/>
      <c r="Y212" s="128"/>
      <c r="Z212" s="128"/>
      <c r="AA212" s="128">
        <f t="shared" si="353"/>
        <v>322677630</v>
      </c>
      <c r="AB212" s="128">
        <f t="shared" si="474"/>
        <v>2204617773</v>
      </c>
      <c r="AC212" s="175">
        <f t="shared" si="478"/>
        <v>0.5377116519512195</v>
      </c>
    </row>
    <row r="213" spans="1:29" x14ac:dyDescent="0.2">
      <c r="A213" s="398">
        <v>1</v>
      </c>
      <c r="B213" s="76" t="s">
        <v>648</v>
      </c>
      <c r="C213" s="77" t="s">
        <v>649</v>
      </c>
      <c r="D213" s="334">
        <v>57000000</v>
      </c>
      <c r="E213" s="188">
        <f>SUM('ADICIONES  2021'!C213:I213)</f>
        <v>0</v>
      </c>
      <c r="F213" s="128"/>
      <c r="G213" s="128"/>
      <c r="H213" s="128"/>
      <c r="I213" s="128"/>
      <c r="J213" s="128"/>
      <c r="K213" s="128">
        <f t="shared" si="467"/>
        <v>57000000</v>
      </c>
      <c r="L213" s="128">
        <v>1760508</v>
      </c>
      <c r="M213" s="128">
        <v>170172</v>
      </c>
      <c r="N213" s="128">
        <v>510968</v>
      </c>
      <c r="O213" s="128">
        <v>5800</v>
      </c>
      <c r="P213" s="128">
        <v>43240</v>
      </c>
      <c r="Q213" s="126">
        <v>5772168</v>
      </c>
      <c r="R213" s="128">
        <f t="shared" si="473"/>
        <v>8262856</v>
      </c>
      <c r="S213" s="128">
        <v>490100</v>
      </c>
      <c r="T213" s="128"/>
      <c r="U213" s="128"/>
      <c r="V213" s="128"/>
      <c r="W213" s="128"/>
      <c r="X213" s="128"/>
      <c r="Y213" s="128"/>
      <c r="Z213" s="128"/>
      <c r="AA213" s="128">
        <f t="shared" ref="AA213:AA277" si="479">SUM(S213:Z213)</f>
        <v>490100</v>
      </c>
      <c r="AB213" s="128">
        <f t="shared" si="474"/>
        <v>8752956</v>
      </c>
      <c r="AC213" s="175">
        <f t="shared" si="478"/>
        <v>0.15356063157894737</v>
      </c>
    </row>
    <row r="214" spans="1:29" x14ac:dyDescent="0.2">
      <c r="A214" s="398">
        <v>1</v>
      </c>
      <c r="B214" s="76" t="s">
        <v>650</v>
      </c>
      <c r="C214" s="77" t="s">
        <v>651</v>
      </c>
      <c r="D214" s="330">
        <v>2530000000</v>
      </c>
      <c r="E214" s="188">
        <f>SUM('ADICIONES  2021'!C214:I214)</f>
        <v>0</v>
      </c>
      <c r="F214" s="41"/>
      <c r="G214" s="41"/>
      <c r="H214" s="41"/>
      <c r="I214" s="41"/>
      <c r="J214" s="41"/>
      <c r="K214" s="128">
        <f t="shared" si="467"/>
        <v>2530000000</v>
      </c>
      <c r="L214" s="41">
        <v>449928304</v>
      </c>
      <c r="M214" s="41">
        <v>315330900</v>
      </c>
      <c r="N214" s="41">
        <v>233652203</v>
      </c>
      <c r="O214" s="41">
        <v>160436400</v>
      </c>
      <c r="P214" s="41">
        <v>126662163</v>
      </c>
      <c r="Q214" s="181">
        <v>173016748</v>
      </c>
      <c r="R214" s="128">
        <f t="shared" si="473"/>
        <v>1459026718</v>
      </c>
      <c r="S214" s="41">
        <v>267781456</v>
      </c>
      <c r="T214" s="41"/>
      <c r="U214" s="41"/>
      <c r="V214" s="41"/>
      <c r="W214" s="41"/>
      <c r="X214" s="41"/>
      <c r="Y214" s="41"/>
      <c r="Z214" s="41"/>
      <c r="AA214" s="128">
        <f t="shared" si="479"/>
        <v>267781456</v>
      </c>
      <c r="AB214" s="128">
        <f t="shared" si="474"/>
        <v>1726808174</v>
      </c>
      <c r="AC214" s="175">
        <f t="shared" si="478"/>
        <v>0.68253287509881422</v>
      </c>
    </row>
    <row r="215" spans="1:29" s="63" customFormat="1" ht="15.75" hidden="1" x14ac:dyDescent="0.2">
      <c r="A215" s="399"/>
      <c r="B215" s="81" t="s">
        <v>652</v>
      </c>
      <c r="C215" s="79" t="s">
        <v>653</v>
      </c>
      <c r="D215" s="329">
        <f>+D216</f>
        <v>10000000000</v>
      </c>
      <c r="E215" s="187">
        <f>SUM('ADICIONES  2021'!C215:I215)</f>
        <v>0</v>
      </c>
      <c r="F215" s="223">
        <f t="shared" ref="F215:J215" si="480">+F216</f>
        <v>0</v>
      </c>
      <c r="G215" s="223">
        <f t="shared" si="480"/>
        <v>0</v>
      </c>
      <c r="H215" s="223">
        <f t="shared" si="480"/>
        <v>0</v>
      </c>
      <c r="I215" s="223">
        <f t="shared" si="480"/>
        <v>0</v>
      </c>
      <c r="J215" s="223">
        <f t="shared" si="480"/>
        <v>0</v>
      </c>
      <c r="K215" s="78">
        <f t="shared" si="467"/>
        <v>10000000000</v>
      </c>
      <c r="L215" s="223">
        <f t="shared" ref="L215:Q215" si="481">+L216</f>
        <v>0</v>
      </c>
      <c r="M215" s="223">
        <f t="shared" si="481"/>
        <v>47932431.990000002</v>
      </c>
      <c r="N215" s="223">
        <f t="shared" si="481"/>
        <v>77133104.739999995</v>
      </c>
      <c r="O215" s="223">
        <f t="shared" si="481"/>
        <v>0</v>
      </c>
      <c r="P215" s="223">
        <f t="shared" si="481"/>
        <v>0</v>
      </c>
      <c r="Q215" s="407">
        <f t="shared" si="481"/>
        <v>874307344.50999999</v>
      </c>
      <c r="R215" s="78">
        <f t="shared" si="473"/>
        <v>999372881.24000001</v>
      </c>
      <c r="S215" s="223">
        <f t="shared" ref="S215:Z215" si="482">+S216</f>
        <v>0</v>
      </c>
      <c r="T215" s="223">
        <f t="shared" si="482"/>
        <v>0</v>
      </c>
      <c r="U215" s="223">
        <f t="shared" si="482"/>
        <v>0</v>
      </c>
      <c r="V215" s="223">
        <f t="shared" si="482"/>
        <v>0</v>
      </c>
      <c r="W215" s="223">
        <f t="shared" si="482"/>
        <v>0</v>
      </c>
      <c r="X215" s="223">
        <f t="shared" si="482"/>
        <v>0</v>
      </c>
      <c r="Y215" s="223">
        <f t="shared" si="482"/>
        <v>0</v>
      </c>
      <c r="Z215" s="223">
        <f t="shared" si="482"/>
        <v>0</v>
      </c>
      <c r="AA215" s="78">
        <f t="shared" si="479"/>
        <v>0</v>
      </c>
      <c r="AB215" s="78">
        <f t="shared" si="474"/>
        <v>999372881.24000001</v>
      </c>
      <c r="AC215" s="174">
        <f t="shared" si="478"/>
        <v>9.9937288124000004E-2</v>
      </c>
    </row>
    <row r="216" spans="1:29" s="63" customFormat="1" ht="15.75" hidden="1" x14ac:dyDescent="0.2">
      <c r="A216" s="399"/>
      <c r="B216" s="81" t="s">
        <v>654</v>
      </c>
      <c r="C216" s="79" t="s">
        <v>655</v>
      </c>
      <c r="D216" s="329">
        <f>SUM(D217:D218)</f>
        <v>10000000000</v>
      </c>
      <c r="E216" s="187">
        <f>SUM('ADICIONES  2021'!C216:I216)</f>
        <v>0</v>
      </c>
      <c r="F216" s="223">
        <f t="shared" ref="F216:J216" si="483">SUM(F217:F218)</f>
        <v>0</v>
      </c>
      <c r="G216" s="223">
        <f t="shared" si="483"/>
        <v>0</v>
      </c>
      <c r="H216" s="223">
        <f t="shared" si="483"/>
        <v>0</v>
      </c>
      <c r="I216" s="223">
        <f t="shared" si="483"/>
        <v>0</v>
      </c>
      <c r="J216" s="223">
        <f t="shared" si="483"/>
        <v>0</v>
      </c>
      <c r="K216" s="78">
        <f t="shared" si="467"/>
        <v>10000000000</v>
      </c>
      <c r="L216" s="223">
        <f t="shared" ref="L216:Q216" si="484">SUM(L217:L218)</f>
        <v>0</v>
      </c>
      <c r="M216" s="223">
        <f t="shared" si="484"/>
        <v>47932431.990000002</v>
      </c>
      <c r="N216" s="223">
        <f t="shared" si="484"/>
        <v>77133104.739999995</v>
      </c>
      <c r="O216" s="223">
        <f t="shared" si="484"/>
        <v>0</v>
      </c>
      <c r="P216" s="223">
        <f t="shared" si="484"/>
        <v>0</v>
      </c>
      <c r="Q216" s="407">
        <f t="shared" si="484"/>
        <v>874307344.50999999</v>
      </c>
      <c r="R216" s="78">
        <f t="shared" si="473"/>
        <v>999372881.24000001</v>
      </c>
      <c r="S216" s="223">
        <f t="shared" ref="S216:Z216" si="485">SUM(S217:S218)</f>
        <v>0</v>
      </c>
      <c r="T216" s="223">
        <f t="shared" si="485"/>
        <v>0</v>
      </c>
      <c r="U216" s="223">
        <f t="shared" si="485"/>
        <v>0</v>
      </c>
      <c r="V216" s="223">
        <f t="shared" si="485"/>
        <v>0</v>
      </c>
      <c r="W216" s="223">
        <f t="shared" si="485"/>
        <v>0</v>
      </c>
      <c r="X216" s="223">
        <f t="shared" si="485"/>
        <v>0</v>
      </c>
      <c r="Y216" s="223">
        <f t="shared" si="485"/>
        <v>0</v>
      </c>
      <c r="Z216" s="223">
        <f t="shared" si="485"/>
        <v>0</v>
      </c>
      <c r="AA216" s="78">
        <f t="shared" si="479"/>
        <v>0</v>
      </c>
      <c r="AB216" s="78">
        <f t="shared" si="474"/>
        <v>999372881.24000001</v>
      </c>
      <c r="AC216" s="174">
        <f t="shared" si="478"/>
        <v>9.9937288124000004E-2</v>
      </c>
    </row>
    <row r="217" spans="1:29" x14ac:dyDescent="0.2">
      <c r="A217" s="398">
        <v>1</v>
      </c>
      <c r="B217" s="76" t="s">
        <v>656</v>
      </c>
      <c r="C217" s="77" t="s">
        <v>657</v>
      </c>
      <c r="D217" s="330">
        <v>0</v>
      </c>
      <c r="E217" s="188">
        <f>SUM('ADICIONES  2021'!C217:I217)</f>
        <v>0</v>
      </c>
      <c r="F217" s="41"/>
      <c r="G217" s="41"/>
      <c r="H217" s="41"/>
      <c r="I217" s="41"/>
      <c r="J217" s="41"/>
      <c r="K217" s="128">
        <f t="shared" si="467"/>
        <v>0</v>
      </c>
      <c r="L217" s="41">
        <v>0</v>
      </c>
      <c r="M217" s="41">
        <v>47932431.990000002</v>
      </c>
      <c r="N217" s="41">
        <v>77133104.739999995</v>
      </c>
      <c r="O217" s="41">
        <v>0</v>
      </c>
      <c r="P217" s="41"/>
      <c r="Q217" s="181">
        <v>874307344.50999999</v>
      </c>
      <c r="R217" s="128">
        <f t="shared" si="473"/>
        <v>999372881.24000001</v>
      </c>
      <c r="S217" s="41">
        <v>0</v>
      </c>
      <c r="T217" s="41"/>
      <c r="U217" s="41"/>
      <c r="V217" s="41"/>
      <c r="W217" s="41"/>
      <c r="X217" s="41"/>
      <c r="Y217" s="41"/>
      <c r="Z217" s="41"/>
      <c r="AA217" s="128">
        <f t="shared" si="479"/>
        <v>0</v>
      </c>
      <c r="AB217" s="128">
        <f t="shared" si="474"/>
        <v>999372881.24000001</v>
      </c>
      <c r="AC217" s="175">
        <v>0</v>
      </c>
    </row>
    <row r="218" spans="1:29" ht="28.5" x14ac:dyDescent="0.2">
      <c r="A218" s="398">
        <v>1</v>
      </c>
      <c r="B218" s="76" t="s">
        <v>658</v>
      </c>
      <c r="C218" s="77" t="s">
        <v>659</v>
      </c>
      <c r="D218" s="330">
        <v>10000000000</v>
      </c>
      <c r="E218" s="188">
        <f>SUM('ADICIONES  2021'!C218:I218)</f>
        <v>0</v>
      </c>
      <c r="F218" s="128"/>
      <c r="G218" s="128"/>
      <c r="H218" s="128"/>
      <c r="I218" s="128"/>
      <c r="J218" s="128"/>
      <c r="K218" s="128">
        <f t="shared" si="467"/>
        <v>10000000000</v>
      </c>
      <c r="L218" s="128">
        <v>0</v>
      </c>
      <c r="M218" s="128">
        <v>0</v>
      </c>
      <c r="N218" s="128">
        <v>0</v>
      </c>
      <c r="O218" s="128">
        <v>0</v>
      </c>
      <c r="P218" s="128"/>
      <c r="Q218" s="126">
        <v>0</v>
      </c>
      <c r="R218" s="128">
        <f t="shared" si="473"/>
        <v>0</v>
      </c>
      <c r="S218" s="128">
        <v>0</v>
      </c>
      <c r="T218" s="128"/>
      <c r="U218" s="128"/>
      <c r="V218" s="128"/>
      <c r="W218" s="128"/>
      <c r="X218" s="128"/>
      <c r="Y218" s="128"/>
      <c r="Z218" s="128"/>
      <c r="AA218" s="128">
        <f t="shared" si="479"/>
        <v>0</v>
      </c>
      <c r="AB218" s="128">
        <f t="shared" si="474"/>
        <v>0</v>
      </c>
      <c r="AC218" s="175">
        <f t="shared" si="478"/>
        <v>0</v>
      </c>
    </row>
    <row r="219" spans="1:29" s="63" customFormat="1" ht="35.25" hidden="1" customHeight="1" x14ac:dyDescent="0.2">
      <c r="A219" s="399"/>
      <c r="B219" s="81" t="s">
        <v>660</v>
      </c>
      <c r="C219" s="79" t="s">
        <v>661</v>
      </c>
      <c r="D219" s="329">
        <f>+D220</f>
        <v>10852525000</v>
      </c>
      <c r="E219" s="187">
        <f>SUM('ADICIONES  2021'!C219:I219)</f>
        <v>0</v>
      </c>
      <c r="F219" s="223">
        <f t="shared" ref="F219:J221" si="486">+F220</f>
        <v>0</v>
      </c>
      <c r="G219" s="223">
        <f t="shared" si="486"/>
        <v>0</v>
      </c>
      <c r="H219" s="223">
        <f t="shared" si="486"/>
        <v>0</v>
      </c>
      <c r="I219" s="223">
        <f t="shared" si="486"/>
        <v>0</v>
      </c>
      <c r="J219" s="223">
        <f t="shared" si="486"/>
        <v>0</v>
      </c>
      <c r="K219" s="78">
        <f t="shared" si="467"/>
        <v>10852525000</v>
      </c>
      <c r="L219" s="223">
        <f t="shared" ref="L219:Q221" si="487">+L220</f>
        <v>2049544273.3199999</v>
      </c>
      <c r="M219" s="223">
        <f t="shared" si="487"/>
        <v>284517805.75920004</v>
      </c>
      <c r="N219" s="223">
        <f t="shared" si="487"/>
        <v>1538455203.9090004</v>
      </c>
      <c r="O219" s="223">
        <f t="shared" si="487"/>
        <v>18575260.469999999</v>
      </c>
      <c r="P219" s="223">
        <f t="shared" si="487"/>
        <v>413440660.61999995</v>
      </c>
      <c r="Q219" s="407">
        <f t="shared" si="487"/>
        <v>639021396.77999997</v>
      </c>
      <c r="R219" s="78">
        <f t="shared" si="473"/>
        <v>4943554600.8582001</v>
      </c>
      <c r="S219" s="223">
        <f t="shared" ref="S219:Z221" si="488">+S220</f>
        <v>1695978999.0000002</v>
      </c>
      <c r="T219" s="223">
        <f t="shared" si="488"/>
        <v>0</v>
      </c>
      <c r="U219" s="223">
        <f t="shared" si="488"/>
        <v>0</v>
      </c>
      <c r="V219" s="223">
        <f t="shared" si="488"/>
        <v>0</v>
      </c>
      <c r="W219" s="223">
        <f t="shared" si="488"/>
        <v>0</v>
      </c>
      <c r="X219" s="223">
        <f t="shared" si="488"/>
        <v>0</v>
      </c>
      <c r="Y219" s="223">
        <f t="shared" si="488"/>
        <v>0</v>
      </c>
      <c r="Z219" s="223">
        <f t="shared" si="488"/>
        <v>0</v>
      </c>
      <c r="AA219" s="78">
        <f t="shared" si="479"/>
        <v>1695978999.0000002</v>
      </c>
      <c r="AB219" s="78">
        <f t="shared" si="474"/>
        <v>6639533599.8582001</v>
      </c>
      <c r="AC219" s="174">
        <f t="shared" si="478"/>
        <v>0.6117962040961159</v>
      </c>
    </row>
    <row r="220" spans="1:29" s="63" customFormat="1" ht="47.25" x14ac:dyDescent="0.2">
      <c r="A220" s="399">
        <v>1</v>
      </c>
      <c r="B220" s="81" t="s">
        <v>662</v>
      </c>
      <c r="C220" s="79" t="s">
        <v>663</v>
      </c>
      <c r="D220" s="329">
        <f>+D221</f>
        <v>10852525000</v>
      </c>
      <c r="E220" s="187">
        <f>SUM('ADICIONES  2021'!C220:I220)</f>
        <v>0</v>
      </c>
      <c r="F220" s="223">
        <f t="shared" si="486"/>
        <v>0</v>
      </c>
      <c r="G220" s="223">
        <f t="shared" si="486"/>
        <v>0</v>
      </c>
      <c r="H220" s="223">
        <f t="shared" si="486"/>
        <v>0</v>
      </c>
      <c r="I220" s="223">
        <f t="shared" si="486"/>
        <v>0</v>
      </c>
      <c r="J220" s="223">
        <f t="shared" si="486"/>
        <v>0</v>
      </c>
      <c r="K220" s="78">
        <f t="shared" si="467"/>
        <v>10852525000</v>
      </c>
      <c r="L220" s="223">
        <f t="shared" si="487"/>
        <v>2049544273.3199999</v>
      </c>
      <c r="M220" s="223">
        <f t="shared" si="487"/>
        <v>284517805.75920004</v>
      </c>
      <c r="N220" s="223">
        <f t="shared" si="487"/>
        <v>1538455203.9090004</v>
      </c>
      <c r="O220" s="223">
        <f t="shared" si="487"/>
        <v>18575260.469999999</v>
      </c>
      <c r="P220" s="223">
        <f t="shared" si="487"/>
        <v>413440660.61999995</v>
      </c>
      <c r="Q220" s="223">
        <f t="shared" si="487"/>
        <v>639021396.77999997</v>
      </c>
      <c r="R220" s="78">
        <f t="shared" si="473"/>
        <v>4943554600.8582001</v>
      </c>
      <c r="S220" s="223">
        <f t="shared" si="488"/>
        <v>1695978999.0000002</v>
      </c>
      <c r="T220" s="223">
        <f t="shared" si="488"/>
        <v>0</v>
      </c>
      <c r="U220" s="223">
        <f t="shared" si="488"/>
        <v>0</v>
      </c>
      <c r="V220" s="223">
        <f t="shared" si="488"/>
        <v>0</v>
      </c>
      <c r="W220" s="223">
        <f t="shared" si="488"/>
        <v>0</v>
      </c>
      <c r="X220" s="223">
        <f t="shared" si="488"/>
        <v>0</v>
      </c>
      <c r="Y220" s="223">
        <f t="shared" si="488"/>
        <v>0</v>
      </c>
      <c r="Z220" s="223">
        <f t="shared" si="488"/>
        <v>0</v>
      </c>
      <c r="AA220" s="78">
        <f t="shared" si="479"/>
        <v>1695978999.0000002</v>
      </c>
      <c r="AB220" s="78">
        <f t="shared" si="474"/>
        <v>6639533599.8582001</v>
      </c>
      <c r="AC220" s="174">
        <f t="shared" si="478"/>
        <v>0.6117962040961159</v>
      </c>
    </row>
    <row r="221" spans="1:29" s="63" customFormat="1" ht="47.25" hidden="1" x14ac:dyDescent="0.2">
      <c r="A221" s="399"/>
      <c r="B221" s="81" t="s">
        <v>664</v>
      </c>
      <c r="C221" s="79" t="s">
        <v>665</v>
      </c>
      <c r="D221" s="329">
        <f>+D222</f>
        <v>10852525000</v>
      </c>
      <c r="E221" s="187">
        <f>SUM('ADICIONES  2021'!C221:I221)</f>
        <v>0</v>
      </c>
      <c r="F221" s="223">
        <f t="shared" si="486"/>
        <v>0</v>
      </c>
      <c r="G221" s="223">
        <f t="shared" si="486"/>
        <v>0</v>
      </c>
      <c r="H221" s="223">
        <f t="shared" si="486"/>
        <v>0</v>
      </c>
      <c r="I221" s="223">
        <f t="shared" si="486"/>
        <v>0</v>
      </c>
      <c r="J221" s="223">
        <f t="shared" si="486"/>
        <v>0</v>
      </c>
      <c r="K221" s="78">
        <f t="shared" si="467"/>
        <v>10852525000</v>
      </c>
      <c r="L221" s="223">
        <f t="shared" si="487"/>
        <v>2049544273.3199999</v>
      </c>
      <c r="M221" s="223">
        <f t="shared" si="487"/>
        <v>284517805.75920004</v>
      </c>
      <c r="N221" s="223">
        <f t="shared" si="487"/>
        <v>1538455203.9090004</v>
      </c>
      <c r="O221" s="223">
        <f t="shared" si="487"/>
        <v>18575260.469999999</v>
      </c>
      <c r="P221" s="223">
        <f t="shared" si="487"/>
        <v>413440660.61999995</v>
      </c>
      <c r="Q221" s="407">
        <f t="shared" si="487"/>
        <v>639021396.77999997</v>
      </c>
      <c r="R221" s="78">
        <f t="shared" si="473"/>
        <v>4943554600.8582001</v>
      </c>
      <c r="S221" s="223">
        <f t="shared" si="488"/>
        <v>1695978999.0000002</v>
      </c>
      <c r="T221" s="223">
        <f t="shared" si="488"/>
        <v>0</v>
      </c>
      <c r="U221" s="223">
        <f t="shared" si="488"/>
        <v>0</v>
      </c>
      <c r="V221" s="223">
        <f t="shared" si="488"/>
        <v>0</v>
      </c>
      <c r="W221" s="223">
        <f t="shared" si="488"/>
        <v>0</v>
      </c>
      <c r="X221" s="223">
        <f t="shared" si="488"/>
        <v>0</v>
      </c>
      <c r="Y221" s="223">
        <f t="shared" si="488"/>
        <v>0</v>
      </c>
      <c r="Z221" s="223">
        <f t="shared" si="488"/>
        <v>0</v>
      </c>
      <c r="AA221" s="78">
        <f t="shared" si="479"/>
        <v>1695978999.0000002</v>
      </c>
      <c r="AB221" s="78">
        <f t="shared" si="474"/>
        <v>6639533599.8582001</v>
      </c>
      <c r="AC221" s="174">
        <f t="shared" si="478"/>
        <v>0.6117962040961159</v>
      </c>
    </row>
    <row r="222" spans="1:29" s="63" customFormat="1" ht="31.5" hidden="1" x14ac:dyDescent="0.2">
      <c r="A222" s="399"/>
      <c r="B222" s="81" t="s">
        <v>666</v>
      </c>
      <c r="C222" s="79" t="s">
        <v>667</v>
      </c>
      <c r="D222" s="329">
        <f>+D223+D234</f>
        <v>10852525000</v>
      </c>
      <c r="E222" s="187">
        <f>SUM('ADICIONES  2021'!C222:I222)</f>
        <v>0</v>
      </c>
      <c r="F222" s="223">
        <f t="shared" ref="F222:J222" si="489">+F223+F234</f>
        <v>0</v>
      </c>
      <c r="G222" s="223">
        <f t="shared" si="489"/>
        <v>0</v>
      </c>
      <c r="H222" s="223">
        <f t="shared" si="489"/>
        <v>0</v>
      </c>
      <c r="I222" s="223">
        <f t="shared" si="489"/>
        <v>0</v>
      </c>
      <c r="J222" s="223">
        <f t="shared" si="489"/>
        <v>0</v>
      </c>
      <c r="K222" s="78">
        <f t="shared" si="467"/>
        <v>10852525000</v>
      </c>
      <c r="L222" s="223">
        <f t="shared" ref="L222:Q222" si="490">+L223+L234</f>
        <v>2049544273.3199999</v>
      </c>
      <c r="M222" s="223">
        <f t="shared" si="490"/>
        <v>284517805.75920004</v>
      </c>
      <c r="N222" s="223">
        <f t="shared" si="490"/>
        <v>1538455203.9090004</v>
      </c>
      <c r="O222" s="223">
        <f t="shared" si="490"/>
        <v>18575260.469999999</v>
      </c>
      <c r="P222" s="223">
        <f t="shared" si="490"/>
        <v>413440660.61999995</v>
      </c>
      <c r="Q222" s="407">
        <f t="shared" si="490"/>
        <v>639021396.77999997</v>
      </c>
      <c r="R222" s="78">
        <f t="shared" si="473"/>
        <v>4943554600.8582001</v>
      </c>
      <c r="S222" s="223">
        <f t="shared" ref="S222:Z222" si="491">+S223+S234</f>
        <v>1695978999.0000002</v>
      </c>
      <c r="T222" s="223">
        <f t="shared" si="491"/>
        <v>0</v>
      </c>
      <c r="U222" s="223">
        <f t="shared" si="491"/>
        <v>0</v>
      </c>
      <c r="V222" s="223">
        <f t="shared" si="491"/>
        <v>0</v>
      </c>
      <c r="W222" s="223">
        <f t="shared" si="491"/>
        <v>0</v>
      </c>
      <c r="X222" s="223">
        <f t="shared" si="491"/>
        <v>0</v>
      </c>
      <c r="Y222" s="223">
        <f t="shared" si="491"/>
        <v>0</v>
      </c>
      <c r="Z222" s="223">
        <f t="shared" si="491"/>
        <v>0</v>
      </c>
      <c r="AA222" s="78">
        <f t="shared" si="479"/>
        <v>1695978999.0000002</v>
      </c>
      <c r="AB222" s="78">
        <f t="shared" si="474"/>
        <v>6639533599.8582001</v>
      </c>
      <c r="AC222" s="174">
        <f t="shared" si="478"/>
        <v>0.6117962040961159</v>
      </c>
    </row>
    <row r="223" spans="1:29" s="63" customFormat="1" ht="47.25" hidden="1" x14ac:dyDescent="0.2">
      <c r="A223" s="399"/>
      <c r="B223" s="81" t="s">
        <v>668</v>
      </c>
      <c r="C223" s="79" t="s">
        <v>669</v>
      </c>
      <c r="D223" s="329">
        <f>SUM(D224:D233)</f>
        <v>7804967500</v>
      </c>
      <c r="E223" s="187">
        <f>SUM('ADICIONES  2021'!C223:I223)</f>
        <v>0</v>
      </c>
      <c r="F223" s="78"/>
      <c r="G223" s="78"/>
      <c r="H223" s="78"/>
      <c r="I223" s="78"/>
      <c r="J223" s="78"/>
      <c r="K223" s="78">
        <f t="shared" si="467"/>
        <v>7804967500</v>
      </c>
      <c r="L223" s="223">
        <f t="shared" ref="L223:S223" si="492">SUM(L224:L233)</f>
        <v>2049544273.3199999</v>
      </c>
      <c r="M223" s="223">
        <f t="shared" si="492"/>
        <v>284517805.75920004</v>
      </c>
      <c r="N223" s="223">
        <f t="shared" si="492"/>
        <v>1538455203.9090004</v>
      </c>
      <c r="O223" s="223">
        <f t="shared" si="492"/>
        <v>18575260.469999999</v>
      </c>
      <c r="P223" s="223">
        <f t="shared" si="492"/>
        <v>413440660.61999995</v>
      </c>
      <c r="Q223" s="407">
        <f t="shared" si="492"/>
        <v>639021396.77999997</v>
      </c>
      <c r="R223" s="78">
        <f t="shared" si="473"/>
        <v>4943554600.8582001</v>
      </c>
      <c r="S223" s="223">
        <f t="shared" si="492"/>
        <v>1695978999.0000002</v>
      </c>
      <c r="T223" s="223"/>
      <c r="U223" s="223"/>
      <c r="V223" s="223"/>
      <c r="W223" s="223"/>
      <c r="X223" s="223"/>
      <c r="Y223" s="223"/>
      <c r="Z223" s="223"/>
      <c r="AA223" s="223">
        <f t="shared" si="479"/>
        <v>1695978999.0000002</v>
      </c>
      <c r="AB223" s="78">
        <f t="shared" si="474"/>
        <v>6639533599.8582001</v>
      </c>
      <c r="AC223" s="174">
        <f t="shared" si="478"/>
        <v>0.85068049288587044</v>
      </c>
    </row>
    <row r="224" spans="1:29" ht="42.75" hidden="1" x14ac:dyDescent="0.2">
      <c r="B224" s="76" t="s">
        <v>670</v>
      </c>
      <c r="C224" s="77" t="s">
        <v>279</v>
      </c>
      <c r="D224" s="330"/>
      <c r="E224" s="188">
        <f>SUM('ADICIONES  2021'!C224:I224)</f>
        <v>0</v>
      </c>
      <c r="F224" s="41">
        <f>+F223*0%</f>
        <v>0</v>
      </c>
      <c r="G224" s="41">
        <f t="shared" ref="G224:J224" si="493">+G223*0%</f>
        <v>0</v>
      </c>
      <c r="H224" s="41">
        <f t="shared" si="493"/>
        <v>0</v>
      </c>
      <c r="I224" s="41">
        <f t="shared" si="493"/>
        <v>0</v>
      </c>
      <c r="J224" s="41">
        <f t="shared" si="493"/>
        <v>0</v>
      </c>
      <c r="K224" s="128">
        <f t="shared" si="467"/>
        <v>0</v>
      </c>
      <c r="L224" s="41">
        <f>1211239200*0%</f>
        <v>0</v>
      </c>
      <c r="M224" s="41">
        <f>322089552*0%</f>
        <v>0</v>
      </c>
      <c r="N224" s="41">
        <f>1741614540*0%</f>
        <v>0</v>
      </c>
      <c r="O224" s="41">
        <f>21028200*0%</f>
        <v>0</v>
      </c>
      <c r="P224" s="41">
        <f>468037200*0%</f>
        <v>0</v>
      </c>
      <c r="Q224" s="409">
        <f>723406800*0%</f>
        <v>0</v>
      </c>
      <c r="R224" s="128">
        <f t="shared" si="473"/>
        <v>0</v>
      </c>
      <c r="S224" s="41">
        <f>1919940000*0%</f>
        <v>0</v>
      </c>
      <c r="T224" s="41">
        <f t="shared" ref="T224:Z224" si="494">+T223*0%</f>
        <v>0</v>
      </c>
      <c r="U224" s="41">
        <f t="shared" si="494"/>
        <v>0</v>
      </c>
      <c r="V224" s="41">
        <f t="shared" si="494"/>
        <v>0</v>
      </c>
      <c r="W224" s="41">
        <f t="shared" si="494"/>
        <v>0</v>
      </c>
      <c r="X224" s="41">
        <f t="shared" si="494"/>
        <v>0</v>
      </c>
      <c r="Y224" s="41">
        <f t="shared" si="494"/>
        <v>0</v>
      </c>
      <c r="Z224" s="41">
        <f t="shared" si="494"/>
        <v>0</v>
      </c>
      <c r="AA224" s="128">
        <f t="shared" si="479"/>
        <v>0</v>
      </c>
      <c r="AB224" s="128">
        <f t="shared" si="474"/>
        <v>0</v>
      </c>
      <c r="AC224" s="175" t="e">
        <f t="shared" si="478"/>
        <v>#DIV/0!</v>
      </c>
    </row>
    <row r="225" spans="1:29" ht="42.75" hidden="1" x14ac:dyDescent="0.2">
      <c r="B225" s="76" t="s">
        <v>671</v>
      </c>
      <c r="C225" s="77" t="s">
        <v>280</v>
      </c>
      <c r="D225" s="330">
        <v>0</v>
      </c>
      <c r="E225" s="188">
        <f>SUM('ADICIONES  2021'!C225:I225)</f>
        <v>0</v>
      </c>
      <c r="F225" s="41">
        <f>+F223*0%</f>
        <v>0</v>
      </c>
      <c r="G225" s="41">
        <f t="shared" ref="G225:J225" si="495">+G223*0%</f>
        <v>0</v>
      </c>
      <c r="H225" s="41">
        <f t="shared" si="495"/>
        <v>0</v>
      </c>
      <c r="I225" s="41">
        <f t="shared" si="495"/>
        <v>0</v>
      </c>
      <c r="J225" s="41">
        <f t="shared" si="495"/>
        <v>0</v>
      </c>
      <c r="K225" s="128">
        <f t="shared" si="467"/>
        <v>0</v>
      </c>
      <c r="L225" s="41">
        <f>1211239200*0%</f>
        <v>0</v>
      </c>
      <c r="M225" s="41">
        <f>322089552*0%</f>
        <v>0</v>
      </c>
      <c r="N225" s="41">
        <f>1741614540*0%</f>
        <v>0</v>
      </c>
      <c r="O225" s="41">
        <f>21028200*0%</f>
        <v>0</v>
      </c>
      <c r="P225" s="41">
        <f>468037200*0%</f>
        <v>0</v>
      </c>
      <c r="Q225" s="409">
        <f>723406800*0%</f>
        <v>0</v>
      </c>
      <c r="R225" s="128">
        <f t="shared" si="473"/>
        <v>0</v>
      </c>
      <c r="S225" s="41">
        <f>1919940000*0%</f>
        <v>0</v>
      </c>
      <c r="T225" s="41">
        <f t="shared" ref="T225:Z225" si="496">+T223*0%</f>
        <v>0</v>
      </c>
      <c r="U225" s="41">
        <f t="shared" si="496"/>
        <v>0</v>
      </c>
      <c r="V225" s="41">
        <f t="shared" si="496"/>
        <v>0</v>
      </c>
      <c r="W225" s="41">
        <f t="shared" si="496"/>
        <v>0</v>
      </c>
      <c r="X225" s="41">
        <f t="shared" si="496"/>
        <v>0</v>
      </c>
      <c r="Y225" s="41">
        <f t="shared" si="496"/>
        <v>0</v>
      </c>
      <c r="Z225" s="41">
        <f t="shared" si="496"/>
        <v>0</v>
      </c>
      <c r="AA225" s="128">
        <f t="shared" si="479"/>
        <v>0</v>
      </c>
      <c r="AB225" s="128">
        <f t="shared" si="474"/>
        <v>0</v>
      </c>
      <c r="AC225" s="175" t="e">
        <f t="shared" si="478"/>
        <v>#DIV/0!</v>
      </c>
    </row>
    <row r="226" spans="1:29" ht="42.75" hidden="1" x14ac:dyDescent="0.2">
      <c r="B226" s="76" t="s">
        <v>672</v>
      </c>
      <c r="C226" s="77" t="s">
        <v>673</v>
      </c>
      <c r="D226" s="330">
        <v>939032499.99999976</v>
      </c>
      <c r="E226" s="188">
        <f>SUM('ADICIONES  2021'!C226:I226)</f>
        <v>0</v>
      </c>
      <c r="F226" s="41">
        <f>+F223*11.665%</f>
        <v>0</v>
      </c>
      <c r="G226" s="41">
        <f t="shared" ref="G226:J226" si="497">+G223*11.665%</f>
        <v>0</v>
      </c>
      <c r="H226" s="41">
        <f t="shared" si="497"/>
        <v>0</v>
      </c>
      <c r="I226" s="41">
        <f t="shared" si="497"/>
        <v>0</v>
      </c>
      <c r="J226" s="41">
        <f t="shared" si="497"/>
        <v>0</v>
      </c>
      <c r="K226" s="128">
        <f t="shared" si="467"/>
        <v>939032499.99999976</v>
      </c>
      <c r="L226" s="41">
        <f>1211239200*11.665%</f>
        <v>141291052.67999998</v>
      </c>
      <c r="M226" s="41">
        <f>322089552*11.665%</f>
        <v>37571746.240799993</v>
      </c>
      <c r="N226" s="41">
        <f>1741614540*11.665%</f>
        <v>203159336.09099999</v>
      </c>
      <c r="O226" s="41">
        <f>21028200*11.665%</f>
        <v>2452939.5299999998</v>
      </c>
      <c r="P226" s="41">
        <f>468037200*11.665%</f>
        <v>54596539.379999995</v>
      </c>
      <c r="Q226" s="409">
        <f>723406800*11.665%</f>
        <v>84385403.219999999</v>
      </c>
      <c r="R226" s="128">
        <f t="shared" si="473"/>
        <v>523457017.14179993</v>
      </c>
      <c r="S226" s="41">
        <f>1919940000*11.665%</f>
        <v>223961000.99999997</v>
      </c>
      <c r="T226" s="41">
        <f t="shared" ref="T226:Z226" si="498">+T223*11.665%</f>
        <v>0</v>
      </c>
      <c r="U226" s="41">
        <f t="shared" si="498"/>
        <v>0</v>
      </c>
      <c r="V226" s="41">
        <f t="shared" si="498"/>
        <v>0</v>
      </c>
      <c r="W226" s="41">
        <f t="shared" si="498"/>
        <v>0</v>
      </c>
      <c r="X226" s="41">
        <f t="shared" si="498"/>
        <v>0</v>
      </c>
      <c r="Y226" s="41">
        <f t="shared" si="498"/>
        <v>0</v>
      </c>
      <c r="Z226" s="41">
        <f t="shared" si="498"/>
        <v>0</v>
      </c>
      <c r="AA226" s="128">
        <f t="shared" si="479"/>
        <v>223961000.99999997</v>
      </c>
      <c r="AB226" s="128">
        <f t="shared" si="474"/>
        <v>747418018.14179993</v>
      </c>
      <c r="AC226" s="175">
        <f t="shared" si="478"/>
        <v>0.795944781614907</v>
      </c>
    </row>
    <row r="227" spans="1:29" ht="42.75" hidden="1" x14ac:dyDescent="0.2">
      <c r="B227" s="76" t="s">
        <v>674</v>
      </c>
      <c r="C227" s="77" t="s">
        <v>675</v>
      </c>
      <c r="D227" s="330">
        <v>694000000</v>
      </c>
      <c r="E227" s="188">
        <f>SUM('ADICIONES  2021'!C227:I227)</f>
        <v>0</v>
      </c>
      <c r="F227" s="41">
        <f>+F223*0%</f>
        <v>0</v>
      </c>
      <c r="G227" s="41">
        <f t="shared" ref="G227:J227" si="499">+G223*0%</f>
        <v>0</v>
      </c>
      <c r="H227" s="41">
        <f t="shared" si="499"/>
        <v>0</v>
      </c>
      <c r="I227" s="41">
        <f t="shared" si="499"/>
        <v>0</v>
      </c>
      <c r="J227" s="41">
        <f t="shared" si="499"/>
        <v>0</v>
      </c>
      <c r="K227" s="128">
        <f t="shared" si="467"/>
        <v>694000000</v>
      </c>
      <c r="L227" s="41">
        <v>979596126</v>
      </c>
      <c r="M227" s="41">
        <v>0</v>
      </c>
      <c r="N227" s="41">
        <v>0</v>
      </c>
      <c r="O227" s="41"/>
      <c r="P227" s="41"/>
      <c r="Q227" s="409"/>
      <c r="R227" s="128">
        <f t="shared" si="473"/>
        <v>979596126</v>
      </c>
      <c r="S227" s="41"/>
      <c r="T227" s="41"/>
      <c r="U227" s="41"/>
      <c r="V227" s="41"/>
      <c r="W227" s="41"/>
      <c r="X227" s="41"/>
      <c r="Y227" s="41"/>
      <c r="Z227" s="41"/>
      <c r="AA227" s="128">
        <f t="shared" si="479"/>
        <v>0</v>
      </c>
      <c r="AB227" s="128">
        <f t="shared" si="474"/>
        <v>979596126</v>
      </c>
      <c r="AC227" s="175">
        <v>0</v>
      </c>
    </row>
    <row r="228" spans="1:29" ht="42.75" hidden="1" x14ac:dyDescent="0.2">
      <c r="B228" s="76" t="s">
        <v>676</v>
      </c>
      <c r="C228" s="77" t="s">
        <v>677</v>
      </c>
      <c r="D228" s="330">
        <v>4890066193.0966997</v>
      </c>
      <c r="E228" s="188">
        <f>SUM('ADICIONES  2021'!C228:I228)</f>
        <v>0</v>
      </c>
      <c r="F228" s="41">
        <f>+F223*60.7461638894%</f>
        <v>0</v>
      </c>
      <c r="G228" s="41">
        <f t="shared" ref="G228:J228" si="500">+G223*60.7461638894%</f>
        <v>0</v>
      </c>
      <c r="H228" s="41">
        <f t="shared" si="500"/>
        <v>0</v>
      </c>
      <c r="I228" s="41">
        <f t="shared" si="500"/>
        <v>0</v>
      </c>
      <c r="J228" s="41">
        <f t="shared" si="500"/>
        <v>0</v>
      </c>
      <c r="K228" s="128">
        <f t="shared" si="467"/>
        <v>4890066193.0966997</v>
      </c>
      <c r="L228" s="41">
        <f>1211239200*60.7461638894%</f>
        <v>735781349.52465749</v>
      </c>
      <c r="M228" s="41">
        <f>322089552*60.7461638894%</f>
        <v>195657047.12855425</v>
      </c>
      <c r="N228" s="41">
        <f>1741614540*60.7461638894%</f>
        <v>1057964022.79002</v>
      </c>
      <c r="O228" s="41">
        <f>21028200*60.7461638894%</f>
        <v>12773824.834990812</v>
      </c>
      <c r="P228" s="41">
        <f>468037200*60.7461638894%</f>
        <v>284314644.57535887</v>
      </c>
      <c r="Q228" s="409">
        <f>723406800*60.7461638894%</f>
        <v>439441880.31506413</v>
      </c>
      <c r="R228" s="128">
        <f t="shared" si="473"/>
        <v>2725932769.1686454</v>
      </c>
      <c r="S228" s="41">
        <f>1919940000*60.7461638894%</f>
        <v>1166289898.9781466</v>
      </c>
      <c r="T228" s="41">
        <f t="shared" ref="T228:Z228" si="501">+T223*60.7461638894%</f>
        <v>0</v>
      </c>
      <c r="U228" s="41">
        <f t="shared" si="501"/>
        <v>0</v>
      </c>
      <c r="V228" s="41">
        <f t="shared" si="501"/>
        <v>0</v>
      </c>
      <c r="W228" s="41">
        <f t="shared" si="501"/>
        <v>0</v>
      </c>
      <c r="X228" s="41">
        <f t="shared" si="501"/>
        <v>0</v>
      </c>
      <c r="Y228" s="41">
        <f t="shared" si="501"/>
        <v>0</v>
      </c>
      <c r="Z228" s="41">
        <f t="shared" si="501"/>
        <v>0</v>
      </c>
      <c r="AA228" s="128">
        <f t="shared" si="479"/>
        <v>1166289898.9781466</v>
      </c>
      <c r="AB228" s="128">
        <f t="shared" si="474"/>
        <v>3892222668.1467919</v>
      </c>
      <c r="AC228" s="175">
        <v>0</v>
      </c>
    </row>
    <row r="229" spans="1:29" ht="28.5" hidden="1" x14ac:dyDescent="0.2">
      <c r="B229" s="76" t="s">
        <v>678</v>
      </c>
      <c r="C229" s="77" t="s">
        <v>679</v>
      </c>
      <c r="D229" s="330">
        <v>6171935</v>
      </c>
      <c r="E229" s="188">
        <f>SUM('ADICIONES  2021'!C229:I229)</f>
        <v>0</v>
      </c>
      <c r="F229" s="41">
        <f>+F223*0.07667%</f>
        <v>0</v>
      </c>
      <c r="G229" s="41">
        <f t="shared" ref="G229:J229" si="502">+G223*0.07667%</f>
        <v>0</v>
      </c>
      <c r="H229" s="41">
        <f t="shared" si="502"/>
        <v>0</v>
      </c>
      <c r="I229" s="41">
        <f t="shared" si="502"/>
        <v>0</v>
      </c>
      <c r="J229" s="41">
        <f t="shared" si="502"/>
        <v>0</v>
      </c>
      <c r="K229" s="128">
        <f t="shared" si="467"/>
        <v>6171935</v>
      </c>
      <c r="L229" s="41">
        <f>1211239200*0.07667%</f>
        <v>928657.09464000002</v>
      </c>
      <c r="M229" s="41">
        <f>322089552*0.07667%</f>
        <v>246946.05951840003</v>
      </c>
      <c r="N229" s="41">
        <f>1741614540*0.07667%</f>
        <v>1335295.867818</v>
      </c>
      <c r="O229" s="41">
        <f>21028200*0.07667%</f>
        <v>16122.320940000001</v>
      </c>
      <c r="P229" s="41">
        <f>468037200*0.07667%</f>
        <v>358844.12124000001</v>
      </c>
      <c r="Q229" s="409">
        <f>723406800*0.07667%</f>
        <v>554635.99355999997</v>
      </c>
      <c r="R229" s="128">
        <f t="shared" si="473"/>
        <v>3440501.4577164003</v>
      </c>
      <c r="S229" s="41">
        <f>1919940000*0.07667%</f>
        <v>1472017.9980000001</v>
      </c>
      <c r="T229" s="41">
        <f t="shared" ref="T229:Z229" si="503">+T223*0.07667%</f>
        <v>0</v>
      </c>
      <c r="U229" s="41">
        <f t="shared" si="503"/>
        <v>0</v>
      </c>
      <c r="V229" s="41">
        <f t="shared" si="503"/>
        <v>0</v>
      </c>
      <c r="W229" s="41">
        <f t="shared" si="503"/>
        <v>0</v>
      </c>
      <c r="X229" s="41">
        <f t="shared" si="503"/>
        <v>0</v>
      </c>
      <c r="Y229" s="41">
        <f t="shared" si="503"/>
        <v>0</v>
      </c>
      <c r="Z229" s="41">
        <f t="shared" si="503"/>
        <v>0</v>
      </c>
      <c r="AA229" s="128">
        <f t="shared" si="479"/>
        <v>1472017.9980000001</v>
      </c>
      <c r="AB229" s="128">
        <f t="shared" si="474"/>
        <v>4912519.4557164004</v>
      </c>
      <c r="AC229" s="175">
        <f t="shared" si="478"/>
        <v>0.79594478161490689</v>
      </c>
    </row>
    <row r="230" spans="1:29" ht="14.25" hidden="1" x14ac:dyDescent="0.2">
      <c r="B230" s="76" t="s">
        <v>680</v>
      </c>
      <c r="C230" s="77" t="s">
        <v>282</v>
      </c>
      <c r="D230" s="330">
        <v>616576306.5</v>
      </c>
      <c r="E230" s="188">
        <f>SUM('ADICIONES  2021'!C230:I230)</f>
        <v>0</v>
      </c>
      <c r="F230" s="41">
        <f>+F223*7.659333%</f>
        <v>0</v>
      </c>
      <c r="G230" s="41">
        <f t="shared" ref="G230:J230" si="504">+G223*7.659333%</f>
        <v>0</v>
      </c>
      <c r="H230" s="41">
        <f t="shared" si="504"/>
        <v>0</v>
      </c>
      <c r="I230" s="41">
        <f t="shared" si="504"/>
        <v>0</v>
      </c>
      <c r="J230" s="41">
        <f t="shared" si="504"/>
        <v>0</v>
      </c>
      <c r="K230" s="128">
        <f t="shared" si="467"/>
        <v>616576306.5</v>
      </c>
      <c r="L230" s="41">
        <f>1211239200*7.659333%</f>
        <v>92772843.754536003</v>
      </c>
      <c r="M230" s="41">
        <f>322089552*7.659333%</f>
        <v>24669911.34588816</v>
      </c>
      <c r="N230" s="41">
        <f>1741614540*7.659333%</f>
        <v>133396057.1950182</v>
      </c>
      <c r="O230" s="41">
        <f>21028200*7.659333%</f>
        <v>1610619.8619059999</v>
      </c>
      <c r="P230" s="41">
        <f>468037200*7.659333%</f>
        <v>35848527.711875997</v>
      </c>
      <c r="Q230" s="409">
        <f>723406800*7.659333%</f>
        <v>55408135.756644003</v>
      </c>
      <c r="R230" s="128">
        <f t="shared" si="473"/>
        <v>343706095.62586838</v>
      </c>
      <c r="S230" s="41">
        <f>1919940000*7.659333%</f>
        <v>147054598.0002</v>
      </c>
      <c r="T230" s="41">
        <f t="shared" ref="T230:Z230" si="505">+T223*7.659333%</f>
        <v>0</v>
      </c>
      <c r="U230" s="41">
        <f t="shared" si="505"/>
        <v>0</v>
      </c>
      <c r="V230" s="41">
        <f t="shared" si="505"/>
        <v>0</v>
      </c>
      <c r="W230" s="41">
        <f t="shared" si="505"/>
        <v>0</v>
      </c>
      <c r="X230" s="41">
        <f t="shared" si="505"/>
        <v>0</v>
      </c>
      <c r="Y230" s="41">
        <f t="shared" si="505"/>
        <v>0</v>
      </c>
      <c r="Z230" s="41">
        <f t="shared" si="505"/>
        <v>0</v>
      </c>
      <c r="AA230" s="128">
        <f t="shared" si="479"/>
        <v>147054598.0002</v>
      </c>
      <c r="AB230" s="128">
        <f t="shared" si="474"/>
        <v>490760693.62606835</v>
      </c>
      <c r="AC230" s="175">
        <f t="shared" si="478"/>
        <v>0.79594478161490678</v>
      </c>
    </row>
    <row r="231" spans="1:29" ht="28.5" hidden="1" x14ac:dyDescent="0.2">
      <c r="B231" s="76" t="s">
        <v>681</v>
      </c>
      <c r="C231" s="77" t="s">
        <v>283</v>
      </c>
      <c r="D231" s="330">
        <v>110983735.17</v>
      </c>
      <c r="E231" s="188">
        <f>SUM('ADICIONES  2021'!C231:I231)</f>
        <v>0</v>
      </c>
      <c r="F231" s="41">
        <f>+F223*1.37867994%</f>
        <v>0</v>
      </c>
      <c r="G231" s="41">
        <f t="shared" ref="G231:J231" si="506">+G223*1.37867994%</f>
        <v>0</v>
      </c>
      <c r="H231" s="41">
        <f t="shared" si="506"/>
        <v>0</v>
      </c>
      <c r="I231" s="41">
        <f t="shared" si="506"/>
        <v>0</v>
      </c>
      <c r="J231" s="41">
        <f t="shared" si="506"/>
        <v>0</v>
      </c>
      <c r="K231" s="128">
        <f t="shared" si="467"/>
        <v>110983735.17</v>
      </c>
      <c r="L231" s="41">
        <f>1211239200*1.37867994%</f>
        <v>16699111.875816481</v>
      </c>
      <c r="M231" s="41">
        <f>322089552*1.37867994%</f>
        <v>4440584.0422598692</v>
      </c>
      <c r="N231" s="41">
        <f>1741614540*1.37867994%</f>
        <v>24011290.295103278</v>
      </c>
      <c r="O231" s="41">
        <f>21028200*1.37867994%</f>
        <v>289911.57514308003</v>
      </c>
      <c r="P231" s="41">
        <f>468037200*1.37867994%</f>
        <v>6452734.9881376801</v>
      </c>
      <c r="Q231" s="409">
        <f>723406800*1.37867994%</f>
        <v>9973464.4361959212</v>
      </c>
      <c r="R231" s="128">
        <f t="shared" si="473"/>
        <v>61867097.212656304</v>
      </c>
      <c r="S231" s="41">
        <f>1919940000*1.37867994%</f>
        <v>26469827.640036002</v>
      </c>
      <c r="T231" s="41">
        <f t="shared" ref="T231:Z231" si="507">+T223*1.37867994%</f>
        <v>0</v>
      </c>
      <c r="U231" s="41">
        <f t="shared" si="507"/>
        <v>0</v>
      </c>
      <c r="V231" s="41">
        <f t="shared" si="507"/>
        <v>0</v>
      </c>
      <c r="W231" s="41">
        <f t="shared" si="507"/>
        <v>0</v>
      </c>
      <c r="X231" s="41">
        <f t="shared" si="507"/>
        <v>0</v>
      </c>
      <c r="Y231" s="41">
        <f t="shared" si="507"/>
        <v>0</v>
      </c>
      <c r="Z231" s="41">
        <f t="shared" si="507"/>
        <v>0</v>
      </c>
      <c r="AA231" s="128">
        <f t="shared" si="479"/>
        <v>26469827.640036002</v>
      </c>
      <c r="AB231" s="128">
        <f t="shared" si="474"/>
        <v>88336924.852692306</v>
      </c>
      <c r="AC231" s="175">
        <f t="shared" si="478"/>
        <v>0.79594478161490678</v>
      </c>
    </row>
    <row r="232" spans="1:29" ht="42.75" hidden="1" x14ac:dyDescent="0.2">
      <c r="B232" s="76" t="s">
        <v>682</v>
      </c>
      <c r="C232" s="77" t="s">
        <v>683</v>
      </c>
      <c r="D232" s="330">
        <v>54382030.2333</v>
      </c>
      <c r="E232" s="188">
        <f>SUM('ADICIONES  2021'!C232:I232)</f>
        <v>0</v>
      </c>
      <c r="F232" s="41">
        <f>+F223*0.6755531706%</f>
        <v>0</v>
      </c>
      <c r="G232" s="41">
        <f t="shared" ref="G232:J232" si="508">+G223*0.6755531706%</f>
        <v>0</v>
      </c>
      <c r="H232" s="41">
        <f t="shared" si="508"/>
        <v>0</v>
      </c>
      <c r="I232" s="41">
        <f t="shared" si="508"/>
        <v>0</v>
      </c>
      <c r="J232" s="41">
        <f t="shared" si="508"/>
        <v>0</v>
      </c>
      <c r="K232" s="128">
        <f t="shared" si="467"/>
        <v>54382030.2333</v>
      </c>
      <c r="L232" s="41">
        <f>1211239200*0.6755531706%</f>
        <v>8182564.8191500753</v>
      </c>
      <c r="M232" s="41">
        <f>322089552*0.6755531706%</f>
        <v>2175886.1807073359</v>
      </c>
      <c r="N232" s="41">
        <f>1741614540*0.6755531706%</f>
        <v>11765532.244600605</v>
      </c>
      <c r="O232" s="41">
        <f>21028200*0.6755531706%</f>
        <v>142056.67182010922</v>
      </c>
      <c r="P232" s="41">
        <f>468037200*0.6755531706%</f>
        <v>3161840.1441874634</v>
      </c>
      <c r="Q232" s="409">
        <f>723406800*0.6755531706%</f>
        <v>4886997.5737360008</v>
      </c>
      <c r="R232" s="128">
        <f t="shared" si="473"/>
        <v>30314877.63420159</v>
      </c>
      <c r="S232" s="41">
        <f>1919940000*0.6755531706%</f>
        <v>12970215.54361764</v>
      </c>
      <c r="T232" s="41">
        <f t="shared" ref="T232:Z232" si="509">+T223*0.6755531706%</f>
        <v>0</v>
      </c>
      <c r="U232" s="41">
        <f t="shared" si="509"/>
        <v>0</v>
      </c>
      <c r="V232" s="41">
        <f t="shared" si="509"/>
        <v>0</v>
      </c>
      <c r="W232" s="41">
        <f t="shared" si="509"/>
        <v>0</v>
      </c>
      <c r="X232" s="41">
        <f t="shared" si="509"/>
        <v>0</v>
      </c>
      <c r="Y232" s="41">
        <f t="shared" si="509"/>
        <v>0</v>
      </c>
      <c r="Z232" s="41">
        <f t="shared" si="509"/>
        <v>0</v>
      </c>
      <c r="AA232" s="128">
        <f t="shared" si="479"/>
        <v>12970215.54361764</v>
      </c>
      <c r="AB232" s="128">
        <f t="shared" si="474"/>
        <v>43285093.17781923</v>
      </c>
      <c r="AC232" s="175">
        <f t="shared" si="478"/>
        <v>0.79594478161490678</v>
      </c>
    </row>
    <row r="233" spans="1:29" ht="28.5" hidden="1" x14ac:dyDescent="0.2">
      <c r="B233" s="76" t="s">
        <v>684</v>
      </c>
      <c r="C233" s="77" t="s">
        <v>685</v>
      </c>
      <c r="D233" s="330">
        <v>493754800</v>
      </c>
      <c r="E233" s="188">
        <f>SUM('ADICIONES  2021'!C233:I233)</f>
        <v>0</v>
      </c>
      <c r="F233" s="41">
        <f>+F223*6.1336%</f>
        <v>0</v>
      </c>
      <c r="G233" s="41">
        <f t="shared" ref="G233:J233" si="510">+G223*6.1336%</f>
        <v>0</v>
      </c>
      <c r="H233" s="41">
        <f t="shared" si="510"/>
        <v>0</v>
      </c>
      <c r="I233" s="41">
        <f t="shared" si="510"/>
        <v>0</v>
      </c>
      <c r="J233" s="41">
        <f t="shared" si="510"/>
        <v>0</v>
      </c>
      <c r="K233" s="128">
        <f t="shared" si="467"/>
        <v>493754800</v>
      </c>
      <c r="L233" s="41">
        <f>1211239200*6.1336%</f>
        <v>74292567.571199998</v>
      </c>
      <c r="M233" s="41">
        <f>322089552*6.1336%</f>
        <v>19755684.761472002</v>
      </c>
      <c r="N233" s="41">
        <f>1741614540*6.1336%</f>
        <v>106823669.42544</v>
      </c>
      <c r="O233" s="41">
        <f>21028200*6.1336%</f>
        <v>1289785.6751999999</v>
      </c>
      <c r="P233" s="41">
        <f>468037200*6.1336%</f>
        <v>28707529.699200001</v>
      </c>
      <c r="Q233" s="409">
        <f>723406800*6.1336%</f>
        <v>44370879.484800003</v>
      </c>
      <c r="R233" s="128">
        <f t="shared" si="473"/>
        <v>275240116.61731201</v>
      </c>
      <c r="S233" s="41">
        <f>1919940000*6.1336%</f>
        <v>117761439.84</v>
      </c>
      <c r="T233" s="41">
        <f t="shared" ref="T233:Z233" si="511">+T223*6.1336%</f>
        <v>0</v>
      </c>
      <c r="U233" s="41">
        <f t="shared" si="511"/>
        <v>0</v>
      </c>
      <c r="V233" s="41">
        <f t="shared" si="511"/>
        <v>0</v>
      </c>
      <c r="W233" s="41">
        <f t="shared" si="511"/>
        <v>0</v>
      </c>
      <c r="X233" s="41">
        <f t="shared" si="511"/>
        <v>0</v>
      </c>
      <c r="Y233" s="41">
        <f t="shared" si="511"/>
        <v>0</v>
      </c>
      <c r="Z233" s="41">
        <f t="shared" si="511"/>
        <v>0</v>
      </c>
      <c r="AA233" s="128">
        <f t="shared" si="479"/>
        <v>117761439.84</v>
      </c>
      <c r="AB233" s="128">
        <f t="shared" si="474"/>
        <v>393001556.45731199</v>
      </c>
      <c r="AC233" s="175">
        <f t="shared" si="478"/>
        <v>0.79594478161490678</v>
      </c>
    </row>
    <row r="234" spans="1:29" s="63" customFormat="1" ht="47.25" hidden="1" x14ac:dyDescent="0.2">
      <c r="A234" s="399"/>
      <c r="B234" s="81" t="s">
        <v>686</v>
      </c>
      <c r="C234" s="79" t="s">
        <v>687</v>
      </c>
      <c r="D234" s="329">
        <f>SUM(D235:D244)</f>
        <v>3047557500</v>
      </c>
      <c r="E234" s="187">
        <f>SUM('ADICIONES  2021'!C234:I234)</f>
        <v>0</v>
      </c>
      <c r="F234" s="223"/>
      <c r="G234" s="223"/>
      <c r="H234" s="223"/>
      <c r="I234" s="223"/>
      <c r="J234" s="223"/>
      <c r="K234" s="78">
        <f t="shared" si="467"/>
        <v>3047557500</v>
      </c>
      <c r="L234" s="223">
        <v>0</v>
      </c>
      <c r="M234" s="223">
        <v>0</v>
      </c>
      <c r="N234" s="223">
        <v>0</v>
      </c>
      <c r="O234" s="223">
        <v>0</v>
      </c>
      <c r="P234" s="223">
        <v>0</v>
      </c>
      <c r="Q234" s="407"/>
      <c r="R234" s="78">
        <f t="shared" si="473"/>
        <v>0</v>
      </c>
      <c r="S234" s="223"/>
      <c r="T234" s="223"/>
      <c r="U234" s="223"/>
      <c r="V234" s="223"/>
      <c r="W234" s="223"/>
      <c r="X234" s="223"/>
      <c r="Y234" s="223"/>
      <c r="Z234" s="223"/>
      <c r="AA234" s="78">
        <f t="shared" si="479"/>
        <v>0</v>
      </c>
      <c r="AB234" s="78">
        <f t="shared" si="474"/>
        <v>0</v>
      </c>
      <c r="AC234" s="174">
        <f t="shared" si="478"/>
        <v>0</v>
      </c>
    </row>
    <row r="235" spans="1:29" ht="42.75" hidden="1" x14ac:dyDescent="0.2">
      <c r="B235" s="76" t="s">
        <v>688</v>
      </c>
      <c r="C235" s="77" t="s">
        <v>279</v>
      </c>
      <c r="D235" s="330"/>
      <c r="E235" s="188">
        <f>SUM('ADICIONES  2021'!C235:I235)</f>
        <v>0</v>
      </c>
      <c r="F235" s="41">
        <f>+F234*0%</f>
        <v>0</v>
      </c>
      <c r="G235" s="41">
        <f t="shared" ref="G235:J235" si="512">+G234*0%</f>
        <v>0</v>
      </c>
      <c r="H235" s="41">
        <f t="shared" si="512"/>
        <v>0</v>
      </c>
      <c r="I235" s="41">
        <f t="shared" si="512"/>
        <v>0</v>
      </c>
      <c r="J235" s="41">
        <f t="shared" si="512"/>
        <v>0</v>
      </c>
      <c r="K235" s="128">
        <f t="shared" si="467"/>
        <v>0</v>
      </c>
      <c r="L235" s="41">
        <f t="shared" ref="L235:Q235" si="513">+L234*0%</f>
        <v>0</v>
      </c>
      <c r="M235" s="41">
        <f t="shared" si="513"/>
        <v>0</v>
      </c>
      <c r="N235" s="41">
        <f t="shared" si="513"/>
        <v>0</v>
      </c>
      <c r="O235" s="41">
        <f t="shared" si="513"/>
        <v>0</v>
      </c>
      <c r="P235" s="41">
        <f t="shared" si="513"/>
        <v>0</v>
      </c>
      <c r="Q235" s="409">
        <f t="shared" si="513"/>
        <v>0</v>
      </c>
      <c r="R235" s="128">
        <f t="shared" si="473"/>
        <v>0</v>
      </c>
      <c r="S235" s="41">
        <f t="shared" ref="S235:Z235" si="514">+S234*0%</f>
        <v>0</v>
      </c>
      <c r="T235" s="41">
        <f t="shared" si="514"/>
        <v>0</v>
      </c>
      <c r="U235" s="41">
        <f t="shared" si="514"/>
        <v>0</v>
      </c>
      <c r="V235" s="41">
        <f t="shared" si="514"/>
        <v>0</v>
      </c>
      <c r="W235" s="41">
        <f t="shared" si="514"/>
        <v>0</v>
      </c>
      <c r="X235" s="41">
        <f t="shared" si="514"/>
        <v>0</v>
      </c>
      <c r="Y235" s="41">
        <f t="shared" si="514"/>
        <v>0</v>
      </c>
      <c r="Z235" s="41">
        <f t="shared" si="514"/>
        <v>0</v>
      </c>
      <c r="AA235" s="128">
        <f t="shared" si="479"/>
        <v>0</v>
      </c>
      <c r="AB235" s="128">
        <f t="shared" si="474"/>
        <v>0</v>
      </c>
      <c r="AC235" s="175" t="e">
        <f t="shared" si="478"/>
        <v>#DIV/0!</v>
      </c>
    </row>
    <row r="236" spans="1:29" ht="42.75" hidden="1" x14ac:dyDescent="0.2">
      <c r="B236" s="76" t="s">
        <v>689</v>
      </c>
      <c r="C236" s="77" t="s">
        <v>280</v>
      </c>
      <c r="D236" s="330">
        <v>0</v>
      </c>
      <c r="E236" s="188">
        <f>SUM('ADICIONES  2021'!C236:I236)</f>
        <v>0</v>
      </c>
      <c r="F236" s="41">
        <f>+F234*0%</f>
        <v>0</v>
      </c>
      <c r="G236" s="41">
        <f t="shared" ref="G236:J236" si="515">+G234*0%</f>
        <v>0</v>
      </c>
      <c r="H236" s="41">
        <f t="shared" si="515"/>
        <v>0</v>
      </c>
      <c r="I236" s="41">
        <f t="shared" si="515"/>
        <v>0</v>
      </c>
      <c r="J236" s="41">
        <f t="shared" si="515"/>
        <v>0</v>
      </c>
      <c r="K236" s="128">
        <f t="shared" si="467"/>
        <v>0</v>
      </c>
      <c r="L236" s="41">
        <f t="shared" ref="L236:Q236" si="516">+L234*0%</f>
        <v>0</v>
      </c>
      <c r="M236" s="41">
        <f t="shared" si="516"/>
        <v>0</v>
      </c>
      <c r="N236" s="41">
        <f t="shared" si="516"/>
        <v>0</v>
      </c>
      <c r="O236" s="41">
        <f t="shared" si="516"/>
        <v>0</v>
      </c>
      <c r="P236" s="41">
        <f t="shared" si="516"/>
        <v>0</v>
      </c>
      <c r="Q236" s="409">
        <f t="shared" si="516"/>
        <v>0</v>
      </c>
      <c r="R236" s="128">
        <f t="shared" si="473"/>
        <v>0</v>
      </c>
      <c r="S236" s="41">
        <f t="shared" ref="S236:Z236" si="517">+S234*0%</f>
        <v>0</v>
      </c>
      <c r="T236" s="41">
        <f t="shared" si="517"/>
        <v>0</v>
      </c>
      <c r="U236" s="41">
        <f t="shared" si="517"/>
        <v>0</v>
      </c>
      <c r="V236" s="41">
        <f t="shared" si="517"/>
        <v>0</v>
      </c>
      <c r="W236" s="41">
        <f t="shared" si="517"/>
        <v>0</v>
      </c>
      <c r="X236" s="41">
        <f t="shared" si="517"/>
        <v>0</v>
      </c>
      <c r="Y236" s="41">
        <f t="shared" si="517"/>
        <v>0</v>
      </c>
      <c r="Z236" s="41">
        <f t="shared" si="517"/>
        <v>0</v>
      </c>
      <c r="AA236" s="128">
        <f t="shared" si="479"/>
        <v>0</v>
      </c>
      <c r="AB236" s="128">
        <f t="shared" si="474"/>
        <v>0</v>
      </c>
      <c r="AC236" s="175" t="e">
        <f t="shared" si="478"/>
        <v>#DIV/0!</v>
      </c>
    </row>
    <row r="237" spans="1:29" ht="42.75" hidden="1" x14ac:dyDescent="0.2">
      <c r="B237" s="76" t="s">
        <v>690</v>
      </c>
      <c r="C237" s="77" t="s">
        <v>673</v>
      </c>
      <c r="D237" s="330">
        <v>402442499.99999994</v>
      </c>
      <c r="E237" s="188">
        <f>SUM('ADICIONES  2021'!C237:I237)</f>
        <v>0</v>
      </c>
      <c r="F237" s="41">
        <f>+F234*11.665%</f>
        <v>0</v>
      </c>
      <c r="G237" s="41">
        <f t="shared" ref="G237:J237" si="518">+G234*11.665%</f>
        <v>0</v>
      </c>
      <c r="H237" s="41">
        <f t="shared" si="518"/>
        <v>0</v>
      </c>
      <c r="I237" s="41">
        <f t="shared" si="518"/>
        <v>0</v>
      </c>
      <c r="J237" s="41">
        <f t="shared" si="518"/>
        <v>0</v>
      </c>
      <c r="K237" s="128">
        <f t="shared" si="467"/>
        <v>402442499.99999994</v>
      </c>
      <c r="L237" s="41">
        <f t="shared" ref="L237:Q237" si="519">+L234*11.665%</f>
        <v>0</v>
      </c>
      <c r="M237" s="41">
        <f t="shared" si="519"/>
        <v>0</v>
      </c>
      <c r="N237" s="41">
        <f t="shared" si="519"/>
        <v>0</v>
      </c>
      <c r="O237" s="41">
        <f t="shared" si="519"/>
        <v>0</v>
      </c>
      <c r="P237" s="41">
        <f t="shared" si="519"/>
        <v>0</v>
      </c>
      <c r="Q237" s="409">
        <f t="shared" si="519"/>
        <v>0</v>
      </c>
      <c r="R237" s="128">
        <f t="shared" si="473"/>
        <v>0</v>
      </c>
      <c r="S237" s="41">
        <f t="shared" ref="S237:Z237" si="520">+S234*11.665%</f>
        <v>0</v>
      </c>
      <c r="T237" s="41">
        <f t="shared" si="520"/>
        <v>0</v>
      </c>
      <c r="U237" s="41">
        <f t="shared" si="520"/>
        <v>0</v>
      </c>
      <c r="V237" s="41">
        <f t="shared" si="520"/>
        <v>0</v>
      </c>
      <c r="W237" s="41">
        <f t="shared" si="520"/>
        <v>0</v>
      </c>
      <c r="X237" s="41">
        <f t="shared" si="520"/>
        <v>0</v>
      </c>
      <c r="Y237" s="41">
        <f t="shared" si="520"/>
        <v>0</v>
      </c>
      <c r="Z237" s="41">
        <f t="shared" si="520"/>
        <v>0</v>
      </c>
      <c r="AA237" s="128">
        <f t="shared" si="479"/>
        <v>0</v>
      </c>
      <c r="AB237" s="128">
        <f t="shared" si="474"/>
        <v>0</v>
      </c>
      <c r="AC237" s="175">
        <f t="shared" si="478"/>
        <v>0</v>
      </c>
    </row>
    <row r="238" spans="1:29" ht="42.75" hidden="1" x14ac:dyDescent="0.2">
      <c r="B238" s="76" t="s">
        <v>691</v>
      </c>
      <c r="C238" s="77" t="s">
        <v>675</v>
      </c>
      <c r="D238" s="330">
        <v>0</v>
      </c>
      <c r="E238" s="188">
        <f>SUM('ADICIONES  2021'!C238:I238)</f>
        <v>0</v>
      </c>
      <c r="F238" s="41">
        <f>+F234*0%</f>
        <v>0</v>
      </c>
      <c r="G238" s="41">
        <f t="shared" ref="G238:J238" si="521">+G234*0%</f>
        <v>0</v>
      </c>
      <c r="H238" s="41">
        <f t="shared" si="521"/>
        <v>0</v>
      </c>
      <c r="I238" s="41">
        <f t="shared" si="521"/>
        <v>0</v>
      </c>
      <c r="J238" s="41">
        <f t="shared" si="521"/>
        <v>0</v>
      </c>
      <c r="K238" s="128">
        <f t="shared" si="467"/>
        <v>0</v>
      </c>
      <c r="L238" s="41">
        <f t="shared" ref="L238:Q238" si="522">+L234*0%</f>
        <v>0</v>
      </c>
      <c r="M238" s="41">
        <f t="shared" si="522"/>
        <v>0</v>
      </c>
      <c r="N238" s="41">
        <f t="shared" si="522"/>
        <v>0</v>
      </c>
      <c r="O238" s="41">
        <f t="shared" si="522"/>
        <v>0</v>
      </c>
      <c r="P238" s="41">
        <f t="shared" si="522"/>
        <v>0</v>
      </c>
      <c r="Q238" s="409">
        <f t="shared" si="522"/>
        <v>0</v>
      </c>
      <c r="R238" s="128">
        <f t="shared" si="473"/>
        <v>0</v>
      </c>
      <c r="S238" s="41">
        <f t="shared" ref="S238:Z238" si="523">+S234*0%</f>
        <v>0</v>
      </c>
      <c r="T238" s="41">
        <f t="shared" si="523"/>
        <v>0</v>
      </c>
      <c r="U238" s="41">
        <f t="shared" si="523"/>
        <v>0</v>
      </c>
      <c r="V238" s="41">
        <f t="shared" si="523"/>
        <v>0</v>
      </c>
      <c r="W238" s="41">
        <f t="shared" si="523"/>
        <v>0</v>
      </c>
      <c r="X238" s="41">
        <f t="shared" si="523"/>
        <v>0</v>
      </c>
      <c r="Y238" s="41">
        <f t="shared" si="523"/>
        <v>0</v>
      </c>
      <c r="Z238" s="41">
        <f t="shared" si="523"/>
        <v>0</v>
      </c>
      <c r="AA238" s="128">
        <f t="shared" si="479"/>
        <v>0</v>
      </c>
      <c r="AB238" s="128">
        <f t="shared" si="474"/>
        <v>0</v>
      </c>
      <c r="AC238" s="175" t="e">
        <f t="shared" si="478"/>
        <v>#DIV/0!</v>
      </c>
    </row>
    <row r="239" spans="1:29" ht="28.5" hidden="1" x14ac:dyDescent="0.2">
      <c r="B239" s="76" t="s">
        <v>692</v>
      </c>
      <c r="C239" s="77" t="s">
        <v>281</v>
      </c>
      <c r="D239" s="330">
        <v>2095742654.1842999</v>
      </c>
      <c r="E239" s="188">
        <f>SUM('ADICIONES  2021'!C239:I239)</f>
        <v>0</v>
      </c>
      <c r="F239" s="41">
        <f>+F234*60.7461638894%</f>
        <v>0</v>
      </c>
      <c r="G239" s="41">
        <f t="shared" ref="G239:J239" si="524">+G234*60.7461638894%</f>
        <v>0</v>
      </c>
      <c r="H239" s="41">
        <f t="shared" si="524"/>
        <v>0</v>
      </c>
      <c r="I239" s="41">
        <f t="shared" si="524"/>
        <v>0</v>
      </c>
      <c r="J239" s="41">
        <f t="shared" si="524"/>
        <v>0</v>
      </c>
      <c r="K239" s="128">
        <f t="shared" si="467"/>
        <v>2095742654.1842999</v>
      </c>
      <c r="L239" s="41">
        <f t="shared" ref="L239:Q239" si="525">+L234*60.7461638894%</f>
        <v>0</v>
      </c>
      <c r="M239" s="41">
        <f t="shared" si="525"/>
        <v>0</v>
      </c>
      <c r="N239" s="41">
        <f t="shared" si="525"/>
        <v>0</v>
      </c>
      <c r="O239" s="41">
        <f t="shared" si="525"/>
        <v>0</v>
      </c>
      <c r="P239" s="41">
        <f t="shared" si="525"/>
        <v>0</v>
      </c>
      <c r="Q239" s="409">
        <f t="shared" si="525"/>
        <v>0</v>
      </c>
      <c r="R239" s="128">
        <f t="shared" si="473"/>
        <v>0</v>
      </c>
      <c r="S239" s="41">
        <f t="shared" ref="S239:Z239" si="526">+S234*60.7461638894%</f>
        <v>0</v>
      </c>
      <c r="T239" s="41">
        <f t="shared" si="526"/>
        <v>0</v>
      </c>
      <c r="U239" s="41">
        <f t="shared" si="526"/>
        <v>0</v>
      </c>
      <c r="V239" s="41">
        <f t="shared" si="526"/>
        <v>0</v>
      </c>
      <c r="W239" s="41">
        <f t="shared" si="526"/>
        <v>0</v>
      </c>
      <c r="X239" s="41">
        <f t="shared" si="526"/>
        <v>0</v>
      </c>
      <c r="Y239" s="41">
        <f t="shared" si="526"/>
        <v>0</v>
      </c>
      <c r="Z239" s="41">
        <f t="shared" si="526"/>
        <v>0</v>
      </c>
      <c r="AA239" s="128">
        <f t="shared" si="479"/>
        <v>0</v>
      </c>
      <c r="AB239" s="128">
        <f t="shared" si="474"/>
        <v>0</v>
      </c>
      <c r="AC239" s="175">
        <f t="shared" si="478"/>
        <v>0</v>
      </c>
    </row>
    <row r="240" spans="1:29" ht="28.5" hidden="1" x14ac:dyDescent="0.2">
      <c r="B240" s="76" t="s">
        <v>693</v>
      </c>
      <c r="C240" s="77" t="s">
        <v>679</v>
      </c>
      <c r="D240" s="330">
        <v>2645115</v>
      </c>
      <c r="E240" s="188">
        <f>SUM('ADICIONES  2021'!C240:I240)</f>
        <v>0</v>
      </c>
      <c r="F240" s="41">
        <f>+F234*0.07667%</f>
        <v>0</v>
      </c>
      <c r="G240" s="41">
        <f t="shared" ref="G240:J240" si="527">+G234*0.07667%</f>
        <v>0</v>
      </c>
      <c r="H240" s="41">
        <f t="shared" si="527"/>
        <v>0</v>
      </c>
      <c r="I240" s="41">
        <f t="shared" si="527"/>
        <v>0</v>
      </c>
      <c r="J240" s="41">
        <f t="shared" si="527"/>
        <v>0</v>
      </c>
      <c r="K240" s="128">
        <f t="shared" si="467"/>
        <v>2645115</v>
      </c>
      <c r="L240" s="41">
        <f t="shared" ref="L240:Q240" si="528">+L234*0.07667%</f>
        <v>0</v>
      </c>
      <c r="M240" s="41">
        <f t="shared" si="528"/>
        <v>0</v>
      </c>
      <c r="N240" s="41">
        <f t="shared" si="528"/>
        <v>0</v>
      </c>
      <c r="O240" s="41">
        <f t="shared" si="528"/>
        <v>0</v>
      </c>
      <c r="P240" s="41">
        <f t="shared" si="528"/>
        <v>0</v>
      </c>
      <c r="Q240" s="409">
        <f t="shared" si="528"/>
        <v>0</v>
      </c>
      <c r="R240" s="128">
        <f t="shared" si="473"/>
        <v>0</v>
      </c>
      <c r="S240" s="41">
        <f t="shared" ref="S240:Z240" si="529">+S234*0.07667%</f>
        <v>0</v>
      </c>
      <c r="T240" s="41">
        <f t="shared" si="529"/>
        <v>0</v>
      </c>
      <c r="U240" s="41">
        <f t="shared" si="529"/>
        <v>0</v>
      </c>
      <c r="V240" s="41">
        <f t="shared" si="529"/>
        <v>0</v>
      </c>
      <c r="W240" s="41">
        <f t="shared" si="529"/>
        <v>0</v>
      </c>
      <c r="X240" s="41">
        <f t="shared" si="529"/>
        <v>0</v>
      </c>
      <c r="Y240" s="41">
        <f t="shared" si="529"/>
        <v>0</v>
      </c>
      <c r="Z240" s="41">
        <f t="shared" si="529"/>
        <v>0</v>
      </c>
      <c r="AA240" s="128">
        <f t="shared" si="479"/>
        <v>0</v>
      </c>
      <c r="AB240" s="128">
        <f t="shared" si="474"/>
        <v>0</v>
      </c>
      <c r="AC240" s="175">
        <f t="shared" si="478"/>
        <v>0</v>
      </c>
    </row>
    <row r="241" spans="1:29" ht="14.25" hidden="1" x14ac:dyDescent="0.2">
      <c r="B241" s="76" t="s">
        <v>694</v>
      </c>
      <c r="C241" s="77" t="s">
        <v>282</v>
      </c>
      <c r="D241" s="330">
        <v>264246988.5</v>
      </c>
      <c r="E241" s="188">
        <f>SUM('ADICIONES  2021'!C241:I241)</f>
        <v>0</v>
      </c>
      <c r="F241" s="41">
        <f>+F234*7.659333%</f>
        <v>0</v>
      </c>
      <c r="G241" s="41">
        <f t="shared" ref="G241:J241" si="530">+G234*7.659333%</f>
        <v>0</v>
      </c>
      <c r="H241" s="41">
        <f t="shared" si="530"/>
        <v>0</v>
      </c>
      <c r="I241" s="41">
        <f t="shared" si="530"/>
        <v>0</v>
      </c>
      <c r="J241" s="41">
        <f t="shared" si="530"/>
        <v>0</v>
      </c>
      <c r="K241" s="128">
        <f t="shared" si="467"/>
        <v>264246988.5</v>
      </c>
      <c r="L241" s="41">
        <f t="shared" ref="L241:Q241" si="531">+L234*7.659333%</f>
        <v>0</v>
      </c>
      <c r="M241" s="41">
        <f t="shared" si="531"/>
        <v>0</v>
      </c>
      <c r="N241" s="41">
        <f t="shared" si="531"/>
        <v>0</v>
      </c>
      <c r="O241" s="41">
        <f t="shared" si="531"/>
        <v>0</v>
      </c>
      <c r="P241" s="41">
        <f t="shared" si="531"/>
        <v>0</v>
      </c>
      <c r="Q241" s="409">
        <f t="shared" si="531"/>
        <v>0</v>
      </c>
      <c r="R241" s="128">
        <f t="shared" si="473"/>
        <v>0</v>
      </c>
      <c r="S241" s="41">
        <f t="shared" ref="S241:Z241" si="532">+S234*7.659333%</f>
        <v>0</v>
      </c>
      <c r="T241" s="41">
        <f t="shared" si="532"/>
        <v>0</v>
      </c>
      <c r="U241" s="41">
        <f t="shared" si="532"/>
        <v>0</v>
      </c>
      <c r="V241" s="41">
        <f t="shared" si="532"/>
        <v>0</v>
      </c>
      <c r="W241" s="41">
        <f t="shared" si="532"/>
        <v>0</v>
      </c>
      <c r="X241" s="41">
        <f t="shared" si="532"/>
        <v>0</v>
      </c>
      <c r="Y241" s="41">
        <f t="shared" si="532"/>
        <v>0</v>
      </c>
      <c r="Z241" s="41">
        <f t="shared" si="532"/>
        <v>0</v>
      </c>
      <c r="AA241" s="128">
        <f t="shared" si="479"/>
        <v>0</v>
      </c>
      <c r="AB241" s="128">
        <f t="shared" si="474"/>
        <v>0</v>
      </c>
      <c r="AC241" s="175">
        <f t="shared" si="478"/>
        <v>0</v>
      </c>
    </row>
    <row r="242" spans="1:29" ht="28.5" hidden="1" x14ac:dyDescent="0.2">
      <c r="B242" s="76" t="s">
        <v>695</v>
      </c>
      <c r="C242" s="77" t="s">
        <v>283</v>
      </c>
      <c r="D242" s="330">
        <v>47564457.93</v>
      </c>
      <c r="E242" s="188">
        <f>SUM('ADICIONES  2021'!C242:I242)</f>
        <v>0</v>
      </c>
      <c r="F242" s="41">
        <f>+F234*1.37867994%</f>
        <v>0</v>
      </c>
      <c r="G242" s="41">
        <f t="shared" ref="G242:J242" si="533">+G234*1.37867994%</f>
        <v>0</v>
      </c>
      <c r="H242" s="41">
        <f t="shared" si="533"/>
        <v>0</v>
      </c>
      <c r="I242" s="41">
        <f t="shared" si="533"/>
        <v>0</v>
      </c>
      <c r="J242" s="41">
        <f t="shared" si="533"/>
        <v>0</v>
      </c>
      <c r="K242" s="128">
        <f t="shared" si="467"/>
        <v>47564457.93</v>
      </c>
      <c r="L242" s="41">
        <f t="shared" ref="L242:Q242" si="534">+L234*1.37867994%</f>
        <v>0</v>
      </c>
      <c r="M242" s="41">
        <f t="shared" si="534"/>
        <v>0</v>
      </c>
      <c r="N242" s="41">
        <f t="shared" si="534"/>
        <v>0</v>
      </c>
      <c r="O242" s="41">
        <f t="shared" si="534"/>
        <v>0</v>
      </c>
      <c r="P242" s="41">
        <f t="shared" si="534"/>
        <v>0</v>
      </c>
      <c r="Q242" s="409">
        <f t="shared" si="534"/>
        <v>0</v>
      </c>
      <c r="R242" s="128">
        <f t="shared" si="473"/>
        <v>0</v>
      </c>
      <c r="S242" s="41">
        <f t="shared" ref="S242:Z242" si="535">+S234*1.37867994%</f>
        <v>0</v>
      </c>
      <c r="T242" s="41">
        <f t="shared" si="535"/>
        <v>0</v>
      </c>
      <c r="U242" s="41">
        <f t="shared" si="535"/>
        <v>0</v>
      </c>
      <c r="V242" s="41">
        <f t="shared" si="535"/>
        <v>0</v>
      </c>
      <c r="W242" s="41">
        <f t="shared" si="535"/>
        <v>0</v>
      </c>
      <c r="X242" s="41">
        <f t="shared" si="535"/>
        <v>0</v>
      </c>
      <c r="Y242" s="41">
        <f t="shared" si="535"/>
        <v>0</v>
      </c>
      <c r="Z242" s="41">
        <f t="shared" si="535"/>
        <v>0</v>
      </c>
      <c r="AA242" s="128">
        <f t="shared" si="479"/>
        <v>0</v>
      </c>
      <c r="AB242" s="128">
        <f t="shared" si="474"/>
        <v>0</v>
      </c>
      <c r="AC242" s="175">
        <f t="shared" si="478"/>
        <v>0</v>
      </c>
    </row>
    <row r="243" spans="1:29" ht="42.75" hidden="1" x14ac:dyDescent="0.2">
      <c r="B243" s="76" t="s">
        <v>696</v>
      </c>
      <c r="C243" s="77" t="s">
        <v>683</v>
      </c>
      <c r="D243" s="330">
        <v>23306584.385700002</v>
      </c>
      <c r="E243" s="188">
        <f>SUM('ADICIONES  2021'!C243:I243)</f>
        <v>0</v>
      </c>
      <c r="F243" s="41">
        <f>+F234*0.6755531706%</f>
        <v>0</v>
      </c>
      <c r="G243" s="41">
        <f t="shared" ref="G243:J243" si="536">+G234*0.6755531706%</f>
        <v>0</v>
      </c>
      <c r="H243" s="41">
        <f t="shared" si="536"/>
        <v>0</v>
      </c>
      <c r="I243" s="41">
        <f t="shared" si="536"/>
        <v>0</v>
      </c>
      <c r="J243" s="41">
        <f t="shared" si="536"/>
        <v>0</v>
      </c>
      <c r="K243" s="128">
        <f t="shared" si="467"/>
        <v>23306584.385700002</v>
      </c>
      <c r="L243" s="41">
        <f t="shared" ref="L243:Q243" si="537">+L234*0.6755531706%</f>
        <v>0</v>
      </c>
      <c r="M243" s="41">
        <f t="shared" si="537"/>
        <v>0</v>
      </c>
      <c r="N243" s="41">
        <f t="shared" si="537"/>
        <v>0</v>
      </c>
      <c r="O243" s="41">
        <f t="shared" si="537"/>
        <v>0</v>
      </c>
      <c r="P243" s="41">
        <f t="shared" si="537"/>
        <v>0</v>
      </c>
      <c r="Q243" s="409">
        <f t="shared" si="537"/>
        <v>0</v>
      </c>
      <c r="R243" s="128">
        <f t="shared" si="473"/>
        <v>0</v>
      </c>
      <c r="S243" s="41">
        <f t="shared" ref="S243:Z243" si="538">+S234*0.6755531706%</f>
        <v>0</v>
      </c>
      <c r="T243" s="41">
        <f t="shared" si="538"/>
        <v>0</v>
      </c>
      <c r="U243" s="41">
        <f t="shared" si="538"/>
        <v>0</v>
      </c>
      <c r="V243" s="41">
        <f t="shared" si="538"/>
        <v>0</v>
      </c>
      <c r="W243" s="41">
        <f t="shared" si="538"/>
        <v>0</v>
      </c>
      <c r="X243" s="41">
        <f t="shared" si="538"/>
        <v>0</v>
      </c>
      <c r="Y243" s="41">
        <f t="shared" si="538"/>
        <v>0</v>
      </c>
      <c r="Z243" s="41">
        <f t="shared" si="538"/>
        <v>0</v>
      </c>
      <c r="AA243" s="128">
        <f t="shared" si="479"/>
        <v>0</v>
      </c>
      <c r="AB243" s="128">
        <f t="shared" si="474"/>
        <v>0</v>
      </c>
      <c r="AC243" s="175">
        <f t="shared" si="478"/>
        <v>0</v>
      </c>
    </row>
    <row r="244" spans="1:29" ht="28.5" hidden="1" x14ac:dyDescent="0.2">
      <c r="B244" s="76" t="s">
        <v>697</v>
      </c>
      <c r="C244" s="77" t="s">
        <v>685</v>
      </c>
      <c r="D244" s="330">
        <v>211609200</v>
      </c>
      <c r="E244" s="188">
        <f>SUM('ADICIONES  2021'!C244:I244)</f>
        <v>0</v>
      </c>
      <c r="F244" s="41">
        <f>+F234*6.1336%</f>
        <v>0</v>
      </c>
      <c r="G244" s="41">
        <f t="shared" ref="G244:J244" si="539">+G234*6.1336%</f>
        <v>0</v>
      </c>
      <c r="H244" s="41">
        <f t="shared" si="539"/>
        <v>0</v>
      </c>
      <c r="I244" s="41">
        <f t="shared" si="539"/>
        <v>0</v>
      </c>
      <c r="J244" s="41">
        <f t="shared" si="539"/>
        <v>0</v>
      </c>
      <c r="K244" s="128">
        <f t="shared" si="467"/>
        <v>211609200</v>
      </c>
      <c r="L244" s="41">
        <f t="shared" ref="L244:Q244" si="540">+L234*6.1336%</f>
        <v>0</v>
      </c>
      <c r="M244" s="41">
        <f t="shared" si="540"/>
        <v>0</v>
      </c>
      <c r="N244" s="41">
        <f t="shared" si="540"/>
        <v>0</v>
      </c>
      <c r="O244" s="41">
        <f t="shared" si="540"/>
        <v>0</v>
      </c>
      <c r="P244" s="41">
        <f t="shared" si="540"/>
        <v>0</v>
      </c>
      <c r="Q244" s="409">
        <f t="shared" si="540"/>
        <v>0</v>
      </c>
      <c r="R244" s="128">
        <f t="shared" si="473"/>
        <v>0</v>
      </c>
      <c r="S244" s="41">
        <f t="shared" ref="S244:Z244" si="541">+S234*6.1336%</f>
        <v>0</v>
      </c>
      <c r="T244" s="41">
        <f t="shared" si="541"/>
        <v>0</v>
      </c>
      <c r="U244" s="41">
        <f t="shared" si="541"/>
        <v>0</v>
      </c>
      <c r="V244" s="41">
        <f t="shared" si="541"/>
        <v>0</v>
      </c>
      <c r="W244" s="41">
        <f t="shared" si="541"/>
        <v>0</v>
      </c>
      <c r="X244" s="41">
        <f t="shared" si="541"/>
        <v>0</v>
      </c>
      <c r="Y244" s="41">
        <f t="shared" si="541"/>
        <v>0</v>
      </c>
      <c r="Z244" s="41">
        <f t="shared" si="541"/>
        <v>0</v>
      </c>
      <c r="AA244" s="128">
        <f t="shared" si="479"/>
        <v>0</v>
      </c>
      <c r="AB244" s="128">
        <f t="shared" si="474"/>
        <v>0</v>
      </c>
      <c r="AC244" s="175">
        <f t="shared" si="478"/>
        <v>0</v>
      </c>
    </row>
    <row r="245" spans="1:29" s="214" customFormat="1" ht="19.5" x14ac:dyDescent="0.2">
      <c r="A245" s="211">
        <v>1</v>
      </c>
      <c r="B245" s="212" t="s">
        <v>698</v>
      </c>
      <c r="C245" s="213" t="s">
        <v>85</v>
      </c>
      <c r="D245" s="360">
        <f>+D252+D340+D566+D246+D249+D572+D329+D335+D650</f>
        <v>124388897000</v>
      </c>
      <c r="E245" s="306">
        <f>SUM('ADICIONES  2021'!C245:I245)</f>
        <v>324396293021.59991</v>
      </c>
      <c r="F245" s="361">
        <f>+F252+F340+F566+F246+F249+F572+F329+F335+F650</f>
        <v>1950062900</v>
      </c>
      <c r="G245" s="361">
        <f>+G252+G340+G566+G246+G249+G572+G329+G335+G650</f>
        <v>0</v>
      </c>
      <c r="H245" s="361">
        <f>+H252+H340+H566+H246+H249+H572+H329+H335+H650</f>
        <v>2500000000</v>
      </c>
      <c r="I245" s="361">
        <f>+I252+I340+I566+I246+I249+I572+I329+I335+I650</f>
        <v>0</v>
      </c>
      <c r="J245" s="361">
        <f>+J252+J340+J566+J246+J249+J572+J329+J335+J650</f>
        <v>0</v>
      </c>
      <c r="K245" s="206">
        <f t="shared" si="467"/>
        <v>444335127121.59991</v>
      </c>
      <c r="L245" s="361">
        <f t="shared" ref="L245:Q245" si="542">+L252+L340+L566+L246+L249+L572+L329+L335+L650</f>
        <v>434962185.77999991</v>
      </c>
      <c r="M245" s="361">
        <f t="shared" si="542"/>
        <v>599361430.99000013</v>
      </c>
      <c r="N245" s="361">
        <f t="shared" si="542"/>
        <v>8071853555.3299999</v>
      </c>
      <c r="O245" s="361">
        <f t="shared" si="542"/>
        <v>818757609.36999989</v>
      </c>
      <c r="P245" s="361">
        <f t="shared" si="542"/>
        <v>145307816836.19998</v>
      </c>
      <c r="Q245" s="361">
        <f t="shared" si="542"/>
        <v>15022756802.869999</v>
      </c>
      <c r="R245" s="206">
        <f t="shared" si="473"/>
        <v>170255508420.53998</v>
      </c>
      <c r="S245" s="361">
        <f t="shared" ref="S245:Z245" si="543">+S252+S340+S566+S246+S249+S572+S329+S335+S650</f>
        <v>537808084.79999995</v>
      </c>
      <c r="T245" s="361">
        <f t="shared" si="543"/>
        <v>0</v>
      </c>
      <c r="U245" s="361">
        <f t="shared" si="543"/>
        <v>0</v>
      </c>
      <c r="V245" s="361">
        <f t="shared" si="543"/>
        <v>0</v>
      </c>
      <c r="W245" s="361">
        <f t="shared" si="543"/>
        <v>0</v>
      </c>
      <c r="X245" s="361">
        <f t="shared" si="543"/>
        <v>0</v>
      </c>
      <c r="Y245" s="361">
        <f t="shared" si="543"/>
        <v>0</v>
      </c>
      <c r="Z245" s="361">
        <f t="shared" si="543"/>
        <v>0</v>
      </c>
      <c r="AA245" s="206">
        <f t="shared" si="479"/>
        <v>537808084.79999995</v>
      </c>
      <c r="AB245" s="206">
        <f t="shared" si="474"/>
        <v>170793316505.33997</v>
      </c>
      <c r="AC245" s="207">
        <f t="shared" si="478"/>
        <v>0.38437950564867102</v>
      </c>
    </row>
    <row r="246" spans="1:29" s="63" customFormat="1" ht="19.5" hidden="1" x14ac:dyDescent="0.2">
      <c r="A246" s="399"/>
      <c r="B246" s="81" t="s">
        <v>699</v>
      </c>
      <c r="C246" s="79" t="s">
        <v>700</v>
      </c>
      <c r="D246" s="362">
        <f t="shared" ref="D246:S247" si="544">+D247</f>
        <v>0</v>
      </c>
      <c r="E246" s="187">
        <f>SUM('ADICIONES  2021'!C246:I246)</f>
        <v>0</v>
      </c>
      <c r="F246" s="363">
        <f t="shared" si="544"/>
        <v>0</v>
      </c>
      <c r="G246" s="363">
        <f t="shared" si="544"/>
        <v>0</v>
      </c>
      <c r="H246" s="363">
        <f t="shared" si="544"/>
        <v>0</v>
      </c>
      <c r="I246" s="363">
        <f t="shared" si="544"/>
        <v>0</v>
      </c>
      <c r="J246" s="363">
        <f t="shared" si="544"/>
        <v>0</v>
      </c>
      <c r="K246" s="78">
        <f t="shared" si="467"/>
        <v>0</v>
      </c>
      <c r="L246" s="363">
        <f t="shared" si="544"/>
        <v>0</v>
      </c>
      <c r="M246" s="363">
        <f t="shared" si="544"/>
        <v>0</v>
      </c>
      <c r="N246" s="363">
        <f t="shared" si="544"/>
        <v>0</v>
      </c>
      <c r="O246" s="363">
        <f t="shared" si="544"/>
        <v>0</v>
      </c>
      <c r="P246" s="363">
        <f t="shared" si="544"/>
        <v>0</v>
      </c>
      <c r="Q246" s="415">
        <f t="shared" si="544"/>
        <v>0</v>
      </c>
      <c r="R246" s="78">
        <f t="shared" si="473"/>
        <v>0</v>
      </c>
      <c r="S246" s="363">
        <f t="shared" si="544"/>
        <v>0</v>
      </c>
      <c r="T246" s="363">
        <f t="shared" ref="S246:Z247" si="545">+T247</f>
        <v>0</v>
      </c>
      <c r="U246" s="363">
        <f t="shared" si="545"/>
        <v>0</v>
      </c>
      <c r="V246" s="363">
        <f t="shared" si="545"/>
        <v>0</v>
      </c>
      <c r="W246" s="363">
        <f t="shared" si="545"/>
        <v>0</v>
      </c>
      <c r="X246" s="363">
        <f t="shared" si="545"/>
        <v>0</v>
      </c>
      <c r="Y246" s="363">
        <f t="shared" si="545"/>
        <v>0</v>
      </c>
      <c r="Z246" s="363">
        <f t="shared" si="545"/>
        <v>0</v>
      </c>
      <c r="AA246" s="78">
        <f t="shared" si="479"/>
        <v>0</v>
      </c>
      <c r="AB246" s="78">
        <f t="shared" si="474"/>
        <v>0</v>
      </c>
      <c r="AC246" s="174" t="e">
        <f t="shared" si="478"/>
        <v>#DIV/0!</v>
      </c>
    </row>
    <row r="247" spans="1:29" s="63" customFormat="1" ht="31.5" hidden="1" x14ac:dyDescent="0.2">
      <c r="A247" s="399"/>
      <c r="B247" s="81" t="s">
        <v>701</v>
      </c>
      <c r="C247" s="79" t="s">
        <v>702</v>
      </c>
      <c r="D247" s="362">
        <f t="shared" si="544"/>
        <v>0</v>
      </c>
      <c r="E247" s="187">
        <f>SUM('ADICIONES  2021'!C247:I247)</f>
        <v>0</v>
      </c>
      <c r="F247" s="363">
        <f t="shared" si="544"/>
        <v>0</v>
      </c>
      <c r="G247" s="363">
        <f t="shared" si="544"/>
        <v>0</v>
      </c>
      <c r="H247" s="363">
        <f t="shared" si="544"/>
        <v>0</v>
      </c>
      <c r="I247" s="363">
        <f t="shared" si="544"/>
        <v>0</v>
      </c>
      <c r="J247" s="363">
        <f t="shared" si="544"/>
        <v>0</v>
      </c>
      <c r="K247" s="78">
        <f t="shared" si="467"/>
        <v>0</v>
      </c>
      <c r="L247" s="363">
        <f t="shared" si="544"/>
        <v>0</v>
      </c>
      <c r="M247" s="363">
        <f t="shared" si="544"/>
        <v>0</v>
      </c>
      <c r="N247" s="363">
        <f t="shared" si="544"/>
        <v>0</v>
      </c>
      <c r="O247" s="363">
        <f t="shared" si="544"/>
        <v>0</v>
      </c>
      <c r="P247" s="363">
        <f t="shared" si="544"/>
        <v>0</v>
      </c>
      <c r="Q247" s="415">
        <f t="shared" si="544"/>
        <v>0</v>
      </c>
      <c r="R247" s="78">
        <f t="shared" si="473"/>
        <v>0</v>
      </c>
      <c r="S247" s="363">
        <f t="shared" si="545"/>
        <v>0</v>
      </c>
      <c r="T247" s="363">
        <f t="shared" si="545"/>
        <v>0</v>
      </c>
      <c r="U247" s="363">
        <f t="shared" si="545"/>
        <v>0</v>
      </c>
      <c r="V247" s="363">
        <f t="shared" si="545"/>
        <v>0</v>
      </c>
      <c r="W247" s="363">
        <f t="shared" si="545"/>
        <v>0</v>
      </c>
      <c r="X247" s="363">
        <f t="shared" si="545"/>
        <v>0</v>
      </c>
      <c r="Y247" s="363">
        <f t="shared" si="545"/>
        <v>0</v>
      </c>
      <c r="Z247" s="363">
        <f t="shared" si="545"/>
        <v>0</v>
      </c>
      <c r="AA247" s="78">
        <f t="shared" si="479"/>
        <v>0</v>
      </c>
      <c r="AB247" s="78">
        <f t="shared" si="474"/>
        <v>0</v>
      </c>
      <c r="AC247" s="174" t="e">
        <f t="shared" si="478"/>
        <v>#DIV/0!</v>
      </c>
    </row>
    <row r="248" spans="1:29" ht="14.25" hidden="1" x14ac:dyDescent="0.2">
      <c r="B248" s="76" t="s">
        <v>703</v>
      </c>
      <c r="C248" s="77" t="s">
        <v>262</v>
      </c>
      <c r="D248" s="330">
        <v>0</v>
      </c>
      <c r="E248" s="188">
        <f>SUM('ADICIONES  2021'!C248:I248)</f>
        <v>0</v>
      </c>
      <c r="F248" s="41"/>
      <c r="G248" s="41"/>
      <c r="H248" s="41"/>
      <c r="I248" s="41"/>
      <c r="J248" s="41"/>
      <c r="K248" s="128">
        <f t="shared" si="467"/>
        <v>0</v>
      </c>
      <c r="L248" s="41"/>
      <c r="M248" s="41"/>
      <c r="N248" s="41"/>
      <c r="O248" s="41"/>
      <c r="P248" s="41"/>
      <c r="Q248" s="409"/>
      <c r="R248" s="128">
        <f t="shared" si="473"/>
        <v>0</v>
      </c>
      <c r="S248" s="41"/>
      <c r="T248" s="41"/>
      <c r="U248" s="41"/>
      <c r="V248" s="41"/>
      <c r="W248" s="41"/>
      <c r="X248" s="41"/>
      <c r="Y248" s="41"/>
      <c r="Z248" s="41"/>
      <c r="AA248" s="128">
        <f t="shared" si="479"/>
        <v>0</v>
      </c>
      <c r="AB248" s="128">
        <f t="shared" si="474"/>
        <v>0</v>
      </c>
      <c r="AC248" s="175" t="e">
        <f t="shared" si="478"/>
        <v>#DIV/0!</v>
      </c>
    </row>
    <row r="249" spans="1:29" s="63" customFormat="1" ht="31.5" hidden="1" x14ac:dyDescent="0.2">
      <c r="A249" s="399"/>
      <c r="B249" s="81" t="s">
        <v>704</v>
      </c>
      <c r="C249" s="79" t="s">
        <v>705</v>
      </c>
      <c r="D249" s="329">
        <f>+D250</f>
        <v>33000000000</v>
      </c>
      <c r="E249" s="187">
        <f>SUM('ADICIONES  2021'!C249:I249)</f>
        <v>0</v>
      </c>
      <c r="F249" s="402">
        <f t="shared" ref="F249:J250" si="546">+F250</f>
        <v>1950062900</v>
      </c>
      <c r="G249" s="223">
        <f t="shared" si="546"/>
        <v>0</v>
      </c>
      <c r="H249" s="223">
        <f t="shared" si="546"/>
        <v>0</v>
      </c>
      <c r="I249" s="223">
        <f t="shared" si="546"/>
        <v>0</v>
      </c>
      <c r="J249" s="223">
        <f t="shared" si="546"/>
        <v>0</v>
      </c>
      <c r="K249" s="78">
        <f t="shared" si="467"/>
        <v>31049937100</v>
      </c>
      <c r="L249" s="223">
        <f t="shared" ref="L249:Q250" si="547">+L250</f>
        <v>0</v>
      </c>
      <c r="M249" s="223">
        <f t="shared" si="547"/>
        <v>0</v>
      </c>
      <c r="N249" s="223">
        <f t="shared" si="547"/>
        <v>0</v>
      </c>
      <c r="O249" s="223">
        <f t="shared" si="547"/>
        <v>0</v>
      </c>
      <c r="P249" s="223">
        <f t="shared" si="547"/>
        <v>0</v>
      </c>
      <c r="Q249" s="407">
        <f t="shared" si="547"/>
        <v>14592787518</v>
      </c>
      <c r="R249" s="78">
        <f t="shared" si="473"/>
        <v>14592787518</v>
      </c>
      <c r="S249" s="223">
        <f t="shared" ref="S249:Z250" si="548">+S250</f>
        <v>0</v>
      </c>
      <c r="T249" s="223">
        <f t="shared" si="548"/>
        <v>0</v>
      </c>
      <c r="U249" s="223">
        <f t="shared" si="548"/>
        <v>0</v>
      </c>
      <c r="V249" s="223">
        <f t="shared" si="548"/>
        <v>0</v>
      </c>
      <c r="W249" s="223">
        <f t="shared" si="548"/>
        <v>0</v>
      </c>
      <c r="X249" s="223">
        <f t="shared" si="548"/>
        <v>0</v>
      </c>
      <c r="Y249" s="223">
        <f t="shared" si="548"/>
        <v>0</v>
      </c>
      <c r="Z249" s="223">
        <f t="shared" si="548"/>
        <v>0</v>
      </c>
      <c r="AA249" s="78">
        <f t="shared" si="479"/>
        <v>0</v>
      </c>
      <c r="AB249" s="78">
        <f t="shared" si="474"/>
        <v>14592787518</v>
      </c>
      <c r="AC249" s="174">
        <f t="shared" si="478"/>
        <v>0.46997800578475246</v>
      </c>
    </row>
    <row r="250" spans="1:29" s="63" customFormat="1" ht="31.5" hidden="1" x14ac:dyDescent="0.2">
      <c r="A250" s="399"/>
      <c r="B250" s="81" t="s">
        <v>706</v>
      </c>
      <c r="C250" s="79" t="s">
        <v>702</v>
      </c>
      <c r="D250" s="329">
        <f>+D251</f>
        <v>33000000000</v>
      </c>
      <c r="E250" s="187">
        <f>SUM('ADICIONES  2021'!C250:I250)</f>
        <v>0</v>
      </c>
      <c r="F250" s="402">
        <f t="shared" si="546"/>
        <v>1950062900</v>
      </c>
      <c r="G250" s="223">
        <f t="shared" si="546"/>
        <v>0</v>
      </c>
      <c r="H250" s="223">
        <f t="shared" si="546"/>
        <v>0</v>
      </c>
      <c r="I250" s="223">
        <f t="shared" si="546"/>
        <v>0</v>
      </c>
      <c r="J250" s="223">
        <f t="shared" si="546"/>
        <v>0</v>
      </c>
      <c r="K250" s="78">
        <f t="shared" si="467"/>
        <v>31049937100</v>
      </c>
      <c r="L250" s="223">
        <f t="shared" si="547"/>
        <v>0</v>
      </c>
      <c r="M250" s="223">
        <f t="shared" si="547"/>
        <v>0</v>
      </c>
      <c r="N250" s="223">
        <f t="shared" si="547"/>
        <v>0</v>
      </c>
      <c r="O250" s="223">
        <f t="shared" si="547"/>
        <v>0</v>
      </c>
      <c r="P250" s="223">
        <f t="shared" si="547"/>
        <v>0</v>
      </c>
      <c r="Q250" s="407">
        <f t="shared" si="547"/>
        <v>14592787518</v>
      </c>
      <c r="R250" s="78">
        <f t="shared" si="473"/>
        <v>14592787518</v>
      </c>
      <c r="S250" s="223">
        <f t="shared" si="548"/>
        <v>0</v>
      </c>
      <c r="T250" s="223">
        <f t="shared" si="548"/>
        <v>0</v>
      </c>
      <c r="U250" s="223">
        <f t="shared" si="548"/>
        <v>0</v>
      </c>
      <c r="V250" s="223">
        <f t="shared" si="548"/>
        <v>0</v>
      </c>
      <c r="W250" s="223">
        <f t="shared" si="548"/>
        <v>0</v>
      </c>
      <c r="X250" s="223">
        <f t="shared" si="548"/>
        <v>0</v>
      </c>
      <c r="Y250" s="223">
        <f t="shared" si="548"/>
        <v>0</v>
      </c>
      <c r="Z250" s="223">
        <f t="shared" si="548"/>
        <v>0</v>
      </c>
      <c r="AA250" s="78">
        <f t="shared" si="479"/>
        <v>0</v>
      </c>
      <c r="AB250" s="78">
        <f t="shared" si="474"/>
        <v>14592787518</v>
      </c>
      <c r="AC250" s="174">
        <f t="shared" si="478"/>
        <v>0.46997800578475246</v>
      </c>
    </row>
    <row r="251" spans="1:29" x14ac:dyDescent="0.2">
      <c r="A251" s="398">
        <v>1</v>
      </c>
      <c r="B251" s="76" t="s">
        <v>707</v>
      </c>
      <c r="C251" s="77" t="s">
        <v>103</v>
      </c>
      <c r="D251" s="330">
        <v>33000000000</v>
      </c>
      <c r="E251" s="188">
        <f>SUM('ADICIONES  2021'!C251:I251)</f>
        <v>0</v>
      </c>
      <c r="F251" s="128">
        <v>1950062900</v>
      </c>
      <c r="G251" s="128"/>
      <c r="H251" s="128"/>
      <c r="I251" s="128"/>
      <c r="J251" s="128"/>
      <c r="K251" s="128">
        <f t="shared" si="467"/>
        <v>31049937100</v>
      </c>
      <c r="L251" s="128"/>
      <c r="M251" s="128"/>
      <c r="N251" s="128"/>
      <c r="O251" s="128"/>
      <c r="P251" s="128"/>
      <c r="Q251" s="126">
        <v>14592787518</v>
      </c>
      <c r="R251" s="128">
        <f t="shared" si="473"/>
        <v>14592787518</v>
      </c>
      <c r="S251" s="128">
        <v>0</v>
      </c>
      <c r="T251" s="128"/>
      <c r="U251" s="128"/>
      <c r="V251" s="128"/>
      <c r="W251" s="128"/>
      <c r="X251" s="128"/>
      <c r="Y251" s="128"/>
      <c r="Z251" s="128"/>
      <c r="AA251" s="128">
        <f t="shared" si="479"/>
        <v>0</v>
      </c>
      <c r="AB251" s="128">
        <f t="shared" si="474"/>
        <v>14592787518</v>
      </c>
      <c r="AC251" s="175">
        <f t="shared" si="478"/>
        <v>0.46997800578475246</v>
      </c>
    </row>
    <row r="252" spans="1:29" s="63" customFormat="1" ht="15.75" x14ac:dyDescent="0.2">
      <c r="A252" s="399">
        <v>1</v>
      </c>
      <c r="B252" s="81" t="s">
        <v>708</v>
      </c>
      <c r="C252" s="79" t="s">
        <v>709</v>
      </c>
      <c r="D252" s="329">
        <f>+D253</f>
        <v>3771000000</v>
      </c>
      <c r="E252" s="187">
        <f>SUM('ADICIONES  2021'!C252:I252)</f>
        <v>16023764</v>
      </c>
      <c r="F252" s="223">
        <f t="shared" ref="F252:J252" si="549">+F253</f>
        <v>0</v>
      </c>
      <c r="G252" s="223">
        <f t="shared" si="549"/>
        <v>0</v>
      </c>
      <c r="H252" s="223">
        <f t="shared" si="549"/>
        <v>0</v>
      </c>
      <c r="I252" s="223">
        <f t="shared" si="549"/>
        <v>0</v>
      </c>
      <c r="J252" s="223">
        <f t="shared" si="549"/>
        <v>0</v>
      </c>
      <c r="K252" s="78">
        <f t="shared" si="467"/>
        <v>3787023764</v>
      </c>
      <c r="L252" s="223">
        <f t="shared" ref="L252:Q252" si="550">+L253</f>
        <v>434962185.77999991</v>
      </c>
      <c r="M252" s="223">
        <f t="shared" si="550"/>
        <v>597443201.72000015</v>
      </c>
      <c r="N252" s="223">
        <f t="shared" si="550"/>
        <v>384125907.50999999</v>
      </c>
      <c r="O252" s="223">
        <f t="shared" si="550"/>
        <v>373960205.21999997</v>
      </c>
      <c r="P252" s="223">
        <f t="shared" si="550"/>
        <v>367723316.88999999</v>
      </c>
      <c r="Q252" s="223">
        <f t="shared" si="550"/>
        <v>400645927.72999996</v>
      </c>
      <c r="R252" s="78">
        <f t="shared" si="473"/>
        <v>2558860744.8499999</v>
      </c>
      <c r="S252" s="223">
        <f t="shared" ref="S252:Z252" si="551">+S253</f>
        <v>402030484.00999999</v>
      </c>
      <c r="T252" s="223">
        <f t="shared" si="551"/>
        <v>0</v>
      </c>
      <c r="U252" s="223">
        <f t="shared" si="551"/>
        <v>0</v>
      </c>
      <c r="V252" s="223">
        <f t="shared" si="551"/>
        <v>0</v>
      </c>
      <c r="W252" s="223">
        <f t="shared" si="551"/>
        <v>0</v>
      </c>
      <c r="X252" s="223">
        <f t="shared" si="551"/>
        <v>0</v>
      </c>
      <c r="Y252" s="223">
        <f t="shared" si="551"/>
        <v>0</v>
      </c>
      <c r="Z252" s="223">
        <f t="shared" si="551"/>
        <v>0</v>
      </c>
      <c r="AA252" s="78">
        <f t="shared" si="479"/>
        <v>402030484.00999999</v>
      </c>
      <c r="AB252" s="78">
        <f t="shared" si="474"/>
        <v>2960891228.8599997</v>
      </c>
      <c r="AC252" s="174">
        <f t="shared" si="478"/>
        <v>0.78185176892911612</v>
      </c>
    </row>
    <row r="253" spans="1:29" s="63" customFormat="1" ht="15.75" hidden="1" x14ac:dyDescent="0.2">
      <c r="A253" s="399"/>
      <c r="B253" s="81" t="s">
        <v>710</v>
      </c>
      <c r="C253" s="79" t="s">
        <v>711</v>
      </c>
      <c r="D253" s="329">
        <f>+D254+D255+D256+D257+D258+D288+D289+D290+D291+D292+D293+D294+D296+D297+D298+D299+D300+D301+D302+D303+D304+D305+D306+D307+D308+D310+D311+D312+D313+D314+D315+D316+D317+D318+D319+D320+D321+D322+D323+D324+D325+D326+D295+D309+D332+D333+D327+D328</f>
        <v>3771000000</v>
      </c>
      <c r="E253" s="187">
        <f>SUM('ADICIONES  2021'!C253:I253)</f>
        <v>16023764</v>
      </c>
      <c r="F253" s="329">
        <f t="shared" ref="F253:J253" si="552">+F254+F255+F256+F257+F258+F288+F289+F290+F291+F292+F293+F294+F296+F297+F298+F299+F300+F301+F302+F303+F304+F305+F306+F307+F308+F310+F311+F312+F313+F314+F315+F316+F317+F318+F319+F320+F321+F322+F323+F324+F325+F326+F295+F309+F332+F333+F327+F328</f>
        <v>0</v>
      </c>
      <c r="G253" s="329">
        <f t="shared" si="552"/>
        <v>0</v>
      </c>
      <c r="H253" s="329">
        <f t="shared" si="552"/>
        <v>0</v>
      </c>
      <c r="I253" s="329">
        <f t="shared" si="552"/>
        <v>0</v>
      </c>
      <c r="J253" s="329">
        <f t="shared" si="552"/>
        <v>0</v>
      </c>
      <c r="K253" s="78">
        <f t="shared" si="467"/>
        <v>3787023764</v>
      </c>
      <c r="L253" s="329">
        <f t="shared" ref="L253:Q253" si="553">+L254+L255+L256+L257+L258+L288+L289+L290+L291+L292+L293+L294+L296+L297+L298+L299+L300+L301+L302+L303+L304+L305+L306+L307+L308+L310+L311+L312+L313+L314+L315+L316+L317+L318+L319+L320+L321+L322+L323+L324+L325+L326+L295+L309+L332+L333+L327+L328</f>
        <v>434962185.77999991</v>
      </c>
      <c r="M253" s="329">
        <f t="shared" si="553"/>
        <v>597443201.72000015</v>
      </c>
      <c r="N253" s="329">
        <f t="shared" si="553"/>
        <v>384125907.50999999</v>
      </c>
      <c r="O253" s="329">
        <f t="shared" si="553"/>
        <v>373960205.21999997</v>
      </c>
      <c r="P253" s="329">
        <f t="shared" si="553"/>
        <v>367723316.88999999</v>
      </c>
      <c r="Q253" s="416">
        <f t="shared" si="553"/>
        <v>400645927.72999996</v>
      </c>
      <c r="R253" s="78">
        <f t="shared" si="473"/>
        <v>2558860744.8499999</v>
      </c>
      <c r="S253" s="329">
        <f t="shared" ref="S253:Z253" si="554">+S254+S255+S256+S257+S258+S288+S289+S290+S291+S292+S293+S294+S296+S297+S298+S299+S300+S301+S302+S303+S304+S305+S306+S307+S308+S310+S311+S312+S313+S314+S315+S316+S317+S318+S319+S320+S321+S322+S323+S324+S325+S326+S295+S309+S332+S333+S327+S328</f>
        <v>402030484.00999999</v>
      </c>
      <c r="T253" s="329">
        <f t="shared" si="554"/>
        <v>0</v>
      </c>
      <c r="U253" s="329">
        <f t="shared" si="554"/>
        <v>0</v>
      </c>
      <c r="V253" s="329">
        <f t="shared" si="554"/>
        <v>0</v>
      </c>
      <c r="W253" s="329">
        <f t="shared" si="554"/>
        <v>0</v>
      </c>
      <c r="X253" s="329">
        <f t="shared" si="554"/>
        <v>0</v>
      </c>
      <c r="Y253" s="329">
        <f t="shared" si="554"/>
        <v>0</v>
      </c>
      <c r="Z253" s="329">
        <f t="shared" si="554"/>
        <v>0</v>
      </c>
      <c r="AA253" s="78">
        <f t="shared" si="479"/>
        <v>402030484.00999999</v>
      </c>
      <c r="AB253" s="78">
        <f t="shared" si="474"/>
        <v>2960891228.8599997</v>
      </c>
      <c r="AC253" s="174">
        <f t="shared" si="478"/>
        <v>0.78185176892911612</v>
      </c>
    </row>
    <row r="254" spans="1:29" x14ac:dyDescent="0.2">
      <c r="A254" s="398">
        <v>1</v>
      </c>
      <c r="B254" s="76" t="s">
        <v>712</v>
      </c>
      <c r="C254" s="77" t="s">
        <v>86</v>
      </c>
      <c r="D254" s="334">
        <v>2100000000</v>
      </c>
      <c r="E254" s="188">
        <f>SUM('ADICIONES  2021'!C254:I254)</f>
        <v>0</v>
      </c>
      <c r="F254" s="128"/>
      <c r="G254" s="128"/>
      <c r="H254" s="128"/>
      <c r="I254" s="128"/>
      <c r="J254" s="128"/>
      <c r="K254" s="128">
        <f t="shared" si="467"/>
        <v>2100000000</v>
      </c>
      <c r="L254" s="128">
        <v>175120387.08000001</v>
      </c>
      <c r="M254" s="128">
        <v>388571902.63</v>
      </c>
      <c r="N254" s="128">
        <v>142431048.27000001</v>
      </c>
      <c r="O254" s="128">
        <v>156286912.09999999</v>
      </c>
      <c r="P254" s="128">
        <v>148813456.53999999</v>
      </c>
      <c r="Q254" s="126">
        <v>159961585.74000001</v>
      </c>
      <c r="R254" s="128">
        <f t="shared" si="473"/>
        <v>1171185292.3600001</v>
      </c>
      <c r="S254" s="128">
        <v>169760420.40000001</v>
      </c>
      <c r="T254" s="128"/>
      <c r="U254" s="128"/>
      <c r="V254" s="128"/>
      <c r="W254" s="128"/>
      <c r="X254" s="128"/>
      <c r="Y254" s="128"/>
      <c r="Z254" s="128"/>
      <c r="AA254" s="128">
        <f t="shared" si="479"/>
        <v>169760420.40000001</v>
      </c>
      <c r="AB254" s="128">
        <f t="shared" si="474"/>
        <v>1340945712.7600002</v>
      </c>
      <c r="AC254" s="175">
        <f t="shared" si="478"/>
        <v>0.63854557750476204</v>
      </c>
    </row>
    <row r="255" spans="1:29" ht="14.25" hidden="1" x14ac:dyDescent="0.2">
      <c r="B255" s="76" t="s">
        <v>713</v>
      </c>
      <c r="C255" s="77" t="s">
        <v>326</v>
      </c>
      <c r="D255" s="330">
        <v>0</v>
      </c>
      <c r="E255" s="188">
        <f>SUM('ADICIONES  2021'!C255:I255)</f>
        <v>0</v>
      </c>
      <c r="F255" s="41"/>
      <c r="G255" s="41"/>
      <c r="H255" s="41"/>
      <c r="I255" s="41"/>
      <c r="J255" s="41"/>
      <c r="K255" s="128">
        <f t="shared" si="467"/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09">
        <v>0</v>
      </c>
      <c r="R255" s="128">
        <f t="shared" si="473"/>
        <v>0</v>
      </c>
      <c r="S255" s="41">
        <v>0</v>
      </c>
      <c r="T255" s="41"/>
      <c r="U255" s="41"/>
      <c r="V255" s="41"/>
      <c r="W255" s="41"/>
      <c r="X255" s="41"/>
      <c r="Y255" s="41"/>
      <c r="Z255" s="41"/>
      <c r="AA255" s="128">
        <f t="shared" si="479"/>
        <v>0</v>
      </c>
      <c r="AB255" s="128">
        <f t="shared" si="474"/>
        <v>0</v>
      </c>
      <c r="AC255" s="175" t="e">
        <f t="shared" si="478"/>
        <v>#DIV/0!</v>
      </c>
    </row>
    <row r="256" spans="1:29" x14ac:dyDescent="0.2">
      <c r="A256" s="398">
        <v>1</v>
      </c>
      <c r="B256" s="76" t="s">
        <v>714</v>
      </c>
      <c r="C256" s="77" t="s">
        <v>236</v>
      </c>
      <c r="D256" s="330">
        <v>73000000</v>
      </c>
      <c r="E256" s="188">
        <f>SUM('ADICIONES  2021'!C256:I256)</f>
        <v>0</v>
      </c>
      <c r="F256" s="41"/>
      <c r="G256" s="41"/>
      <c r="H256" s="41"/>
      <c r="I256" s="41"/>
      <c r="J256" s="41"/>
      <c r="K256" s="128">
        <f t="shared" si="467"/>
        <v>73000000</v>
      </c>
      <c r="L256" s="41">
        <v>6987482</v>
      </c>
      <c r="M256" s="41">
        <v>5671345</v>
      </c>
      <c r="N256" s="41">
        <v>4816528</v>
      </c>
      <c r="O256" s="41">
        <v>7294834</v>
      </c>
      <c r="P256" s="41">
        <v>8719962</v>
      </c>
      <c r="Q256" s="181">
        <v>9197425</v>
      </c>
      <c r="R256" s="128">
        <f t="shared" si="473"/>
        <v>42687576</v>
      </c>
      <c r="S256" s="41">
        <v>9936876</v>
      </c>
      <c r="T256" s="41"/>
      <c r="U256" s="41"/>
      <c r="V256" s="41"/>
      <c r="W256" s="41"/>
      <c r="X256" s="41"/>
      <c r="Y256" s="41"/>
      <c r="Z256" s="41"/>
      <c r="AA256" s="128">
        <f t="shared" si="479"/>
        <v>9936876</v>
      </c>
      <c r="AB256" s="128">
        <f t="shared" si="474"/>
        <v>52624452</v>
      </c>
      <c r="AC256" s="175">
        <f t="shared" si="478"/>
        <v>0.720882904109589</v>
      </c>
    </row>
    <row r="257" spans="1:29" x14ac:dyDescent="0.2">
      <c r="A257" s="398">
        <v>1</v>
      </c>
      <c r="B257" s="76" t="s">
        <v>715</v>
      </c>
      <c r="C257" s="77" t="s">
        <v>87</v>
      </c>
      <c r="D257" s="330">
        <v>105000000</v>
      </c>
      <c r="E257" s="188">
        <f>SUM('ADICIONES  2021'!C257:I257)</f>
        <v>0</v>
      </c>
      <c r="F257" s="41"/>
      <c r="G257" s="41"/>
      <c r="H257" s="41"/>
      <c r="I257" s="41"/>
      <c r="J257" s="41"/>
      <c r="K257" s="128">
        <f t="shared" si="467"/>
        <v>105000000</v>
      </c>
      <c r="L257" s="41">
        <v>23013718.350000001</v>
      </c>
      <c r="M257" s="41">
        <v>966086.54</v>
      </c>
      <c r="N257" s="41">
        <v>8438553.2899999991</v>
      </c>
      <c r="O257" s="41">
        <v>15110463.119999999</v>
      </c>
      <c r="P257" s="41">
        <v>9795690.7400000002</v>
      </c>
      <c r="Q257" s="181">
        <v>2578646.2000000002</v>
      </c>
      <c r="R257" s="128">
        <f t="shared" si="473"/>
        <v>59903158.240000002</v>
      </c>
      <c r="S257" s="41">
        <v>3705433.82</v>
      </c>
      <c r="T257" s="41"/>
      <c r="U257" s="41"/>
      <c r="V257" s="41"/>
      <c r="W257" s="41"/>
      <c r="X257" s="41"/>
      <c r="Y257" s="41"/>
      <c r="Z257" s="41"/>
      <c r="AA257" s="128">
        <f t="shared" si="479"/>
        <v>3705433.82</v>
      </c>
      <c r="AB257" s="128">
        <f t="shared" si="474"/>
        <v>63608592.060000002</v>
      </c>
      <c r="AC257" s="175">
        <f t="shared" si="478"/>
        <v>0.60579611485714291</v>
      </c>
    </row>
    <row r="258" spans="1:29" s="63" customFormat="1" ht="15.75" x14ac:dyDescent="0.2">
      <c r="A258" s="399">
        <v>1</v>
      </c>
      <c r="B258" s="81" t="s">
        <v>716</v>
      </c>
      <c r="C258" s="101" t="s">
        <v>717</v>
      </c>
      <c r="D258" s="329">
        <f>+D259+D264+D269+D273+D277+D283+D285</f>
        <v>1303000000</v>
      </c>
      <c r="E258" s="187">
        <f>SUM('ADICIONES  2021'!C258:I258)</f>
        <v>3756634</v>
      </c>
      <c r="F258" s="223">
        <f t="shared" ref="F258:J258" si="555">+F259+F264+F269+F273+F277+F283+F285</f>
        <v>0</v>
      </c>
      <c r="G258" s="223">
        <f t="shared" si="555"/>
        <v>0</v>
      </c>
      <c r="H258" s="223">
        <f t="shared" si="555"/>
        <v>0</v>
      </c>
      <c r="I258" s="223">
        <f t="shared" si="555"/>
        <v>0</v>
      </c>
      <c r="J258" s="223">
        <f t="shared" si="555"/>
        <v>0</v>
      </c>
      <c r="K258" s="78">
        <f t="shared" si="467"/>
        <v>1306756634</v>
      </c>
      <c r="L258" s="223">
        <f t="shared" ref="L258:Q258" si="556">+L259+L264+L269+L273+L277+L283+L285</f>
        <v>61525396.990000002</v>
      </c>
      <c r="M258" s="223">
        <f t="shared" si="556"/>
        <v>86693500.780000016</v>
      </c>
      <c r="N258" s="223">
        <f t="shared" si="556"/>
        <v>103585598.47</v>
      </c>
      <c r="O258" s="223">
        <f t="shared" si="556"/>
        <v>74271977.320000008</v>
      </c>
      <c r="P258" s="223">
        <f t="shared" si="556"/>
        <v>83217370.940000013</v>
      </c>
      <c r="Q258" s="223">
        <f t="shared" si="556"/>
        <v>102832314.13</v>
      </c>
      <c r="R258" s="78">
        <f t="shared" si="473"/>
        <v>512126158.63</v>
      </c>
      <c r="S258" s="223">
        <f t="shared" ref="S258:Z258" si="557">+S259+S264+S269+S273+S277+S283+S285</f>
        <v>79894510.569999993</v>
      </c>
      <c r="T258" s="223">
        <f t="shared" si="557"/>
        <v>0</v>
      </c>
      <c r="U258" s="223">
        <f t="shared" si="557"/>
        <v>0</v>
      </c>
      <c r="V258" s="223">
        <f t="shared" si="557"/>
        <v>0</v>
      </c>
      <c r="W258" s="223">
        <f t="shared" si="557"/>
        <v>0</v>
      </c>
      <c r="X258" s="223">
        <f t="shared" si="557"/>
        <v>0</v>
      </c>
      <c r="Y258" s="223">
        <f t="shared" si="557"/>
        <v>0</v>
      </c>
      <c r="Z258" s="223">
        <f t="shared" si="557"/>
        <v>0</v>
      </c>
      <c r="AA258" s="78">
        <f t="shared" si="479"/>
        <v>79894510.569999993</v>
      </c>
      <c r="AB258" s="78">
        <f t="shared" si="474"/>
        <v>592020669.20000005</v>
      </c>
      <c r="AC258" s="174">
        <f t="shared" si="478"/>
        <v>0.4530458493926422</v>
      </c>
    </row>
    <row r="259" spans="1:29" s="19" customFormat="1" ht="15.75" x14ac:dyDescent="0.2">
      <c r="A259" s="71">
        <v>1</v>
      </c>
      <c r="B259" s="82" t="s">
        <v>718</v>
      </c>
      <c r="C259" s="83" t="s">
        <v>719</v>
      </c>
      <c r="D259" s="332">
        <v>312000000</v>
      </c>
      <c r="E259" s="187">
        <f>SUM('ADICIONES  2021'!C259:I259)</f>
        <v>0</v>
      </c>
      <c r="F259" s="146"/>
      <c r="G259" s="146"/>
      <c r="H259" s="146"/>
      <c r="I259" s="146"/>
      <c r="J259" s="146"/>
      <c r="K259" s="126">
        <f t="shared" si="467"/>
        <v>312000000</v>
      </c>
      <c r="L259" s="181">
        <f>SUM(L260:L263)</f>
        <v>10264322.32</v>
      </c>
      <c r="M259" s="181">
        <f>SUM(M260:M263)</f>
        <v>35642555.920000002</v>
      </c>
      <c r="N259" s="181">
        <f t="shared" ref="N259:Q259" si="558">SUM(N260:N263)</f>
        <v>28360078.48</v>
      </c>
      <c r="O259" s="181">
        <f>SUM(O260:O263)</f>
        <v>6755244.5200000005</v>
      </c>
      <c r="P259" s="181">
        <f t="shared" si="558"/>
        <v>7448959.5</v>
      </c>
      <c r="Q259" s="181">
        <f t="shared" si="558"/>
        <v>30219662</v>
      </c>
      <c r="R259" s="78">
        <f t="shared" si="473"/>
        <v>118690822.73999999</v>
      </c>
      <c r="S259" s="181">
        <f t="shared" ref="S259:Z259" si="559">SUM(S260:S263)</f>
        <v>7913565.9900000012</v>
      </c>
      <c r="T259" s="146">
        <f t="shared" si="559"/>
        <v>0</v>
      </c>
      <c r="U259" s="146">
        <f t="shared" si="559"/>
        <v>0</v>
      </c>
      <c r="V259" s="146">
        <f t="shared" si="559"/>
        <v>0</v>
      </c>
      <c r="W259" s="146">
        <f t="shared" si="559"/>
        <v>0</v>
      </c>
      <c r="X259" s="146">
        <f t="shared" si="559"/>
        <v>0</v>
      </c>
      <c r="Y259" s="181">
        <f t="shared" si="559"/>
        <v>0</v>
      </c>
      <c r="Z259" s="146">
        <f t="shared" si="559"/>
        <v>0</v>
      </c>
      <c r="AA259" s="78">
        <f t="shared" si="479"/>
        <v>7913565.9900000012</v>
      </c>
      <c r="AB259" s="126">
        <f t="shared" si="474"/>
        <v>126604388.72999999</v>
      </c>
      <c r="AC259" s="180">
        <f t="shared" si="478"/>
        <v>0.40578329721153844</v>
      </c>
    </row>
    <row r="260" spans="1:29" ht="14.25" hidden="1" x14ac:dyDescent="0.2">
      <c r="B260" s="76" t="s">
        <v>720</v>
      </c>
      <c r="C260" s="77" t="s">
        <v>88</v>
      </c>
      <c r="D260" s="331">
        <f>+D259*60%</f>
        <v>187200000</v>
      </c>
      <c r="E260" s="188">
        <f>SUM('ADICIONES  2021'!C260:I260)</f>
        <v>0</v>
      </c>
      <c r="F260" s="218">
        <f t="shared" ref="F260:J260" si="560">+F259*60%</f>
        <v>0</v>
      </c>
      <c r="G260" s="218">
        <f t="shared" si="560"/>
        <v>0</v>
      </c>
      <c r="H260" s="218">
        <f t="shared" si="560"/>
        <v>0</v>
      </c>
      <c r="I260" s="218">
        <f t="shared" si="560"/>
        <v>0</v>
      </c>
      <c r="J260" s="218">
        <f t="shared" si="560"/>
        <v>0</v>
      </c>
      <c r="K260" s="128">
        <f t="shared" si="467"/>
        <v>187200000</v>
      </c>
      <c r="L260" s="218">
        <v>2077856.31</v>
      </c>
      <c r="M260" s="218">
        <v>1491042</v>
      </c>
      <c r="N260" s="218">
        <v>1047245.79</v>
      </c>
      <c r="O260" s="218">
        <v>582478.87</v>
      </c>
      <c r="P260" s="218">
        <v>709083.48</v>
      </c>
      <c r="Q260" s="410">
        <v>382749.47</v>
      </c>
      <c r="R260" s="128">
        <f t="shared" si="473"/>
        <v>6290455.919999999</v>
      </c>
      <c r="S260" s="218">
        <v>327441.65999999997</v>
      </c>
      <c r="T260" s="218"/>
      <c r="U260" s="218"/>
      <c r="V260" s="218"/>
      <c r="W260" s="218"/>
      <c r="X260" s="218"/>
      <c r="Y260" s="218"/>
      <c r="Z260" s="218"/>
      <c r="AA260" s="128">
        <f t="shared" si="479"/>
        <v>327441.65999999997</v>
      </c>
      <c r="AB260" s="128">
        <f t="shared" si="474"/>
        <v>6617897.5799999991</v>
      </c>
      <c r="AC260" s="175">
        <f t="shared" si="478"/>
        <v>3.5352016987179484E-2</v>
      </c>
    </row>
    <row r="261" spans="1:29" ht="14.25" hidden="1" x14ac:dyDescent="0.2">
      <c r="B261" s="76" t="s">
        <v>721</v>
      </c>
      <c r="C261" s="77" t="s">
        <v>89</v>
      </c>
      <c r="D261" s="331">
        <f>+D259*20%</f>
        <v>62400000</v>
      </c>
      <c r="E261" s="188">
        <f>SUM('ADICIONES  2021'!C261:I261)</f>
        <v>0</v>
      </c>
      <c r="F261" s="218">
        <f t="shared" ref="F261:J261" si="561">+F259*20%</f>
        <v>0</v>
      </c>
      <c r="G261" s="218">
        <f t="shared" si="561"/>
        <v>0</v>
      </c>
      <c r="H261" s="218">
        <f t="shared" si="561"/>
        <v>0</v>
      </c>
      <c r="I261" s="218">
        <f t="shared" si="561"/>
        <v>0</v>
      </c>
      <c r="J261" s="218">
        <f t="shared" si="561"/>
        <v>0</v>
      </c>
      <c r="K261" s="128">
        <f t="shared" si="467"/>
        <v>62400000</v>
      </c>
      <c r="L261" s="218">
        <v>1217836.5900000001</v>
      </c>
      <c r="M261" s="218">
        <v>1210966.52</v>
      </c>
      <c r="N261" s="218">
        <v>1283626.69</v>
      </c>
      <c r="O261" s="218">
        <v>870153.76</v>
      </c>
      <c r="P261" s="218">
        <v>1055190.0900000001</v>
      </c>
      <c r="Q261" s="410">
        <v>1200872.24</v>
      </c>
      <c r="R261" s="128">
        <f t="shared" si="473"/>
        <v>6838645.8900000006</v>
      </c>
      <c r="S261" s="218">
        <v>1259980.03</v>
      </c>
      <c r="T261" s="218"/>
      <c r="U261" s="218"/>
      <c r="V261" s="218"/>
      <c r="W261" s="218"/>
      <c r="X261" s="218"/>
      <c r="Y261" s="218"/>
      <c r="Z261" s="218"/>
      <c r="AA261" s="128">
        <f t="shared" si="479"/>
        <v>1259980.03</v>
      </c>
      <c r="AB261" s="128">
        <f t="shared" si="474"/>
        <v>8098625.9200000009</v>
      </c>
      <c r="AC261" s="175">
        <f t="shared" si="478"/>
        <v>0.1297856717948718</v>
      </c>
    </row>
    <row r="262" spans="1:29" ht="28.5" hidden="1" x14ac:dyDescent="0.2">
      <c r="B262" s="76" t="s">
        <v>722</v>
      </c>
      <c r="C262" s="77" t="s">
        <v>90</v>
      </c>
      <c r="D262" s="331">
        <f>+D259*10%</f>
        <v>31200000</v>
      </c>
      <c r="E262" s="188">
        <f>SUM('ADICIONES  2021'!C262:I262)</f>
        <v>0</v>
      </c>
      <c r="F262" s="218">
        <f t="shared" ref="F262:J262" si="562">+F259*10%</f>
        <v>0</v>
      </c>
      <c r="G262" s="218">
        <f t="shared" si="562"/>
        <v>0</v>
      </c>
      <c r="H262" s="218">
        <f t="shared" si="562"/>
        <v>0</v>
      </c>
      <c r="I262" s="218">
        <f t="shared" si="562"/>
        <v>0</v>
      </c>
      <c r="J262" s="218">
        <f t="shared" si="562"/>
        <v>0</v>
      </c>
      <c r="K262" s="128">
        <f t="shared" si="467"/>
        <v>31200000</v>
      </c>
      <c r="L262" s="218">
        <v>5704232.04</v>
      </c>
      <c r="M262" s="218">
        <v>32122807.399999999</v>
      </c>
      <c r="N262" s="218">
        <v>25190800.039999999</v>
      </c>
      <c r="O262" s="218">
        <v>4794907.07</v>
      </c>
      <c r="P262" s="218">
        <v>5166266.3499999996</v>
      </c>
      <c r="Q262" s="410">
        <v>27875825.710000001</v>
      </c>
      <c r="R262" s="128">
        <f t="shared" si="473"/>
        <v>100854838.60999998</v>
      </c>
      <c r="S262" s="218">
        <v>5690848.6900000004</v>
      </c>
      <c r="T262" s="218"/>
      <c r="U262" s="218"/>
      <c r="V262" s="218"/>
      <c r="W262" s="218"/>
      <c r="X262" s="218"/>
      <c r="Y262" s="218"/>
      <c r="Z262" s="218"/>
      <c r="AA262" s="128">
        <f t="shared" si="479"/>
        <v>5690848.6900000004</v>
      </c>
      <c r="AB262" s="128">
        <f t="shared" si="474"/>
        <v>106545687.29999998</v>
      </c>
      <c r="AC262" s="175">
        <f t="shared" si="478"/>
        <v>3.4149258749999993</v>
      </c>
    </row>
    <row r="263" spans="1:29" ht="28.5" hidden="1" x14ac:dyDescent="0.2">
      <c r="B263" s="157" t="s">
        <v>723</v>
      </c>
      <c r="C263" s="154" t="s">
        <v>237</v>
      </c>
      <c r="D263" s="331">
        <f>+D259*10%</f>
        <v>31200000</v>
      </c>
      <c r="E263" s="188">
        <f>SUM('ADICIONES  2021'!C263:I263)</f>
        <v>0</v>
      </c>
      <c r="F263" s="218">
        <f t="shared" ref="F263:J263" si="563">+F259*10%</f>
        <v>0</v>
      </c>
      <c r="G263" s="218">
        <f t="shared" si="563"/>
        <v>0</v>
      </c>
      <c r="H263" s="218">
        <f t="shared" si="563"/>
        <v>0</v>
      </c>
      <c r="I263" s="218">
        <f t="shared" si="563"/>
        <v>0</v>
      </c>
      <c r="J263" s="218">
        <f t="shared" si="563"/>
        <v>0</v>
      </c>
      <c r="K263" s="128">
        <f t="shared" si="467"/>
        <v>31200000</v>
      </c>
      <c r="L263" s="218">
        <v>1264397.3799999999</v>
      </c>
      <c r="M263" s="218">
        <v>817740</v>
      </c>
      <c r="N263" s="218">
        <v>838405.96</v>
      </c>
      <c r="O263" s="218">
        <v>507704.82</v>
      </c>
      <c r="P263" s="218">
        <v>518419.58</v>
      </c>
      <c r="Q263" s="410">
        <v>760214.58</v>
      </c>
      <c r="R263" s="128">
        <f t="shared" si="473"/>
        <v>4706882.3199999994</v>
      </c>
      <c r="S263" s="218">
        <v>635295.61</v>
      </c>
      <c r="T263" s="218"/>
      <c r="U263" s="218"/>
      <c r="V263" s="218"/>
      <c r="W263" s="218"/>
      <c r="X263" s="218"/>
      <c r="Y263" s="218"/>
      <c r="Z263" s="218"/>
      <c r="AA263" s="128">
        <f t="shared" si="479"/>
        <v>635295.61</v>
      </c>
      <c r="AB263" s="128">
        <f t="shared" si="474"/>
        <v>5342177.93</v>
      </c>
      <c r="AC263" s="175">
        <f t="shared" si="478"/>
        <v>0.17122365160256409</v>
      </c>
    </row>
    <row r="264" spans="1:29" s="19" customFormat="1" ht="15.75" x14ac:dyDescent="0.2">
      <c r="A264" s="71">
        <v>1</v>
      </c>
      <c r="B264" s="263" t="s">
        <v>724</v>
      </c>
      <c r="C264" s="261" t="s">
        <v>725</v>
      </c>
      <c r="D264" s="333">
        <v>390000000</v>
      </c>
      <c r="E264" s="187">
        <f>SUM('ADICIONES  2021'!C264:I264)</f>
        <v>0</v>
      </c>
      <c r="F264" s="78"/>
      <c r="G264" s="78"/>
      <c r="H264" s="78"/>
      <c r="I264" s="78"/>
      <c r="J264" s="78"/>
      <c r="K264" s="126">
        <f t="shared" si="467"/>
        <v>390000000</v>
      </c>
      <c r="L264" s="126">
        <v>19478318.98</v>
      </c>
      <c r="M264" s="126">
        <v>15660420.060000001</v>
      </c>
      <c r="N264" s="126">
        <v>19573378.280000001</v>
      </c>
      <c r="O264" s="126">
        <v>21366406.260000002</v>
      </c>
      <c r="P264" s="126">
        <v>23931895.629999999</v>
      </c>
      <c r="Q264" s="126">
        <v>24797073.350000001</v>
      </c>
      <c r="R264" s="78">
        <f t="shared" si="473"/>
        <v>124807492.56</v>
      </c>
      <c r="S264" s="126">
        <v>28057922.300000001</v>
      </c>
      <c r="T264" s="78"/>
      <c r="U264" s="78"/>
      <c r="V264" s="78"/>
      <c r="W264" s="78"/>
      <c r="X264" s="78"/>
      <c r="Y264" s="126"/>
      <c r="Z264" s="78"/>
      <c r="AA264" s="78">
        <f t="shared" si="479"/>
        <v>28057922.300000001</v>
      </c>
      <c r="AB264" s="126">
        <f t="shared" si="474"/>
        <v>152865414.86000001</v>
      </c>
      <c r="AC264" s="180">
        <f t="shared" si="478"/>
        <v>0.39196260220512824</v>
      </c>
    </row>
    <row r="265" spans="1:29" ht="28.5" hidden="1" x14ac:dyDescent="0.2">
      <c r="B265" s="157" t="s">
        <v>726</v>
      </c>
      <c r="C265" s="154" t="s">
        <v>91</v>
      </c>
      <c r="D265" s="331">
        <f>+D264*40%</f>
        <v>156000000</v>
      </c>
      <c r="E265" s="188">
        <f>SUM('ADICIONES  2021'!C265:I265)</f>
        <v>0</v>
      </c>
      <c r="F265" s="218">
        <f t="shared" ref="F265:J265" si="564">+F264*40%</f>
        <v>0</v>
      </c>
      <c r="G265" s="218">
        <f t="shared" si="564"/>
        <v>0</v>
      </c>
      <c r="H265" s="218">
        <f t="shared" si="564"/>
        <v>0</v>
      </c>
      <c r="I265" s="218">
        <f t="shared" si="564"/>
        <v>0</v>
      </c>
      <c r="J265" s="218">
        <f t="shared" si="564"/>
        <v>0</v>
      </c>
      <c r="K265" s="128">
        <f t="shared" si="467"/>
        <v>156000000</v>
      </c>
      <c r="L265" s="218">
        <f t="shared" ref="L265:Q265" si="565">+L264*40%</f>
        <v>7791327.5920000002</v>
      </c>
      <c r="M265" s="218">
        <f t="shared" si="565"/>
        <v>6264168.0240000002</v>
      </c>
      <c r="N265" s="218">
        <f t="shared" si="565"/>
        <v>7829351.3120000008</v>
      </c>
      <c r="O265" s="218">
        <f t="shared" si="565"/>
        <v>8546562.5040000007</v>
      </c>
      <c r="P265" s="218">
        <f t="shared" si="565"/>
        <v>9572758.2520000003</v>
      </c>
      <c r="Q265" s="410">
        <f t="shared" si="565"/>
        <v>9918829.3400000017</v>
      </c>
      <c r="R265" s="128">
        <f t="shared" si="473"/>
        <v>49922997.024000004</v>
      </c>
      <c r="S265" s="218">
        <f t="shared" ref="S265:Z265" si="566">+S264*40%</f>
        <v>11223168.920000002</v>
      </c>
      <c r="T265" s="218">
        <f t="shared" si="566"/>
        <v>0</v>
      </c>
      <c r="U265" s="218">
        <f t="shared" si="566"/>
        <v>0</v>
      </c>
      <c r="V265" s="218">
        <f t="shared" si="566"/>
        <v>0</v>
      </c>
      <c r="W265" s="218">
        <f t="shared" si="566"/>
        <v>0</v>
      </c>
      <c r="X265" s="218">
        <f t="shared" si="566"/>
        <v>0</v>
      </c>
      <c r="Y265" s="218">
        <f t="shared" si="566"/>
        <v>0</v>
      </c>
      <c r="Z265" s="218">
        <f t="shared" si="566"/>
        <v>0</v>
      </c>
      <c r="AA265" s="128">
        <f t="shared" si="479"/>
        <v>11223168.920000002</v>
      </c>
      <c r="AB265" s="128">
        <f t="shared" si="474"/>
        <v>61146165.944000006</v>
      </c>
      <c r="AC265" s="175">
        <f t="shared" si="478"/>
        <v>0.39196260220512824</v>
      </c>
    </row>
    <row r="266" spans="1:29" ht="28.5" hidden="1" x14ac:dyDescent="0.2">
      <c r="B266" s="157" t="s">
        <v>727</v>
      </c>
      <c r="C266" s="154" t="s">
        <v>92</v>
      </c>
      <c r="D266" s="331">
        <f>+D264*20%</f>
        <v>78000000</v>
      </c>
      <c r="E266" s="188">
        <f>SUM('ADICIONES  2021'!C266:I266)</f>
        <v>0</v>
      </c>
      <c r="F266" s="218">
        <f t="shared" ref="F266:J266" si="567">+F264*20%</f>
        <v>0</v>
      </c>
      <c r="G266" s="218">
        <f t="shared" si="567"/>
        <v>0</v>
      </c>
      <c r="H266" s="218">
        <f t="shared" si="567"/>
        <v>0</v>
      </c>
      <c r="I266" s="218">
        <f t="shared" si="567"/>
        <v>0</v>
      </c>
      <c r="J266" s="218">
        <f t="shared" si="567"/>
        <v>0</v>
      </c>
      <c r="K266" s="128">
        <f t="shared" si="467"/>
        <v>78000000</v>
      </c>
      <c r="L266" s="218">
        <f t="shared" ref="L266:Q266" si="568">+L264*20%</f>
        <v>3895663.7960000001</v>
      </c>
      <c r="M266" s="218">
        <f t="shared" si="568"/>
        <v>3132084.0120000001</v>
      </c>
      <c r="N266" s="218">
        <f t="shared" si="568"/>
        <v>3914675.6560000004</v>
      </c>
      <c r="O266" s="218">
        <f t="shared" si="568"/>
        <v>4273281.2520000003</v>
      </c>
      <c r="P266" s="218">
        <f t="shared" si="568"/>
        <v>4786379.1260000002</v>
      </c>
      <c r="Q266" s="410">
        <f t="shared" si="568"/>
        <v>4959414.6700000009</v>
      </c>
      <c r="R266" s="128">
        <f t="shared" si="473"/>
        <v>24961498.512000002</v>
      </c>
      <c r="S266" s="218">
        <f t="shared" ref="S266:Z266" si="569">+S264*20%</f>
        <v>5611584.4600000009</v>
      </c>
      <c r="T266" s="218">
        <f t="shared" si="569"/>
        <v>0</v>
      </c>
      <c r="U266" s="218">
        <f t="shared" si="569"/>
        <v>0</v>
      </c>
      <c r="V266" s="218">
        <f t="shared" si="569"/>
        <v>0</v>
      </c>
      <c r="W266" s="218">
        <f t="shared" si="569"/>
        <v>0</v>
      </c>
      <c r="X266" s="218">
        <f t="shared" si="569"/>
        <v>0</v>
      </c>
      <c r="Y266" s="218">
        <f t="shared" si="569"/>
        <v>0</v>
      </c>
      <c r="Z266" s="218">
        <f t="shared" si="569"/>
        <v>0</v>
      </c>
      <c r="AA266" s="128">
        <f t="shared" si="479"/>
        <v>5611584.4600000009</v>
      </c>
      <c r="AB266" s="128">
        <f t="shared" si="474"/>
        <v>30573082.972000003</v>
      </c>
      <c r="AC266" s="175">
        <f t="shared" si="478"/>
        <v>0.39196260220512824</v>
      </c>
    </row>
    <row r="267" spans="1:29" ht="28.5" hidden="1" x14ac:dyDescent="0.2">
      <c r="B267" s="157" t="s">
        <v>728</v>
      </c>
      <c r="C267" s="154" t="s">
        <v>93</v>
      </c>
      <c r="D267" s="331">
        <f>+D264*20%</f>
        <v>78000000</v>
      </c>
      <c r="E267" s="188">
        <f>SUM('ADICIONES  2021'!C267:I267)</f>
        <v>0</v>
      </c>
      <c r="F267" s="218">
        <f t="shared" ref="F267:J267" si="570">+F264*20%</f>
        <v>0</v>
      </c>
      <c r="G267" s="218">
        <f t="shared" si="570"/>
        <v>0</v>
      </c>
      <c r="H267" s="218">
        <f t="shared" si="570"/>
        <v>0</v>
      </c>
      <c r="I267" s="218">
        <f t="shared" si="570"/>
        <v>0</v>
      </c>
      <c r="J267" s="218">
        <f t="shared" si="570"/>
        <v>0</v>
      </c>
      <c r="K267" s="128">
        <f t="shared" si="467"/>
        <v>78000000</v>
      </c>
      <c r="L267" s="218">
        <f t="shared" ref="L267:Q267" si="571">+L264*20%</f>
        <v>3895663.7960000001</v>
      </c>
      <c r="M267" s="218">
        <f t="shared" si="571"/>
        <v>3132084.0120000001</v>
      </c>
      <c r="N267" s="218">
        <f t="shared" si="571"/>
        <v>3914675.6560000004</v>
      </c>
      <c r="O267" s="218">
        <f t="shared" si="571"/>
        <v>4273281.2520000003</v>
      </c>
      <c r="P267" s="218">
        <f t="shared" si="571"/>
        <v>4786379.1260000002</v>
      </c>
      <c r="Q267" s="410">
        <f t="shared" si="571"/>
        <v>4959414.6700000009</v>
      </c>
      <c r="R267" s="128">
        <f t="shared" si="473"/>
        <v>24961498.512000002</v>
      </c>
      <c r="S267" s="218">
        <f t="shared" ref="S267:Z267" si="572">+S264*20%</f>
        <v>5611584.4600000009</v>
      </c>
      <c r="T267" s="218">
        <f t="shared" si="572"/>
        <v>0</v>
      </c>
      <c r="U267" s="218">
        <f t="shared" si="572"/>
        <v>0</v>
      </c>
      <c r="V267" s="218">
        <f t="shared" si="572"/>
        <v>0</v>
      </c>
      <c r="W267" s="218">
        <f t="shared" si="572"/>
        <v>0</v>
      </c>
      <c r="X267" s="218">
        <f t="shared" si="572"/>
        <v>0</v>
      </c>
      <c r="Y267" s="218">
        <f t="shared" si="572"/>
        <v>0</v>
      </c>
      <c r="Z267" s="218">
        <f t="shared" si="572"/>
        <v>0</v>
      </c>
      <c r="AA267" s="128">
        <f t="shared" si="479"/>
        <v>5611584.4600000009</v>
      </c>
      <c r="AB267" s="128">
        <f t="shared" si="474"/>
        <v>30573082.972000003</v>
      </c>
      <c r="AC267" s="175">
        <f t="shared" si="478"/>
        <v>0.39196260220512824</v>
      </c>
    </row>
    <row r="268" spans="1:29" ht="14.25" hidden="1" x14ac:dyDescent="0.2">
      <c r="B268" s="157" t="s">
        <v>729</v>
      </c>
      <c r="C268" s="154" t="s">
        <v>94</v>
      </c>
      <c r="D268" s="331">
        <f>+D264*20%</f>
        <v>78000000</v>
      </c>
      <c r="E268" s="188">
        <f>SUM('ADICIONES  2021'!C268:I268)</f>
        <v>0</v>
      </c>
      <c r="F268" s="218">
        <f t="shared" ref="F268:J268" si="573">+F264*20%</f>
        <v>0</v>
      </c>
      <c r="G268" s="218">
        <f t="shared" si="573"/>
        <v>0</v>
      </c>
      <c r="H268" s="218">
        <f t="shared" si="573"/>
        <v>0</v>
      </c>
      <c r="I268" s="218">
        <f t="shared" si="573"/>
        <v>0</v>
      </c>
      <c r="J268" s="218">
        <f t="shared" si="573"/>
        <v>0</v>
      </c>
      <c r="K268" s="128">
        <f t="shared" si="467"/>
        <v>78000000</v>
      </c>
      <c r="L268" s="218">
        <f t="shared" ref="L268:Q268" si="574">+L264*20%</f>
        <v>3895663.7960000001</v>
      </c>
      <c r="M268" s="218">
        <f t="shared" si="574"/>
        <v>3132084.0120000001</v>
      </c>
      <c r="N268" s="218">
        <f t="shared" si="574"/>
        <v>3914675.6560000004</v>
      </c>
      <c r="O268" s="218">
        <f t="shared" si="574"/>
        <v>4273281.2520000003</v>
      </c>
      <c r="P268" s="218">
        <f t="shared" si="574"/>
        <v>4786379.1260000002</v>
      </c>
      <c r="Q268" s="410">
        <f t="shared" si="574"/>
        <v>4959414.6700000009</v>
      </c>
      <c r="R268" s="128">
        <f t="shared" si="473"/>
        <v>24961498.512000002</v>
      </c>
      <c r="S268" s="218">
        <f t="shared" ref="S268:Z268" si="575">+S264*20%</f>
        <v>5611584.4600000009</v>
      </c>
      <c r="T268" s="218">
        <f t="shared" si="575"/>
        <v>0</v>
      </c>
      <c r="U268" s="218">
        <f t="shared" si="575"/>
        <v>0</v>
      </c>
      <c r="V268" s="218">
        <f t="shared" si="575"/>
        <v>0</v>
      </c>
      <c r="W268" s="218">
        <f t="shared" si="575"/>
        <v>0</v>
      </c>
      <c r="X268" s="218">
        <f t="shared" si="575"/>
        <v>0</v>
      </c>
      <c r="Y268" s="218">
        <f t="shared" si="575"/>
        <v>0</v>
      </c>
      <c r="Z268" s="218">
        <f t="shared" si="575"/>
        <v>0</v>
      </c>
      <c r="AA268" s="128">
        <f t="shared" si="479"/>
        <v>5611584.4600000009</v>
      </c>
      <c r="AB268" s="128">
        <f t="shared" si="474"/>
        <v>30573082.972000003</v>
      </c>
      <c r="AC268" s="175">
        <f t="shared" si="478"/>
        <v>0.39196260220512824</v>
      </c>
    </row>
    <row r="269" spans="1:29" s="19" customFormat="1" ht="15.75" x14ac:dyDescent="0.2">
      <c r="A269" s="71">
        <v>1</v>
      </c>
      <c r="B269" s="263" t="s">
        <v>730</v>
      </c>
      <c r="C269" s="261" t="s">
        <v>731</v>
      </c>
      <c r="D269" s="332">
        <v>198000000</v>
      </c>
      <c r="E269" s="187">
        <f>SUM('ADICIONES  2021'!C269:I269)</f>
        <v>3756634</v>
      </c>
      <c r="F269" s="146"/>
      <c r="G269" s="146"/>
      <c r="H269" s="146"/>
      <c r="I269" s="146"/>
      <c r="J269" s="146"/>
      <c r="K269" s="126">
        <f t="shared" si="467"/>
        <v>201756634</v>
      </c>
      <c r="L269" s="181">
        <v>18949278.350000001</v>
      </c>
      <c r="M269" s="181">
        <v>19433337.82</v>
      </c>
      <c r="N269" s="181">
        <v>26599366.190000001</v>
      </c>
      <c r="O269" s="181">
        <v>26721655.670000002</v>
      </c>
      <c r="P269" s="181">
        <v>29159986.800000001</v>
      </c>
      <c r="Q269" s="181">
        <v>30065097.59</v>
      </c>
      <c r="R269" s="78">
        <f t="shared" si="473"/>
        <v>150928722.41999999</v>
      </c>
      <c r="S269" s="181">
        <v>30322783.309999999</v>
      </c>
      <c r="T269" s="146"/>
      <c r="U269" s="146"/>
      <c r="V269" s="146"/>
      <c r="W269" s="146"/>
      <c r="X269" s="146"/>
      <c r="Y269" s="181"/>
      <c r="Z269" s="146"/>
      <c r="AA269" s="78">
        <f t="shared" si="479"/>
        <v>30322783.309999999</v>
      </c>
      <c r="AB269" s="126">
        <f t="shared" si="474"/>
        <v>181251505.72999999</v>
      </c>
      <c r="AC269" s="180">
        <f t="shared" si="478"/>
        <v>0.89836701840495614</v>
      </c>
    </row>
    <row r="270" spans="1:29" ht="14.25" hidden="1" x14ac:dyDescent="0.2">
      <c r="B270" s="157" t="s">
        <v>732</v>
      </c>
      <c r="C270" s="154" t="s">
        <v>95</v>
      </c>
      <c r="D270" s="331">
        <f>+D269*80%</f>
        <v>158400000</v>
      </c>
      <c r="E270" s="188">
        <f>SUM('ADICIONES  2021'!C270:I270)</f>
        <v>0</v>
      </c>
      <c r="F270" s="218">
        <f t="shared" ref="F270:J270" si="576">+F269*80%</f>
        <v>0</v>
      </c>
      <c r="G270" s="218">
        <f t="shared" si="576"/>
        <v>0</v>
      </c>
      <c r="H270" s="218">
        <f t="shared" si="576"/>
        <v>0</v>
      </c>
      <c r="I270" s="218">
        <f t="shared" si="576"/>
        <v>0</v>
      </c>
      <c r="J270" s="218">
        <f t="shared" si="576"/>
        <v>0</v>
      </c>
      <c r="K270" s="128">
        <f t="shared" ref="K270:K343" si="577">+D270+E270-F270+G270-H270</f>
        <v>158400000</v>
      </c>
      <c r="L270" s="218">
        <f t="shared" ref="L270:Q270" si="578">+L269*80%</f>
        <v>15159422.680000002</v>
      </c>
      <c r="M270" s="218">
        <f t="shared" si="578"/>
        <v>15546670.256000001</v>
      </c>
      <c r="N270" s="218">
        <f t="shared" si="578"/>
        <v>21279492.952000003</v>
      </c>
      <c r="O270" s="218">
        <f t="shared" si="578"/>
        <v>21377324.536000002</v>
      </c>
      <c r="P270" s="218">
        <f t="shared" si="578"/>
        <v>23327989.440000001</v>
      </c>
      <c r="Q270" s="410">
        <f t="shared" si="578"/>
        <v>24052078.072000001</v>
      </c>
      <c r="R270" s="128">
        <f t="shared" si="473"/>
        <v>120742977.936</v>
      </c>
      <c r="S270" s="218">
        <f t="shared" ref="S270:Z270" si="579">+S269*80%</f>
        <v>24258226.648000002</v>
      </c>
      <c r="T270" s="218">
        <f t="shared" si="579"/>
        <v>0</v>
      </c>
      <c r="U270" s="218">
        <f t="shared" si="579"/>
        <v>0</v>
      </c>
      <c r="V270" s="218">
        <f t="shared" si="579"/>
        <v>0</v>
      </c>
      <c r="W270" s="218">
        <f t="shared" si="579"/>
        <v>0</v>
      </c>
      <c r="X270" s="218">
        <f t="shared" si="579"/>
        <v>0</v>
      </c>
      <c r="Y270" s="218">
        <f t="shared" si="579"/>
        <v>0</v>
      </c>
      <c r="Z270" s="218">
        <f t="shared" si="579"/>
        <v>0</v>
      </c>
      <c r="AA270" s="128">
        <f t="shared" si="479"/>
        <v>24258226.648000002</v>
      </c>
      <c r="AB270" s="128">
        <f t="shared" si="474"/>
        <v>145001204.58399999</v>
      </c>
      <c r="AC270" s="175">
        <v>0</v>
      </c>
    </row>
    <row r="271" spans="1:29" ht="14.25" hidden="1" x14ac:dyDescent="0.2">
      <c r="B271" s="157" t="s">
        <v>732</v>
      </c>
      <c r="C271" s="154" t="s">
        <v>95</v>
      </c>
      <c r="D271" s="331"/>
      <c r="E271" s="188">
        <f>SUM('ADICIONES  2021'!C271:I271)</f>
        <v>3756634</v>
      </c>
      <c r="F271" s="218"/>
      <c r="G271" s="218"/>
      <c r="H271" s="218"/>
      <c r="I271" s="218"/>
      <c r="J271" s="218"/>
      <c r="K271" s="128">
        <f t="shared" si="577"/>
        <v>3756634</v>
      </c>
      <c r="L271" s="218"/>
      <c r="M271" s="218"/>
      <c r="N271" s="218"/>
      <c r="O271" s="218"/>
      <c r="P271" s="218"/>
      <c r="Q271" s="410"/>
      <c r="R271" s="128">
        <f t="shared" si="473"/>
        <v>0</v>
      </c>
      <c r="S271" s="218"/>
      <c r="T271" s="218"/>
      <c r="U271" s="218"/>
      <c r="V271" s="218"/>
      <c r="W271" s="218"/>
      <c r="X271" s="218"/>
      <c r="Y271" s="218"/>
      <c r="Z271" s="218"/>
      <c r="AA271" s="128">
        <f t="shared" si="479"/>
        <v>0</v>
      </c>
      <c r="AB271" s="128">
        <f t="shared" si="474"/>
        <v>0</v>
      </c>
      <c r="AC271" s="175">
        <v>1</v>
      </c>
    </row>
    <row r="272" spans="1:29" ht="28.5" hidden="1" x14ac:dyDescent="0.2">
      <c r="B272" s="157" t="s">
        <v>733</v>
      </c>
      <c r="C272" s="155" t="s">
        <v>96</v>
      </c>
      <c r="D272" s="331">
        <f>+D269*20%</f>
        <v>39600000</v>
      </c>
      <c r="E272" s="188">
        <f>SUM('ADICIONES  2021'!C272:I272)</f>
        <v>0</v>
      </c>
      <c r="F272" s="218">
        <f t="shared" ref="F272:J272" si="580">+F269*20%</f>
        <v>0</v>
      </c>
      <c r="G272" s="218">
        <f t="shared" si="580"/>
        <v>0</v>
      </c>
      <c r="H272" s="218">
        <f t="shared" si="580"/>
        <v>0</v>
      </c>
      <c r="I272" s="218">
        <f t="shared" si="580"/>
        <v>0</v>
      </c>
      <c r="J272" s="218">
        <f t="shared" si="580"/>
        <v>0</v>
      </c>
      <c r="K272" s="128">
        <f t="shared" si="577"/>
        <v>39600000</v>
      </c>
      <c r="L272" s="218">
        <f t="shared" ref="L272:Q272" si="581">+L269*20%</f>
        <v>3789855.6700000004</v>
      </c>
      <c r="M272" s="218">
        <f t="shared" si="581"/>
        <v>3886667.5640000002</v>
      </c>
      <c r="N272" s="218">
        <f t="shared" si="581"/>
        <v>5319873.2380000008</v>
      </c>
      <c r="O272" s="218">
        <f t="shared" si="581"/>
        <v>5344331.1340000005</v>
      </c>
      <c r="P272" s="218">
        <f t="shared" si="581"/>
        <v>5831997.3600000003</v>
      </c>
      <c r="Q272" s="410">
        <f t="shared" si="581"/>
        <v>6013019.5180000002</v>
      </c>
      <c r="R272" s="128">
        <f t="shared" si="473"/>
        <v>30185744.484000001</v>
      </c>
      <c r="S272" s="218">
        <f t="shared" ref="S272:Z272" si="582">+S269*20%</f>
        <v>6064556.6620000005</v>
      </c>
      <c r="T272" s="218">
        <f t="shared" si="582"/>
        <v>0</v>
      </c>
      <c r="U272" s="218">
        <f t="shared" si="582"/>
        <v>0</v>
      </c>
      <c r="V272" s="218">
        <f t="shared" si="582"/>
        <v>0</v>
      </c>
      <c r="W272" s="218">
        <f t="shared" si="582"/>
        <v>0</v>
      </c>
      <c r="X272" s="218">
        <f t="shared" si="582"/>
        <v>0</v>
      </c>
      <c r="Y272" s="218">
        <f t="shared" si="582"/>
        <v>0</v>
      </c>
      <c r="Z272" s="218">
        <f t="shared" si="582"/>
        <v>0</v>
      </c>
      <c r="AA272" s="128">
        <f t="shared" si="479"/>
        <v>6064556.6620000005</v>
      </c>
      <c r="AB272" s="128">
        <f t="shared" si="474"/>
        <v>36250301.145999998</v>
      </c>
      <c r="AC272" s="175">
        <f t="shared" si="478"/>
        <v>0.91541164510101003</v>
      </c>
    </row>
    <row r="273" spans="1:29" s="19" customFormat="1" ht="15.75" x14ac:dyDescent="0.2">
      <c r="A273" s="71">
        <v>1</v>
      </c>
      <c r="B273" s="263" t="s">
        <v>734</v>
      </c>
      <c r="C273" s="264" t="s">
        <v>327</v>
      </c>
      <c r="D273" s="335">
        <v>90000000</v>
      </c>
      <c r="E273" s="187">
        <f>SUM('ADICIONES  2021'!C273:I273)</f>
        <v>0</v>
      </c>
      <c r="F273" s="61"/>
      <c r="G273" s="61"/>
      <c r="H273" s="61"/>
      <c r="I273" s="61"/>
      <c r="J273" s="61"/>
      <c r="K273" s="126">
        <f t="shared" si="577"/>
        <v>90000000</v>
      </c>
      <c r="L273" s="265">
        <v>8014862</v>
      </c>
      <c r="M273" s="265">
        <v>7320801.1399999997</v>
      </c>
      <c r="N273" s="265">
        <v>11439079</v>
      </c>
      <c r="O273" s="265">
        <v>7330527</v>
      </c>
      <c r="P273" s="265">
        <v>8239909</v>
      </c>
      <c r="Q273" s="265">
        <v>6135589</v>
      </c>
      <c r="R273" s="78">
        <f t="shared" ref="R273:R345" si="583">SUM(L273:Q273)</f>
        <v>48480767.140000001</v>
      </c>
      <c r="S273" s="265">
        <v>4105927</v>
      </c>
      <c r="T273" s="61"/>
      <c r="U273" s="61"/>
      <c r="V273" s="61"/>
      <c r="W273" s="61"/>
      <c r="X273" s="61"/>
      <c r="Y273" s="265"/>
      <c r="Z273" s="61"/>
      <c r="AA273" s="78">
        <f t="shared" si="479"/>
        <v>4105927</v>
      </c>
      <c r="AB273" s="126">
        <f t="shared" ref="AB273:AB345" si="584">+R273+AA273</f>
        <v>52586694.140000001</v>
      </c>
      <c r="AC273" s="180">
        <f t="shared" si="478"/>
        <v>0.58429660155555552</v>
      </c>
    </row>
    <row r="274" spans="1:29" ht="14.25" hidden="1" x14ac:dyDescent="0.2">
      <c r="B274" s="157" t="s">
        <v>735</v>
      </c>
      <c r="C274" s="155" t="s">
        <v>327</v>
      </c>
      <c r="D274" s="331">
        <f>+(D273-D275)*75%</f>
        <v>54000000</v>
      </c>
      <c r="E274" s="188">
        <f>SUM('ADICIONES  2021'!C274:I274)</f>
        <v>0</v>
      </c>
      <c r="F274" s="218">
        <f t="shared" ref="F274:J274" si="585">+(F273-F275)*75%</f>
        <v>0</v>
      </c>
      <c r="G274" s="218">
        <f t="shared" si="585"/>
        <v>0</v>
      </c>
      <c r="H274" s="218">
        <f t="shared" si="585"/>
        <v>0</v>
      </c>
      <c r="I274" s="218">
        <f t="shared" si="585"/>
        <v>0</v>
      </c>
      <c r="J274" s="218">
        <f t="shared" si="585"/>
        <v>0</v>
      </c>
      <c r="K274" s="128">
        <f t="shared" si="577"/>
        <v>54000000</v>
      </c>
      <c r="L274" s="218">
        <f t="shared" ref="L274:Q274" si="586">+(L273-L275)*75%</f>
        <v>4808917.1999999993</v>
      </c>
      <c r="M274" s="218">
        <f t="shared" si="586"/>
        <v>4392480.6839999994</v>
      </c>
      <c r="N274" s="218">
        <f t="shared" si="586"/>
        <v>6863447.3999999994</v>
      </c>
      <c r="O274" s="218">
        <f t="shared" si="586"/>
        <v>4398316.1999999993</v>
      </c>
      <c r="P274" s="218">
        <f t="shared" si="586"/>
        <v>4943945.4000000004</v>
      </c>
      <c r="Q274" s="410">
        <f t="shared" si="586"/>
        <v>3681353.4000000004</v>
      </c>
      <c r="R274" s="128">
        <f t="shared" si="583"/>
        <v>29088460.283999994</v>
      </c>
      <c r="S274" s="218">
        <f t="shared" ref="S274:Z274" si="587">+(S273-S275)*75%</f>
        <v>2463556.2000000002</v>
      </c>
      <c r="T274" s="218">
        <f t="shared" si="587"/>
        <v>0</v>
      </c>
      <c r="U274" s="218">
        <f t="shared" si="587"/>
        <v>0</v>
      </c>
      <c r="V274" s="218">
        <f t="shared" si="587"/>
        <v>0</v>
      </c>
      <c r="W274" s="218">
        <f t="shared" si="587"/>
        <v>0</v>
      </c>
      <c r="X274" s="218">
        <f t="shared" si="587"/>
        <v>0</v>
      </c>
      <c r="Y274" s="218">
        <f t="shared" si="587"/>
        <v>0</v>
      </c>
      <c r="Z274" s="218">
        <f t="shared" si="587"/>
        <v>0</v>
      </c>
      <c r="AA274" s="128">
        <f t="shared" si="479"/>
        <v>2463556.2000000002</v>
      </c>
      <c r="AB274" s="128">
        <f t="shared" si="584"/>
        <v>31552016.483999994</v>
      </c>
      <c r="AC274" s="175">
        <f t="shared" si="478"/>
        <v>0.58429660155555541</v>
      </c>
    </row>
    <row r="275" spans="1:29" ht="28.5" hidden="1" x14ac:dyDescent="0.2">
      <c r="B275" s="157" t="s">
        <v>736</v>
      </c>
      <c r="C275" s="154" t="s">
        <v>328</v>
      </c>
      <c r="D275" s="331">
        <f>+D273*20%</f>
        <v>18000000</v>
      </c>
      <c r="E275" s="188">
        <f>SUM('ADICIONES  2021'!C275:I275)</f>
        <v>0</v>
      </c>
      <c r="F275" s="218">
        <f t="shared" ref="F275:J275" si="588">+F273*20%</f>
        <v>0</v>
      </c>
      <c r="G275" s="218">
        <f t="shared" si="588"/>
        <v>0</v>
      </c>
      <c r="H275" s="218">
        <f t="shared" si="588"/>
        <v>0</v>
      </c>
      <c r="I275" s="218">
        <f t="shared" si="588"/>
        <v>0</v>
      </c>
      <c r="J275" s="218">
        <f t="shared" si="588"/>
        <v>0</v>
      </c>
      <c r="K275" s="128">
        <f t="shared" si="577"/>
        <v>18000000</v>
      </c>
      <c r="L275" s="218">
        <f t="shared" ref="L275:Q275" si="589">+L273*20%</f>
        <v>1602972.4000000001</v>
      </c>
      <c r="M275" s="218">
        <f t="shared" si="589"/>
        <v>1464160.2280000001</v>
      </c>
      <c r="N275" s="218">
        <f t="shared" si="589"/>
        <v>2287815.8000000003</v>
      </c>
      <c r="O275" s="218">
        <f t="shared" si="589"/>
        <v>1466105.4000000001</v>
      </c>
      <c r="P275" s="218">
        <f t="shared" si="589"/>
        <v>1647981.8</v>
      </c>
      <c r="Q275" s="410">
        <f t="shared" si="589"/>
        <v>1227117.8</v>
      </c>
      <c r="R275" s="128">
        <f t="shared" si="583"/>
        <v>9696153.4280000031</v>
      </c>
      <c r="S275" s="218">
        <f t="shared" ref="S275:Z275" si="590">+S273*20%</f>
        <v>821185.4</v>
      </c>
      <c r="T275" s="218">
        <f t="shared" si="590"/>
        <v>0</v>
      </c>
      <c r="U275" s="218">
        <f t="shared" si="590"/>
        <v>0</v>
      </c>
      <c r="V275" s="218">
        <f t="shared" si="590"/>
        <v>0</v>
      </c>
      <c r="W275" s="218">
        <f t="shared" si="590"/>
        <v>0</v>
      </c>
      <c r="X275" s="218">
        <f t="shared" si="590"/>
        <v>0</v>
      </c>
      <c r="Y275" s="218">
        <f t="shared" si="590"/>
        <v>0</v>
      </c>
      <c r="Z275" s="218">
        <f t="shared" si="590"/>
        <v>0</v>
      </c>
      <c r="AA275" s="128">
        <f t="shared" si="479"/>
        <v>821185.4</v>
      </c>
      <c r="AB275" s="128">
        <f t="shared" si="584"/>
        <v>10517338.828000003</v>
      </c>
      <c r="AC275" s="175">
        <f t="shared" si="478"/>
        <v>0.58429660155555574</v>
      </c>
    </row>
    <row r="276" spans="1:29" ht="28.5" hidden="1" x14ac:dyDescent="0.2">
      <c r="B276" s="157" t="s">
        <v>737</v>
      </c>
      <c r="C276" s="155" t="s">
        <v>329</v>
      </c>
      <c r="D276" s="331">
        <f>+D273-D274-D275</f>
        <v>18000000</v>
      </c>
      <c r="E276" s="188">
        <f>SUM('ADICIONES  2021'!C276:I276)</f>
        <v>0</v>
      </c>
      <c r="F276" s="218">
        <f t="shared" ref="F276:J276" si="591">+F273-F274-F275</f>
        <v>0</v>
      </c>
      <c r="G276" s="218">
        <f t="shared" si="591"/>
        <v>0</v>
      </c>
      <c r="H276" s="218">
        <f t="shared" si="591"/>
        <v>0</v>
      </c>
      <c r="I276" s="218">
        <f t="shared" si="591"/>
        <v>0</v>
      </c>
      <c r="J276" s="218">
        <f t="shared" si="591"/>
        <v>0</v>
      </c>
      <c r="K276" s="128">
        <f t="shared" si="577"/>
        <v>18000000</v>
      </c>
      <c r="L276" s="218">
        <f t="shared" ref="L276:Q276" si="592">+L273-L274-L275</f>
        <v>1602972.4000000006</v>
      </c>
      <c r="M276" s="218">
        <f t="shared" si="592"/>
        <v>1464160.2280000001</v>
      </c>
      <c r="N276" s="218">
        <f t="shared" si="592"/>
        <v>2287815.8000000003</v>
      </c>
      <c r="O276" s="218">
        <f t="shared" si="592"/>
        <v>1466105.4000000006</v>
      </c>
      <c r="P276" s="218">
        <f t="shared" si="592"/>
        <v>1647981.7999999996</v>
      </c>
      <c r="Q276" s="410">
        <f t="shared" si="592"/>
        <v>1227117.7999999996</v>
      </c>
      <c r="R276" s="128">
        <f t="shared" si="583"/>
        <v>9696153.4279999994</v>
      </c>
      <c r="S276" s="218">
        <f t="shared" ref="S276:Z276" si="593">+S273-S274-S275</f>
        <v>821185.39999999979</v>
      </c>
      <c r="T276" s="218">
        <f t="shared" si="593"/>
        <v>0</v>
      </c>
      <c r="U276" s="218">
        <f t="shared" si="593"/>
        <v>0</v>
      </c>
      <c r="V276" s="218">
        <f t="shared" si="593"/>
        <v>0</v>
      </c>
      <c r="W276" s="218">
        <f t="shared" si="593"/>
        <v>0</v>
      </c>
      <c r="X276" s="218">
        <f t="shared" si="593"/>
        <v>0</v>
      </c>
      <c r="Y276" s="218">
        <f t="shared" si="593"/>
        <v>0</v>
      </c>
      <c r="Z276" s="218">
        <f t="shared" si="593"/>
        <v>0</v>
      </c>
      <c r="AA276" s="128">
        <f t="shared" si="479"/>
        <v>821185.39999999979</v>
      </c>
      <c r="AB276" s="128">
        <f t="shared" si="584"/>
        <v>10517338.828</v>
      </c>
      <c r="AC276" s="175">
        <f t="shared" si="478"/>
        <v>0.58429660155555552</v>
      </c>
    </row>
    <row r="277" spans="1:29" s="19" customFormat="1" ht="15.75" x14ac:dyDescent="0.2">
      <c r="A277" s="71">
        <v>1</v>
      </c>
      <c r="B277" s="263" t="s">
        <v>738</v>
      </c>
      <c r="C277" s="266" t="s">
        <v>739</v>
      </c>
      <c r="D277" s="335">
        <v>188000000</v>
      </c>
      <c r="E277" s="187">
        <f>SUM('ADICIONES  2021'!C277:I277)</f>
        <v>0</v>
      </c>
      <c r="F277" s="61"/>
      <c r="G277" s="61"/>
      <c r="H277" s="61"/>
      <c r="I277" s="61"/>
      <c r="J277" s="61"/>
      <c r="K277" s="126">
        <f t="shared" si="577"/>
        <v>188000000</v>
      </c>
      <c r="L277" s="265">
        <v>4218189</v>
      </c>
      <c r="M277" s="265">
        <v>7024563</v>
      </c>
      <c r="N277" s="265">
        <v>13374526</v>
      </c>
      <c r="O277" s="265">
        <v>7774647</v>
      </c>
      <c r="P277" s="265">
        <v>9513861</v>
      </c>
      <c r="Q277" s="265">
        <v>6784426</v>
      </c>
      <c r="R277" s="78">
        <f t="shared" si="583"/>
        <v>48690212</v>
      </c>
      <c r="S277" s="265">
        <v>5319932</v>
      </c>
      <c r="T277" s="61"/>
      <c r="U277" s="61"/>
      <c r="V277" s="61"/>
      <c r="W277" s="61"/>
      <c r="X277" s="61"/>
      <c r="Y277" s="265"/>
      <c r="Z277" s="61"/>
      <c r="AA277" s="78">
        <f t="shared" si="479"/>
        <v>5319932</v>
      </c>
      <c r="AB277" s="126">
        <f t="shared" si="584"/>
        <v>54010144</v>
      </c>
      <c r="AC277" s="180">
        <f t="shared" si="478"/>
        <v>0.28728799999999999</v>
      </c>
    </row>
    <row r="278" spans="1:29" ht="14.25" hidden="1" x14ac:dyDescent="0.2">
      <c r="B278" s="157" t="s">
        <v>740</v>
      </c>
      <c r="C278" s="155" t="s">
        <v>97</v>
      </c>
      <c r="D278" s="331">
        <f>+D277*75%</f>
        <v>141000000</v>
      </c>
      <c r="E278" s="188">
        <f>SUM('ADICIONES  2021'!C278:I278)</f>
        <v>0</v>
      </c>
      <c r="F278" s="218">
        <f t="shared" ref="F278:J278" si="594">+F277*75%</f>
        <v>0</v>
      </c>
      <c r="G278" s="218">
        <f t="shared" si="594"/>
        <v>0</v>
      </c>
      <c r="H278" s="218">
        <f t="shared" si="594"/>
        <v>0</v>
      </c>
      <c r="I278" s="218">
        <f t="shared" si="594"/>
        <v>0</v>
      </c>
      <c r="J278" s="218">
        <f t="shared" si="594"/>
        <v>0</v>
      </c>
      <c r="K278" s="128">
        <f t="shared" si="577"/>
        <v>141000000</v>
      </c>
      <c r="L278" s="218">
        <f t="shared" ref="L278:Q278" si="595">+L277*75%</f>
        <v>3163641.75</v>
      </c>
      <c r="M278" s="218">
        <f t="shared" si="595"/>
        <v>5268422.25</v>
      </c>
      <c r="N278" s="218">
        <f t="shared" si="595"/>
        <v>10030894.5</v>
      </c>
      <c r="O278" s="218">
        <f t="shared" si="595"/>
        <v>5830985.25</v>
      </c>
      <c r="P278" s="218">
        <f t="shared" si="595"/>
        <v>7135395.75</v>
      </c>
      <c r="Q278" s="410">
        <f t="shared" si="595"/>
        <v>5088319.5</v>
      </c>
      <c r="R278" s="128">
        <f t="shared" si="583"/>
        <v>36517659</v>
      </c>
      <c r="S278" s="218">
        <f t="shared" ref="S278:Z278" si="596">+S277*75%</f>
        <v>3989949</v>
      </c>
      <c r="T278" s="218">
        <f t="shared" si="596"/>
        <v>0</v>
      </c>
      <c r="U278" s="218">
        <f t="shared" si="596"/>
        <v>0</v>
      </c>
      <c r="V278" s="218">
        <f t="shared" si="596"/>
        <v>0</v>
      </c>
      <c r="W278" s="218">
        <f t="shared" si="596"/>
        <v>0</v>
      </c>
      <c r="X278" s="218">
        <f t="shared" si="596"/>
        <v>0</v>
      </c>
      <c r="Y278" s="218">
        <f t="shared" si="596"/>
        <v>0</v>
      </c>
      <c r="Z278" s="218">
        <f t="shared" si="596"/>
        <v>0</v>
      </c>
      <c r="AA278" s="128">
        <f t="shared" ref="AA278:AA567" si="597">SUM(S278:Z278)</f>
        <v>3989949</v>
      </c>
      <c r="AB278" s="128">
        <f t="shared" si="584"/>
        <v>40507608</v>
      </c>
      <c r="AC278" s="175">
        <f t="shared" si="478"/>
        <v>0.28728799999999999</v>
      </c>
    </row>
    <row r="279" spans="1:29" ht="14.25" hidden="1" x14ac:dyDescent="0.2">
      <c r="B279" s="76" t="s">
        <v>741</v>
      </c>
      <c r="C279" s="77" t="s">
        <v>98</v>
      </c>
      <c r="D279" s="331">
        <f>+D277*12%</f>
        <v>22560000</v>
      </c>
      <c r="E279" s="188">
        <f>SUM('ADICIONES  2021'!C279:I279)</f>
        <v>0</v>
      </c>
      <c r="F279" s="218">
        <f t="shared" ref="F279:J279" si="598">+F277*12%</f>
        <v>0</v>
      </c>
      <c r="G279" s="218">
        <f t="shared" si="598"/>
        <v>0</v>
      </c>
      <c r="H279" s="218">
        <f t="shared" si="598"/>
        <v>0</v>
      </c>
      <c r="I279" s="218">
        <f t="shared" si="598"/>
        <v>0</v>
      </c>
      <c r="J279" s="218">
        <f t="shared" si="598"/>
        <v>0</v>
      </c>
      <c r="K279" s="128">
        <f t="shared" si="577"/>
        <v>22560000</v>
      </c>
      <c r="L279" s="218">
        <f t="shared" ref="L279:Q279" si="599">+L277*12%</f>
        <v>506182.68</v>
      </c>
      <c r="M279" s="218">
        <f t="shared" si="599"/>
        <v>842947.55999999994</v>
      </c>
      <c r="N279" s="218">
        <f t="shared" si="599"/>
        <v>1604943.1199999999</v>
      </c>
      <c r="O279" s="218">
        <f t="shared" si="599"/>
        <v>932957.64</v>
      </c>
      <c r="P279" s="218">
        <f t="shared" si="599"/>
        <v>1141663.32</v>
      </c>
      <c r="Q279" s="410">
        <f t="shared" si="599"/>
        <v>814131.12</v>
      </c>
      <c r="R279" s="128">
        <f t="shared" si="583"/>
        <v>5842825.4400000004</v>
      </c>
      <c r="S279" s="218">
        <f t="shared" ref="S279:Z279" si="600">+S277*12%</f>
        <v>638391.84</v>
      </c>
      <c r="T279" s="218">
        <f t="shared" si="600"/>
        <v>0</v>
      </c>
      <c r="U279" s="218">
        <f t="shared" si="600"/>
        <v>0</v>
      </c>
      <c r="V279" s="218">
        <f t="shared" si="600"/>
        <v>0</v>
      </c>
      <c r="W279" s="218">
        <f t="shared" si="600"/>
        <v>0</v>
      </c>
      <c r="X279" s="218">
        <f t="shared" si="600"/>
        <v>0</v>
      </c>
      <c r="Y279" s="218">
        <f t="shared" si="600"/>
        <v>0</v>
      </c>
      <c r="Z279" s="218">
        <f t="shared" si="600"/>
        <v>0</v>
      </c>
      <c r="AA279" s="128">
        <f t="shared" si="597"/>
        <v>638391.84</v>
      </c>
      <c r="AB279" s="128">
        <f t="shared" si="584"/>
        <v>6481217.2800000003</v>
      </c>
      <c r="AC279" s="175">
        <f t="shared" si="478"/>
        <v>0.28728799999999999</v>
      </c>
    </row>
    <row r="280" spans="1:29" ht="14.25" hidden="1" x14ac:dyDescent="0.2">
      <c r="B280" s="76" t="s">
        <v>742</v>
      </c>
      <c r="C280" s="77" t="s">
        <v>99</v>
      </c>
      <c r="D280" s="331">
        <f>+D277*8%</f>
        <v>15040000</v>
      </c>
      <c r="E280" s="188">
        <f>SUM('ADICIONES  2021'!C280:I280)</f>
        <v>0</v>
      </c>
      <c r="F280" s="218">
        <f t="shared" ref="F280:J280" si="601">+F277*8%</f>
        <v>0</v>
      </c>
      <c r="G280" s="218">
        <f t="shared" si="601"/>
        <v>0</v>
      </c>
      <c r="H280" s="218">
        <f t="shared" si="601"/>
        <v>0</v>
      </c>
      <c r="I280" s="218">
        <f t="shared" si="601"/>
        <v>0</v>
      </c>
      <c r="J280" s="218">
        <f t="shared" si="601"/>
        <v>0</v>
      </c>
      <c r="K280" s="128">
        <f t="shared" si="577"/>
        <v>15040000</v>
      </c>
      <c r="L280" s="218">
        <f t="shared" ref="L280:Q280" si="602">+L277*8%</f>
        <v>337455.12</v>
      </c>
      <c r="M280" s="218">
        <f t="shared" si="602"/>
        <v>561965.04</v>
      </c>
      <c r="N280" s="218">
        <f t="shared" si="602"/>
        <v>1069962.08</v>
      </c>
      <c r="O280" s="218">
        <f t="shared" si="602"/>
        <v>621971.76</v>
      </c>
      <c r="P280" s="218">
        <f t="shared" si="602"/>
        <v>761108.88</v>
      </c>
      <c r="Q280" s="410">
        <f t="shared" si="602"/>
        <v>542754.07999999996</v>
      </c>
      <c r="R280" s="128">
        <f t="shared" si="583"/>
        <v>3895216.96</v>
      </c>
      <c r="S280" s="218">
        <f t="shared" ref="S280:Z280" si="603">+S277*8%</f>
        <v>425594.56</v>
      </c>
      <c r="T280" s="218">
        <f t="shared" si="603"/>
        <v>0</v>
      </c>
      <c r="U280" s="218">
        <f t="shared" si="603"/>
        <v>0</v>
      </c>
      <c r="V280" s="218">
        <f t="shared" si="603"/>
        <v>0</v>
      </c>
      <c r="W280" s="218">
        <f t="shared" si="603"/>
        <v>0</v>
      </c>
      <c r="X280" s="218">
        <f t="shared" si="603"/>
        <v>0</v>
      </c>
      <c r="Y280" s="218">
        <f t="shared" si="603"/>
        <v>0</v>
      </c>
      <c r="Z280" s="218">
        <f t="shared" si="603"/>
        <v>0</v>
      </c>
      <c r="AA280" s="128">
        <f t="shared" si="597"/>
        <v>425594.56</v>
      </c>
      <c r="AB280" s="128">
        <f t="shared" si="584"/>
        <v>4320811.5199999996</v>
      </c>
      <c r="AC280" s="175">
        <f t="shared" si="478"/>
        <v>0.28728799999999999</v>
      </c>
    </row>
    <row r="281" spans="1:29" ht="28.5" hidden="1" x14ac:dyDescent="0.2">
      <c r="B281" s="76" t="s">
        <v>743</v>
      </c>
      <c r="C281" s="77" t="s">
        <v>100</v>
      </c>
      <c r="D281" s="331">
        <f>+D277*3%</f>
        <v>5640000</v>
      </c>
      <c r="E281" s="188">
        <f>SUM('ADICIONES  2021'!C281:I281)</f>
        <v>0</v>
      </c>
      <c r="F281" s="218">
        <f t="shared" ref="F281:J281" si="604">+F277*3%</f>
        <v>0</v>
      </c>
      <c r="G281" s="218">
        <f t="shared" si="604"/>
        <v>0</v>
      </c>
      <c r="H281" s="218">
        <f t="shared" si="604"/>
        <v>0</v>
      </c>
      <c r="I281" s="218">
        <f t="shared" si="604"/>
        <v>0</v>
      </c>
      <c r="J281" s="218">
        <f t="shared" si="604"/>
        <v>0</v>
      </c>
      <c r="K281" s="128">
        <f t="shared" si="577"/>
        <v>5640000</v>
      </c>
      <c r="L281" s="218">
        <f t="shared" ref="L281:Q281" si="605">+L277*3%</f>
        <v>126545.67</v>
      </c>
      <c r="M281" s="218">
        <f t="shared" si="605"/>
        <v>210736.88999999998</v>
      </c>
      <c r="N281" s="218">
        <f t="shared" si="605"/>
        <v>401235.77999999997</v>
      </c>
      <c r="O281" s="218">
        <f t="shared" si="605"/>
        <v>233239.41</v>
      </c>
      <c r="P281" s="218">
        <f t="shared" si="605"/>
        <v>285415.83</v>
      </c>
      <c r="Q281" s="410">
        <f t="shared" si="605"/>
        <v>203532.78</v>
      </c>
      <c r="R281" s="128">
        <f t="shared" si="583"/>
        <v>1460706.36</v>
      </c>
      <c r="S281" s="218">
        <f t="shared" ref="S281:Z281" si="606">+S277*3%</f>
        <v>159597.96</v>
      </c>
      <c r="T281" s="218">
        <f t="shared" si="606"/>
        <v>0</v>
      </c>
      <c r="U281" s="218">
        <f t="shared" si="606"/>
        <v>0</v>
      </c>
      <c r="V281" s="218">
        <f t="shared" si="606"/>
        <v>0</v>
      </c>
      <c r="W281" s="218">
        <f t="shared" si="606"/>
        <v>0</v>
      </c>
      <c r="X281" s="218">
        <f t="shared" si="606"/>
        <v>0</v>
      </c>
      <c r="Y281" s="218">
        <f t="shared" si="606"/>
        <v>0</v>
      </c>
      <c r="Z281" s="218">
        <f t="shared" si="606"/>
        <v>0</v>
      </c>
      <c r="AA281" s="128">
        <f t="shared" si="597"/>
        <v>159597.96</v>
      </c>
      <c r="AB281" s="128">
        <f t="shared" si="584"/>
        <v>1620304.32</v>
      </c>
      <c r="AC281" s="175">
        <f t="shared" si="478"/>
        <v>0.28728799999999999</v>
      </c>
    </row>
    <row r="282" spans="1:29" ht="28.5" hidden="1" x14ac:dyDescent="0.2">
      <c r="B282" s="76" t="s">
        <v>744</v>
      </c>
      <c r="C282" s="77" t="s">
        <v>101</v>
      </c>
      <c r="D282" s="331">
        <f>+D277*2%</f>
        <v>3760000</v>
      </c>
      <c r="E282" s="188">
        <f>SUM('ADICIONES  2021'!C282:I282)</f>
        <v>0</v>
      </c>
      <c r="F282" s="218">
        <f t="shared" ref="F282:J282" si="607">+F277*2%</f>
        <v>0</v>
      </c>
      <c r="G282" s="218">
        <f t="shared" si="607"/>
        <v>0</v>
      </c>
      <c r="H282" s="218">
        <f t="shared" si="607"/>
        <v>0</v>
      </c>
      <c r="I282" s="218">
        <f t="shared" si="607"/>
        <v>0</v>
      </c>
      <c r="J282" s="218">
        <f t="shared" si="607"/>
        <v>0</v>
      </c>
      <c r="K282" s="128">
        <f t="shared" si="577"/>
        <v>3760000</v>
      </c>
      <c r="L282" s="218">
        <f t="shared" ref="L282:Q282" si="608">+L277*2%</f>
        <v>84363.78</v>
      </c>
      <c r="M282" s="218">
        <f t="shared" si="608"/>
        <v>140491.26</v>
      </c>
      <c r="N282" s="218">
        <f t="shared" si="608"/>
        <v>267490.52</v>
      </c>
      <c r="O282" s="218">
        <f t="shared" si="608"/>
        <v>155492.94</v>
      </c>
      <c r="P282" s="218">
        <f t="shared" si="608"/>
        <v>190277.22</v>
      </c>
      <c r="Q282" s="410">
        <f t="shared" si="608"/>
        <v>135688.51999999999</v>
      </c>
      <c r="R282" s="128">
        <f t="shared" si="583"/>
        <v>973804.24</v>
      </c>
      <c r="S282" s="218">
        <f t="shared" ref="S282:Z282" si="609">+S277*2%</f>
        <v>106398.64</v>
      </c>
      <c r="T282" s="218">
        <f t="shared" si="609"/>
        <v>0</v>
      </c>
      <c r="U282" s="218">
        <f t="shared" si="609"/>
        <v>0</v>
      </c>
      <c r="V282" s="218">
        <f t="shared" si="609"/>
        <v>0</v>
      </c>
      <c r="W282" s="218">
        <f t="shared" si="609"/>
        <v>0</v>
      </c>
      <c r="X282" s="218">
        <f t="shared" si="609"/>
        <v>0</v>
      </c>
      <c r="Y282" s="218">
        <f t="shared" si="609"/>
        <v>0</v>
      </c>
      <c r="Z282" s="218">
        <f t="shared" si="609"/>
        <v>0</v>
      </c>
      <c r="AA282" s="128">
        <f t="shared" si="597"/>
        <v>106398.64</v>
      </c>
      <c r="AB282" s="128">
        <f t="shared" si="584"/>
        <v>1080202.8799999999</v>
      </c>
      <c r="AC282" s="175">
        <f t="shared" si="478"/>
        <v>0.28728799999999999</v>
      </c>
    </row>
    <row r="283" spans="1:29" s="19" customFormat="1" ht="30" x14ac:dyDescent="0.2">
      <c r="A283" s="71">
        <v>1</v>
      </c>
      <c r="B283" s="82" t="s">
        <v>745</v>
      </c>
      <c r="C283" s="83" t="s">
        <v>746</v>
      </c>
      <c r="D283" s="333">
        <v>125000000</v>
      </c>
      <c r="E283" s="187">
        <f>SUM('ADICIONES  2021'!C283:I283)</f>
        <v>0</v>
      </c>
      <c r="F283" s="78"/>
      <c r="G283" s="78"/>
      <c r="H283" s="78"/>
      <c r="I283" s="78"/>
      <c r="J283" s="78"/>
      <c r="K283" s="126">
        <f t="shared" si="577"/>
        <v>125000000</v>
      </c>
      <c r="L283" s="126">
        <v>429995.61</v>
      </c>
      <c r="M283" s="126">
        <v>1465183.09</v>
      </c>
      <c r="N283" s="126">
        <v>4083618.22</v>
      </c>
      <c r="O283" s="126">
        <v>4173267.68</v>
      </c>
      <c r="P283" s="126">
        <v>4753158.95</v>
      </c>
      <c r="Q283" s="126">
        <v>4644350.3600000003</v>
      </c>
      <c r="R283" s="78">
        <f t="shared" si="583"/>
        <v>19549573.91</v>
      </c>
      <c r="S283" s="126">
        <v>3982974.72</v>
      </c>
      <c r="T283" s="78"/>
      <c r="U283" s="78"/>
      <c r="V283" s="78"/>
      <c r="W283" s="78"/>
      <c r="X283" s="78"/>
      <c r="Y283" s="126"/>
      <c r="Z283" s="78"/>
      <c r="AA283" s="78">
        <f t="shared" si="597"/>
        <v>3982974.72</v>
      </c>
      <c r="AB283" s="126">
        <f t="shared" si="584"/>
        <v>23532548.629999999</v>
      </c>
      <c r="AC283" s="180">
        <f t="shared" si="478"/>
        <v>0.18826038904</v>
      </c>
    </row>
    <row r="284" spans="1:29" ht="28.5" hidden="1" x14ac:dyDescent="0.2">
      <c r="B284" s="76" t="s">
        <v>747</v>
      </c>
      <c r="C284" s="77" t="s">
        <v>102</v>
      </c>
      <c r="D284" s="334">
        <f>+D283</f>
        <v>125000000</v>
      </c>
      <c r="E284" s="188">
        <f>SUM('ADICIONES  2021'!C284:I284)</f>
        <v>0</v>
      </c>
      <c r="F284" s="128">
        <f t="shared" ref="F284:J284" si="610">+F283</f>
        <v>0</v>
      </c>
      <c r="G284" s="128">
        <f t="shared" si="610"/>
        <v>0</v>
      </c>
      <c r="H284" s="128">
        <f t="shared" si="610"/>
        <v>0</v>
      </c>
      <c r="I284" s="128">
        <f t="shared" si="610"/>
        <v>0</v>
      </c>
      <c r="J284" s="128">
        <f t="shared" si="610"/>
        <v>0</v>
      </c>
      <c r="K284" s="128">
        <f t="shared" si="577"/>
        <v>125000000</v>
      </c>
      <c r="L284" s="128">
        <f t="shared" ref="L284:Q284" si="611">+L283</f>
        <v>429995.61</v>
      </c>
      <c r="M284" s="128">
        <f t="shared" si="611"/>
        <v>1465183.09</v>
      </c>
      <c r="N284" s="128">
        <f t="shared" si="611"/>
        <v>4083618.22</v>
      </c>
      <c r="O284" s="128">
        <f t="shared" si="611"/>
        <v>4173267.68</v>
      </c>
      <c r="P284" s="128">
        <f t="shared" si="611"/>
        <v>4753158.95</v>
      </c>
      <c r="Q284" s="413">
        <f t="shared" si="611"/>
        <v>4644350.3600000003</v>
      </c>
      <c r="R284" s="128">
        <f t="shared" si="583"/>
        <v>19549573.91</v>
      </c>
      <c r="S284" s="128">
        <f t="shared" ref="S284:Z284" si="612">+S283</f>
        <v>3982974.72</v>
      </c>
      <c r="T284" s="128">
        <f t="shared" si="612"/>
        <v>0</v>
      </c>
      <c r="U284" s="128">
        <f t="shared" si="612"/>
        <v>0</v>
      </c>
      <c r="V284" s="128">
        <f t="shared" si="612"/>
        <v>0</v>
      </c>
      <c r="W284" s="128">
        <f t="shared" si="612"/>
        <v>0</v>
      </c>
      <c r="X284" s="128">
        <f t="shared" si="612"/>
        <v>0</v>
      </c>
      <c r="Y284" s="128">
        <f t="shared" si="612"/>
        <v>0</v>
      </c>
      <c r="Z284" s="128">
        <f t="shared" si="612"/>
        <v>0</v>
      </c>
      <c r="AA284" s="128">
        <f t="shared" si="597"/>
        <v>3982974.72</v>
      </c>
      <c r="AB284" s="128">
        <f t="shared" si="584"/>
        <v>23532548.629999999</v>
      </c>
      <c r="AC284" s="175">
        <f t="shared" si="478"/>
        <v>0.18826038904</v>
      </c>
    </row>
    <row r="285" spans="1:29" s="19" customFormat="1" ht="15.75" x14ac:dyDescent="0.2">
      <c r="A285" s="71">
        <v>1</v>
      </c>
      <c r="B285" s="82" t="s">
        <v>748</v>
      </c>
      <c r="C285" s="83" t="s">
        <v>749</v>
      </c>
      <c r="D285" s="333">
        <v>0</v>
      </c>
      <c r="E285" s="188">
        <f>SUM('ADICIONES  2021'!C285:I285)</f>
        <v>0</v>
      </c>
      <c r="F285" s="78"/>
      <c r="G285" s="78"/>
      <c r="H285" s="78"/>
      <c r="I285" s="78"/>
      <c r="J285" s="78"/>
      <c r="K285" s="126">
        <f t="shared" si="577"/>
        <v>0</v>
      </c>
      <c r="L285" s="126">
        <v>170430.73</v>
      </c>
      <c r="M285" s="126">
        <v>146639.75</v>
      </c>
      <c r="N285" s="126">
        <v>155552.29999999999</v>
      </c>
      <c r="O285" s="126">
        <v>150229.19</v>
      </c>
      <c r="P285" s="126">
        <v>169600.06</v>
      </c>
      <c r="Q285" s="126">
        <v>186115.83</v>
      </c>
      <c r="R285" s="78">
        <f t="shared" si="583"/>
        <v>978567.86</v>
      </c>
      <c r="S285" s="126">
        <v>191405.25</v>
      </c>
      <c r="T285" s="78"/>
      <c r="U285" s="78"/>
      <c r="V285" s="78"/>
      <c r="W285" s="78"/>
      <c r="X285" s="78"/>
      <c r="Y285" s="126"/>
      <c r="Z285" s="78"/>
      <c r="AA285" s="78">
        <f t="shared" si="597"/>
        <v>191405.25</v>
      </c>
      <c r="AB285" s="126">
        <f t="shared" si="584"/>
        <v>1169973.1099999999</v>
      </c>
      <c r="AC285" s="180">
        <v>0</v>
      </c>
    </row>
    <row r="286" spans="1:29" ht="14.25" hidden="1" x14ac:dyDescent="0.2">
      <c r="B286" s="76" t="s">
        <v>750</v>
      </c>
      <c r="C286" s="77" t="s">
        <v>238</v>
      </c>
      <c r="D286" s="331">
        <f>+D285*80%</f>
        <v>0</v>
      </c>
      <c r="E286" s="188">
        <f>SUM('ADICIONES  2021'!C286:I286)</f>
        <v>0</v>
      </c>
      <c r="F286" s="218">
        <f t="shared" ref="F286:J286" si="613">+F285*80%</f>
        <v>0</v>
      </c>
      <c r="G286" s="218">
        <f t="shared" si="613"/>
        <v>0</v>
      </c>
      <c r="H286" s="218">
        <f t="shared" si="613"/>
        <v>0</v>
      </c>
      <c r="I286" s="218">
        <f t="shared" si="613"/>
        <v>0</v>
      </c>
      <c r="J286" s="218">
        <f t="shared" si="613"/>
        <v>0</v>
      </c>
      <c r="K286" s="128">
        <f t="shared" si="577"/>
        <v>0</v>
      </c>
      <c r="L286" s="218">
        <f t="shared" ref="L286:Q286" si="614">+L285*80%</f>
        <v>136344.584</v>
      </c>
      <c r="M286" s="218">
        <f t="shared" si="614"/>
        <v>117311.8</v>
      </c>
      <c r="N286" s="218">
        <f t="shared" si="614"/>
        <v>124441.84</v>
      </c>
      <c r="O286" s="218">
        <f t="shared" si="614"/>
        <v>120183.35200000001</v>
      </c>
      <c r="P286" s="218">
        <f t="shared" si="614"/>
        <v>135680.04800000001</v>
      </c>
      <c r="Q286" s="410">
        <f t="shared" si="614"/>
        <v>148892.66399999999</v>
      </c>
      <c r="R286" s="128">
        <f t="shared" si="583"/>
        <v>782854.28800000006</v>
      </c>
      <c r="S286" s="218">
        <f t="shared" ref="S286:Z286" si="615">+S285*80%</f>
        <v>153124.20000000001</v>
      </c>
      <c r="T286" s="218">
        <f t="shared" si="615"/>
        <v>0</v>
      </c>
      <c r="U286" s="218">
        <f t="shared" si="615"/>
        <v>0</v>
      </c>
      <c r="V286" s="218">
        <f t="shared" si="615"/>
        <v>0</v>
      </c>
      <c r="W286" s="218">
        <f t="shared" si="615"/>
        <v>0</v>
      </c>
      <c r="X286" s="218">
        <f t="shared" si="615"/>
        <v>0</v>
      </c>
      <c r="Y286" s="218">
        <f t="shared" si="615"/>
        <v>0</v>
      </c>
      <c r="Z286" s="218">
        <f t="shared" si="615"/>
        <v>0</v>
      </c>
      <c r="AA286" s="128">
        <f t="shared" si="597"/>
        <v>153124.20000000001</v>
      </c>
      <c r="AB286" s="128">
        <f t="shared" si="584"/>
        <v>935978.48800000013</v>
      </c>
      <c r="AC286" s="175">
        <v>0</v>
      </c>
    </row>
    <row r="287" spans="1:29" ht="14.25" hidden="1" x14ac:dyDescent="0.2">
      <c r="B287" s="76" t="s">
        <v>751</v>
      </c>
      <c r="C287" s="77" t="s">
        <v>752</v>
      </c>
      <c r="D287" s="331">
        <f>+D285*20%</f>
        <v>0</v>
      </c>
      <c r="E287" s="188">
        <f>SUM('ADICIONES  2021'!C287:I287)</f>
        <v>0</v>
      </c>
      <c r="F287" s="218">
        <f t="shared" ref="F287:J287" si="616">+F285*20%</f>
        <v>0</v>
      </c>
      <c r="G287" s="218">
        <f t="shared" si="616"/>
        <v>0</v>
      </c>
      <c r="H287" s="218">
        <f t="shared" si="616"/>
        <v>0</v>
      </c>
      <c r="I287" s="218">
        <f t="shared" si="616"/>
        <v>0</v>
      </c>
      <c r="J287" s="218">
        <f t="shared" si="616"/>
        <v>0</v>
      </c>
      <c r="K287" s="128">
        <f t="shared" si="577"/>
        <v>0</v>
      </c>
      <c r="L287" s="218">
        <f t="shared" ref="L287:Q287" si="617">+L285*20%</f>
        <v>34086.146000000001</v>
      </c>
      <c r="M287" s="218">
        <f t="shared" si="617"/>
        <v>29327.95</v>
      </c>
      <c r="N287" s="218">
        <f t="shared" si="617"/>
        <v>31110.46</v>
      </c>
      <c r="O287" s="218">
        <f t="shared" si="617"/>
        <v>30045.838000000003</v>
      </c>
      <c r="P287" s="218">
        <f t="shared" si="617"/>
        <v>33920.012000000002</v>
      </c>
      <c r="Q287" s="410">
        <f t="shared" si="617"/>
        <v>37223.165999999997</v>
      </c>
      <c r="R287" s="128">
        <f t="shared" si="583"/>
        <v>195713.57200000001</v>
      </c>
      <c r="S287" s="218">
        <f t="shared" ref="S287:Z287" si="618">+S285*20%</f>
        <v>38281.050000000003</v>
      </c>
      <c r="T287" s="218">
        <f t="shared" si="618"/>
        <v>0</v>
      </c>
      <c r="U287" s="218">
        <f t="shared" si="618"/>
        <v>0</v>
      </c>
      <c r="V287" s="218">
        <f t="shared" si="618"/>
        <v>0</v>
      </c>
      <c r="W287" s="218">
        <f t="shared" si="618"/>
        <v>0</v>
      </c>
      <c r="X287" s="218">
        <f t="shared" si="618"/>
        <v>0</v>
      </c>
      <c r="Y287" s="218">
        <f t="shared" si="618"/>
        <v>0</v>
      </c>
      <c r="Z287" s="218">
        <f t="shared" si="618"/>
        <v>0</v>
      </c>
      <c r="AA287" s="128">
        <f t="shared" si="597"/>
        <v>38281.050000000003</v>
      </c>
      <c r="AB287" s="128">
        <f t="shared" si="584"/>
        <v>233994.62200000003</v>
      </c>
      <c r="AC287" s="175">
        <v>0</v>
      </c>
    </row>
    <row r="288" spans="1:29" x14ac:dyDescent="0.2">
      <c r="A288" s="398">
        <v>1</v>
      </c>
      <c r="B288" s="76" t="s">
        <v>753</v>
      </c>
      <c r="C288" s="77" t="s">
        <v>754</v>
      </c>
      <c r="D288" s="334"/>
      <c r="E288" s="188">
        <f>SUM('ADICIONES  2021'!C288:I288)</f>
        <v>0</v>
      </c>
      <c r="F288" s="128"/>
      <c r="G288" s="128"/>
      <c r="H288" s="128"/>
      <c r="I288" s="128"/>
      <c r="J288" s="128"/>
      <c r="K288" s="128">
        <f t="shared" si="577"/>
        <v>0</v>
      </c>
      <c r="L288" s="128">
        <v>513510</v>
      </c>
      <c r="M288" s="128">
        <v>0</v>
      </c>
      <c r="N288" s="128">
        <v>2289059</v>
      </c>
      <c r="O288" s="128">
        <v>1095373</v>
      </c>
      <c r="P288" s="128">
        <v>884226</v>
      </c>
      <c r="Q288" s="126">
        <v>361589</v>
      </c>
      <c r="R288" s="128">
        <f t="shared" si="583"/>
        <v>5143757</v>
      </c>
      <c r="S288" s="128">
        <v>270430</v>
      </c>
      <c r="T288" s="128"/>
      <c r="U288" s="128"/>
      <c r="V288" s="128"/>
      <c r="W288" s="128"/>
      <c r="X288" s="128"/>
      <c r="Y288" s="128"/>
      <c r="Z288" s="128"/>
      <c r="AA288" s="128">
        <f t="shared" si="597"/>
        <v>270430</v>
      </c>
      <c r="AB288" s="128">
        <f t="shared" si="584"/>
        <v>5414187</v>
      </c>
      <c r="AC288" s="175">
        <v>0</v>
      </c>
    </row>
    <row r="289" spans="1:29" x14ac:dyDescent="0.2">
      <c r="A289" s="398">
        <v>1</v>
      </c>
      <c r="B289" s="76" t="s">
        <v>755</v>
      </c>
      <c r="C289" s="77" t="s">
        <v>239</v>
      </c>
      <c r="D289" s="334"/>
      <c r="E289" s="188">
        <f>SUM('ADICIONES  2021'!C289:I289)</f>
        <v>0</v>
      </c>
      <c r="F289" s="128"/>
      <c r="G289" s="128"/>
      <c r="H289" s="128"/>
      <c r="I289" s="128"/>
      <c r="J289" s="128"/>
      <c r="K289" s="128">
        <f t="shared" si="577"/>
        <v>0</v>
      </c>
      <c r="L289" s="128">
        <v>376462.83</v>
      </c>
      <c r="M289" s="128">
        <v>138248</v>
      </c>
      <c r="N289" s="128">
        <v>136073</v>
      </c>
      <c r="O289" s="128">
        <v>296741.78999999998</v>
      </c>
      <c r="P289" s="128">
        <v>143867</v>
      </c>
      <c r="Q289" s="126">
        <v>187986.36</v>
      </c>
      <c r="R289" s="128">
        <f t="shared" si="583"/>
        <v>1279378.98</v>
      </c>
      <c r="S289" s="128">
        <v>371400.39</v>
      </c>
      <c r="T289" s="128"/>
      <c r="U289" s="128"/>
      <c r="V289" s="128"/>
      <c r="W289" s="128"/>
      <c r="X289" s="128"/>
      <c r="Y289" s="128"/>
      <c r="Z289" s="128"/>
      <c r="AA289" s="128">
        <f t="shared" si="597"/>
        <v>371400.39</v>
      </c>
      <c r="AB289" s="128">
        <f t="shared" si="584"/>
        <v>1650779.37</v>
      </c>
      <c r="AC289" s="175">
        <v>0</v>
      </c>
    </row>
    <row r="290" spans="1:29" ht="28.5" x14ac:dyDescent="0.2">
      <c r="A290" s="398">
        <v>1</v>
      </c>
      <c r="B290" s="76" t="s">
        <v>756</v>
      </c>
      <c r="C290" s="77" t="s">
        <v>757</v>
      </c>
      <c r="D290" s="334"/>
      <c r="E290" s="188">
        <f>SUM('ADICIONES  2021'!C290:I290)</f>
        <v>0</v>
      </c>
      <c r="F290" s="128"/>
      <c r="G290" s="128"/>
      <c r="H290" s="128"/>
      <c r="I290" s="128"/>
      <c r="J290" s="128"/>
      <c r="K290" s="128">
        <f t="shared" si="577"/>
        <v>0</v>
      </c>
      <c r="L290" s="128">
        <v>4625</v>
      </c>
      <c r="M290" s="128">
        <v>1467</v>
      </c>
      <c r="N290" s="128">
        <v>939</v>
      </c>
      <c r="O290" s="128">
        <v>845</v>
      </c>
      <c r="P290" s="128">
        <v>846</v>
      </c>
      <c r="Q290" s="126">
        <v>847</v>
      </c>
      <c r="R290" s="128">
        <f t="shared" si="583"/>
        <v>9569</v>
      </c>
      <c r="S290" s="128">
        <v>848</v>
      </c>
      <c r="T290" s="128"/>
      <c r="U290" s="128"/>
      <c r="V290" s="128"/>
      <c r="W290" s="128"/>
      <c r="X290" s="128"/>
      <c r="Y290" s="128"/>
      <c r="Z290" s="128"/>
      <c r="AA290" s="128">
        <f t="shared" si="597"/>
        <v>848</v>
      </c>
      <c r="AB290" s="128">
        <f t="shared" si="584"/>
        <v>10417</v>
      </c>
      <c r="AC290" s="175">
        <v>0</v>
      </c>
    </row>
    <row r="291" spans="1:29" x14ac:dyDescent="0.2">
      <c r="A291" s="398">
        <v>1</v>
      </c>
      <c r="B291" s="76" t="s">
        <v>758</v>
      </c>
      <c r="C291" s="77" t="s">
        <v>759</v>
      </c>
      <c r="D291" s="334"/>
      <c r="E291" s="188">
        <f>SUM('ADICIONES  2021'!C291:I291)</f>
        <v>0</v>
      </c>
      <c r="F291" s="128"/>
      <c r="G291" s="128"/>
      <c r="H291" s="128"/>
      <c r="I291" s="128"/>
      <c r="J291" s="128"/>
      <c r="K291" s="128">
        <f t="shared" si="577"/>
        <v>0</v>
      </c>
      <c r="L291" s="128">
        <v>1880484</v>
      </c>
      <c r="M291" s="128">
        <v>1796516</v>
      </c>
      <c r="N291" s="128">
        <v>1799116</v>
      </c>
      <c r="O291" s="128">
        <v>1814924</v>
      </c>
      <c r="P291" s="128">
        <v>1833173</v>
      </c>
      <c r="Q291" s="126">
        <v>1852408</v>
      </c>
      <c r="R291" s="128">
        <f t="shared" si="583"/>
        <v>10976621</v>
      </c>
      <c r="S291" s="128">
        <v>1869532</v>
      </c>
      <c r="T291" s="128"/>
      <c r="U291" s="128"/>
      <c r="V291" s="128"/>
      <c r="W291" s="128"/>
      <c r="X291" s="128"/>
      <c r="Y291" s="128"/>
      <c r="Z291" s="128"/>
      <c r="AA291" s="128">
        <f t="shared" si="597"/>
        <v>1869532</v>
      </c>
      <c r="AB291" s="128">
        <f t="shared" si="584"/>
        <v>12846153</v>
      </c>
      <c r="AC291" s="175">
        <v>0</v>
      </c>
    </row>
    <row r="292" spans="1:29" x14ac:dyDescent="0.2">
      <c r="A292" s="398">
        <v>1</v>
      </c>
      <c r="B292" s="76" t="s">
        <v>760</v>
      </c>
      <c r="C292" s="77" t="s">
        <v>761</v>
      </c>
      <c r="D292" s="334"/>
      <c r="E292" s="188">
        <f>SUM('ADICIONES  2021'!C292:I292)</f>
        <v>0</v>
      </c>
      <c r="F292" s="128"/>
      <c r="G292" s="128"/>
      <c r="H292" s="128"/>
      <c r="I292" s="128"/>
      <c r="J292" s="128"/>
      <c r="K292" s="128">
        <f t="shared" si="577"/>
        <v>0</v>
      </c>
      <c r="L292" s="128">
        <v>11953605</v>
      </c>
      <c r="M292" s="128">
        <v>10540464</v>
      </c>
      <c r="N292" s="128">
        <v>11038577</v>
      </c>
      <c r="O292" s="128">
        <v>10858581</v>
      </c>
      <c r="P292" s="128">
        <v>11811306</v>
      </c>
      <c r="Q292" s="126">
        <v>12640593</v>
      </c>
      <c r="R292" s="128">
        <f t="shared" si="583"/>
        <v>68843126</v>
      </c>
      <c r="S292" s="128">
        <v>10130661</v>
      </c>
      <c r="T292" s="128"/>
      <c r="U292" s="128"/>
      <c r="V292" s="128"/>
      <c r="W292" s="128"/>
      <c r="X292" s="128"/>
      <c r="Y292" s="128"/>
      <c r="Z292" s="128"/>
      <c r="AA292" s="128">
        <f t="shared" si="597"/>
        <v>10130661</v>
      </c>
      <c r="AB292" s="128">
        <f t="shared" si="584"/>
        <v>78973787</v>
      </c>
      <c r="AC292" s="175">
        <v>0</v>
      </c>
    </row>
    <row r="293" spans="1:29" x14ac:dyDescent="0.2">
      <c r="A293" s="398">
        <v>1</v>
      </c>
      <c r="B293" s="76" t="s">
        <v>762</v>
      </c>
      <c r="C293" s="77" t="s">
        <v>763</v>
      </c>
      <c r="D293" s="334"/>
      <c r="E293" s="188">
        <f>SUM('ADICIONES  2021'!C293:I293)</f>
        <v>0</v>
      </c>
      <c r="F293" s="128"/>
      <c r="G293" s="128"/>
      <c r="H293" s="128"/>
      <c r="I293" s="128"/>
      <c r="J293" s="128"/>
      <c r="K293" s="128">
        <f t="shared" si="577"/>
        <v>0</v>
      </c>
      <c r="L293" s="128">
        <v>82487</v>
      </c>
      <c r="M293" s="128">
        <v>114936</v>
      </c>
      <c r="N293" s="128">
        <v>19296</v>
      </c>
      <c r="O293" s="128">
        <v>117797</v>
      </c>
      <c r="P293" s="128">
        <v>125259</v>
      </c>
      <c r="Q293" s="126">
        <v>220176</v>
      </c>
      <c r="R293" s="128">
        <f t="shared" si="583"/>
        <v>679951</v>
      </c>
      <c r="S293" s="128">
        <v>376968</v>
      </c>
      <c r="T293" s="128"/>
      <c r="U293" s="128"/>
      <c r="V293" s="128"/>
      <c r="W293" s="128"/>
      <c r="X293" s="128"/>
      <c r="Y293" s="128"/>
      <c r="Z293" s="128"/>
      <c r="AA293" s="128">
        <f t="shared" si="597"/>
        <v>376968</v>
      </c>
      <c r="AB293" s="128">
        <f t="shared" si="584"/>
        <v>1056919</v>
      </c>
      <c r="AC293" s="175">
        <v>0</v>
      </c>
    </row>
    <row r="294" spans="1:29" x14ac:dyDescent="0.2">
      <c r="A294" s="398">
        <v>1</v>
      </c>
      <c r="B294" s="76" t="s">
        <v>764</v>
      </c>
      <c r="C294" s="77" t="s">
        <v>765</v>
      </c>
      <c r="D294" s="334"/>
      <c r="E294" s="188">
        <f>SUM('ADICIONES  2021'!C294:I294)</f>
        <v>0</v>
      </c>
      <c r="F294" s="128"/>
      <c r="G294" s="128"/>
      <c r="H294" s="128"/>
      <c r="I294" s="128"/>
      <c r="J294" s="128"/>
      <c r="K294" s="128">
        <f t="shared" si="577"/>
        <v>0</v>
      </c>
      <c r="L294" s="128">
        <v>403723</v>
      </c>
      <c r="M294" s="128">
        <v>359023</v>
      </c>
      <c r="N294" s="128">
        <v>651768</v>
      </c>
      <c r="O294" s="128">
        <v>625814</v>
      </c>
      <c r="P294" s="128">
        <v>634608</v>
      </c>
      <c r="Q294" s="126">
        <v>782892</v>
      </c>
      <c r="R294" s="128">
        <f t="shared" si="583"/>
        <v>3457828</v>
      </c>
      <c r="S294" s="128">
        <v>532402</v>
      </c>
      <c r="T294" s="128"/>
      <c r="U294" s="128"/>
      <c r="V294" s="128"/>
      <c r="W294" s="128"/>
      <c r="X294" s="128"/>
      <c r="Y294" s="128"/>
      <c r="Z294" s="128"/>
      <c r="AA294" s="128">
        <f t="shared" si="597"/>
        <v>532402</v>
      </c>
      <c r="AB294" s="128">
        <f t="shared" si="584"/>
        <v>3990230</v>
      </c>
      <c r="AC294" s="175">
        <v>0</v>
      </c>
    </row>
    <row r="295" spans="1:29" x14ac:dyDescent="0.2">
      <c r="A295" s="398">
        <v>1</v>
      </c>
      <c r="B295" s="76" t="s">
        <v>766</v>
      </c>
      <c r="C295" s="77" t="s">
        <v>767</v>
      </c>
      <c r="D295" s="334">
        <v>105000000</v>
      </c>
      <c r="E295" s="188">
        <f>SUM('ADICIONES  2021'!C295:I295)</f>
        <v>0</v>
      </c>
      <c r="F295" s="128"/>
      <c r="G295" s="128"/>
      <c r="H295" s="128"/>
      <c r="I295" s="128"/>
      <c r="J295" s="128"/>
      <c r="K295" s="128">
        <f t="shared" si="577"/>
        <v>105000000</v>
      </c>
      <c r="L295" s="128">
        <v>7551521.0800000001</v>
      </c>
      <c r="M295" s="128">
        <v>7643048.7300000004</v>
      </c>
      <c r="N295" s="128">
        <v>7737505.6100000003</v>
      </c>
      <c r="O295" s="128">
        <v>9860214.2799999993</v>
      </c>
      <c r="P295" s="128">
        <v>8940849.2799999993</v>
      </c>
      <c r="Q295" s="126">
        <v>8928842.8200000003</v>
      </c>
      <c r="R295" s="128">
        <f t="shared" si="583"/>
        <v>50661981.800000004</v>
      </c>
      <c r="S295" s="128">
        <v>9711881.8499999996</v>
      </c>
      <c r="T295" s="128"/>
      <c r="U295" s="128"/>
      <c r="V295" s="128"/>
      <c r="W295" s="128"/>
      <c r="X295" s="128"/>
      <c r="Y295" s="128"/>
      <c r="Z295" s="128"/>
      <c r="AA295" s="128">
        <f t="shared" si="597"/>
        <v>9711881.8499999996</v>
      </c>
      <c r="AB295" s="128">
        <f t="shared" si="584"/>
        <v>60373863.650000006</v>
      </c>
      <c r="AC295" s="175">
        <f t="shared" ref="AC295:AC585" si="619">+AB295/K295</f>
        <v>0.57498917761904766</v>
      </c>
    </row>
    <row r="296" spans="1:29" ht="28.5" x14ac:dyDescent="0.2">
      <c r="A296" s="398">
        <v>1</v>
      </c>
      <c r="B296" s="76" t="s">
        <v>768</v>
      </c>
      <c r="C296" s="77" t="s">
        <v>769</v>
      </c>
      <c r="D296" s="334"/>
      <c r="E296" s="188">
        <f>SUM('ADICIONES  2021'!C296:I296)</f>
        <v>0</v>
      </c>
      <c r="F296" s="41"/>
      <c r="G296" s="41"/>
      <c r="H296" s="41"/>
      <c r="I296" s="41"/>
      <c r="J296" s="41"/>
      <c r="K296" s="128">
        <f t="shared" si="577"/>
        <v>0</v>
      </c>
      <c r="L296" s="41">
        <v>25515804.18</v>
      </c>
      <c r="M296" s="41">
        <v>21941618.43</v>
      </c>
      <c r="N296" s="41">
        <v>23479216.600000001</v>
      </c>
      <c r="O296" s="41">
        <v>21639386.52</v>
      </c>
      <c r="P296" s="41">
        <v>23034845.399999999</v>
      </c>
      <c r="Q296" s="181">
        <v>23864084.489999998</v>
      </c>
      <c r="R296" s="128">
        <f t="shared" si="583"/>
        <v>139474955.62</v>
      </c>
      <c r="S296" s="41">
        <v>25122955.34</v>
      </c>
      <c r="T296" s="41"/>
      <c r="U296" s="41"/>
      <c r="V296" s="41"/>
      <c r="W296" s="41"/>
      <c r="X296" s="41"/>
      <c r="Y296" s="41"/>
      <c r="Z296" s="41"/>
      <c r="AA296" s="128">
        <f t="shared" si="597"/>
        <v>25122955.34</v>
      </c>
      <c r="AB296" s="128">
        <f t="shared" si="584"/>
        <v>164597910.96000001</v>
      </c>
      <c r="AC296" s="175">
        <v>0</v>
      </c>
    </row>
    <row r="297" spans="1:29" x14ac:dyDescent="0.2">
      <c r="A297" s="398">
        <v>1</v>
      </c>
      <c r="B297" s="76" t="s">
        <v>770</v>
      </c>
      <c r="C297" s="77" t="s">
        <v>771</v>
      </c>
      <c r="D297" s="334"/>
      <c r="E297" s="188">
        <f>SUM('ADICIONES  2021'!C297:I297)</f>
        <v>0</v>
      </c>
      <c r="F297" s="41"/>
      <c r="G297" s="41"/>
      <c r="H297" s="41"/>
      <c r="I297" s="41"/>
      <c r="J297" s="41"/>
      <c r="K297" s="128">
        <f t="shared" si="577"/>
        <v>0</v>
      </c>
      <c r="L297" s="41">
        <v>1380773.39</v>
      </c>
      <c r="M297" s="41">
        <v>1258288.05</v>
      </c>
      <c r="N297" s="41">
        <v>2008440.14</v>
      </c>
      <c r="O297" s="41">
        <v>2219638</v>
      </c>
      <c r="P297" s="41">
        <v>2511381.12</v>
      </c>
      <c r="Q297" s="181">
        <v>2524962.7599999998</v>
      </c>
      <c r="R297" s="128">
        <f t="shared" si="583"/>
        <v>11903483.459999999</v>
      </c>
      <c r="S297" s="41">
        <v>2722750.97</v>
      </c>
      <c r="T297" s="41"/>
      <c r="U297" s="41"/>
      <c r="V297" s="41"/>
      <c r="W297" s="41"/>
      <c r="X297" s="41"/>
      <c r="Y297" s="41"/>
      <c r="Z297" s="41"/>
      <c r="AA297" s="128">
        <f t="shared" si="597"/>
        <v>2722750.97</v>
      </c>
      <c r="AB297" s="128">
        <f t="shared" si="584"/>
        <v>14626234.43</v>
      </c>
      <c r="AC297" s="175">
        <v>0</v>
      </c>
    </row>
    <row r="298" spans="1:29" x14ac:dyDescent="0.2">
      <c r="A298" s="398">
        <v>1</v>
      </c>
      <c r="B298" s="76" t="s">
        <v>772</v>
      </c>
      <c r="C298" s="77" t="s">
        <v>773</v>
      </c>
      <c r="D298" s="334"/>
      <c r="E298" s="188">
        <f>SUM('ADICIONES  2021'!C298:I298)</f>
        <v>0</v>
      </c>
      <c r="F298" s="128"/>
      <c r="G298" s="128"/>
      <c r="H298" s="128"/>
      <c r="I298" s="128"/>
      <c r="J298" s="128"/>
      <c r="K298" s="128">
        <f t="shared" si="577"/>
        <v>0</v>
      </c>
      <c r="L298" s="128">
        <v>325794.93</v>
      </c>
      <c r="M298" s="128">
        <v>311112.25</v>
      </c>
      <c r="N298" s="128">
        <v>272886.88</v>
      </c>
      <c r="O298" s="128">
        <v>226634.71</v>
      </c>
      <c r="P298" s="128">
        <v>234313.84</v>
      </c>
      <c r="Q298" s="126">
        <v>225489.87</v>
      </c>
      <c r="R298" s="128">
        <f t="shared" si="583"/>
        <v>1596232.48</v>
      </c>
      <c r="S298" s="128">
        <v>233781.09</v>
      </c>
      <c r="T298" s="128"/>
      <c r="U298" s="128"/>
      <c r="V298" s="128"/>
      <c r="W298" s="128"/>
      <c r="X298" s="128"/>
      <c r="Y298" s="128"/>
      <c r="Z298" s="128"/>
      <c r="AA298" s="128">
        <f t="shared" si="597"/>
        <v>233781.09</v>
      </c>
      <c r="AB298" s="128">
        <f t="shared" si="584"/>
        <v>1830013.57</v>
      </c>
      <c r="AC298" s="175">
        <v>0</v>
      </c>
    </row>
    <row r="299" spans="1:29" x14ac:dyDescent="0.2">
      <c r="A299" s="398">
        <v>1</v>
      </c>
      <c r="B299" s="76" t="s">
        <v>774</v>
      </c>
      <c r="C299" s="77" t="s">
        <v>775</v>
      </c>
      <c r="D299" s="334"/>
      <c r="E299" s="188">
        <f>SUM('ADICIONES  2021'!C299:I299)</f>
        <v>0</v>
      </c>
      <c r="F299" s="128"/>
      <c r="G299" s="128"/>
      <c r="H299" s="128"/>
      <c r="I299" s="128"/>
      <c r="J299" s="128"/>
      <c r="K299" s="128">
        <f t="shared" si="577"/>
        <v>0</v>
      </c>
      <c r="L299" s="128">
        <v>273915.24</v>
      </c>
      <c r="M299" s="128">
        <v>127652</v>
      </c>
      <c r="N299" s="128">
        <v>285298.40999999997</v>
      </c>
      <c r="O299" s="128">
        <v>276299.05</v>
      </c>
      <c r="P299" s="128">
        <v>285720.76</v>
      </c>
      <c r="Q299" s="126">
        <v>261230.71</v>
      </c>
      <c r="R299" s="128">
        <f t="shared" si="583"/>
        <v>1510116.17</v>
      </c>
      <c r="S299" s="128">
        <v>286113.34999999998</v>
      </c>
      <c r="T299" s="128"/>
      <c r="U299" s="128"/>
      <c r="V299" s="128"/>
      <c r="W299" s="128"/>
      <c r="X299" s="128"/>
      <c r="Y299" s="128"/>
      <c r="Z299" s="128"/>
      <c r="AA299" s="128">
        <f t="shared" si="597"/>
        <v>286113.34999999998</v>
      </c>
      <c r="AB299" s="128">
        <f t="shared" si="584"/>
        <v>1796229.52</v>
      </c>
      <c r="AC299" s="175">
        <v>0</v>
      </c>
    </row>
    <row r="300" spans="1:29" x14ac:dyDescent="0.2">
      <c r="A300" s="398">
        <v>1</v>
      </c>
      <c r="B300" s="76" t="s">
        <v>776</v>
      </c>
      <c r="C300" s="77" t="s">
        <v>777</v>
      </c>
      <c r="D300" s="334"/>
      <c r="E300" s="188">
        <f>SUM('ADICIONES  2021'!C300:I300)</f>
        <v>0</v>
      </c>
      <c r="F300" s="128"/>
      <c r="G300" s="128"/>
      <c r="H300" s="128"/>
      <c r="I300" s="128"/>
      <c r="J300" s="128"/>
      <c r="K300" s="128">
        <f t="shared" si="577"/>
        <v>0</v>
      </c>
      <c r="L300" s="128">
        <v>140881</v>
      </c>
      <c r="M300" s="128">
        <v>62813</v>
      </c>
      <c r="N300" s="128">
        <v>33292</v>
      </c>
      <c r="O300" s="128">
        <v>29278</v>
      </c>
      <c r="P300" s="128">
        <v>26227</v>
      </c>
      <c r="Q300" s="126">
        <v>24282</v>
      </c>
      <c r="R300" s="128">
        <f t="shared" si="583"/>
        <v>316773</v>
      </c>
      <c r="S300" s="128">
        <v>24118</v>
      </c>
      <c r="T300" s="128"/>
      <c r="U300" s="128"/>
      <c r="V300" s="128"/>
      <c r="W300" s="128"/>
      <c r="X300" s="128"/>
      <c r="Y300" s="128"/>
      <c r="Z300" s="128"/>
      <c r="AA300" s="128">
        <f t="shared" si="597"/>
        <v>24118</v>
      </c>
      <c r="AB300" s="128">
        <f t="shared" si="584"/>
        <v>340891</v>
      </c>
      <c r="AC300" s="175">
        <v>0</v>
      </c>
    </row>
    <row r="301" spans="1:29" x14ac:dyDescent="0.2">
      <c r="A301" s="398">
        <v>1</v>
      </c>
      <c r="B301" s="76" t="s">
        <v>778</v>
      </c>
      <c r="C301" s="77" t="s">
        <v>779</v>
      </c>
      <c r="D301" s="334"/>
      <c r="E301" s="188">
        <f>SUM('ADICIONES  2021'!C301:I301)</f>
        <v>0</v>
      </c>
      <c r="F301" s="41"/>
      <c r="G301" s="41"/>
      <c r="H301" s="41"/>
      <c r="I301" s="41"/>
      <c r="J301" s="41"/>
      <c r="K301" s="128">
        <f t="shared" si="577"/>
        <v>0</v>
      </c>
      <c r="L301" s="41">
        <v>22621270.829999998</v>
      </c>
      <c r="M301" s="41">
        <v>6448772.7000000002</v>
      </c>
      <c r="N301" s="41">
        <v>6652316.3099999996</v>
      </c>
      <c r="O301" s="41">
        <v>6493682.4900000002</v>
      </c>
      <c r="P301" s="41">
        <v>6744436.7199999997</v>
      </c>
      <c r="Q301" s="181">
        <v>7416104.5899999999</v>
      </c>
      <c r="R301" s="128">
        <f t="shared" si="583"/>
        <v>56376583.640000001</v>
      </c>
      <c r="S301" s="41">
        <v>4937261.8600000003</v>
      </c>
      <c r="T301" s="41"/>
      <c r="U301" s="41"/>
      <c r="V301" s="41"/>
      <c r="W301" s="41"/>
      <c r="X301" s="41"/>
      <c r="Y301" s="41"/>
      <c r="Z301" s="41"/>
      <c r="AA301" s="128">
        <f t="shared" si="597"/>
        <v>4937261.8600000003</v>
      </c>
      <c r="AB301" s="128">
        <f t="shared" si="584"/>
        <v>61313845.5</v>
      </c>
      <c r="AC301" s="175">
        <v>0</v>
      </c>
    </row>
    <row r="302" spans="1:29" x14ac:dyDescent="0.2">
      <c r="A302" s="398">
        <v>1</v>
      </c>
      <c r="B302" s="76" t="s">
        <v>780</v>
      </c>
      <c r="C302" s="77" t="s">
        <v>781</v>
      </c>
      <c r="D302" s="334"/>
      <c r="E302" s="188">
        <f>SUM('ADICIONES  2021'!C302:I302)</f>
        <v>0</v>
      </c>
      <c r="F302" s="41"/>
      <c r="G302" s="41"/>
      <c r="H302" s="41"/>
      <c r="I302" s="41"/>
      <c r="J302" s="41"/>
      <c r="K302" s="128">
        <f t="shared" si="577"/>
        <v>0</v>
      </c>
      <c r="L302" s="41">
        <v>113354</v>
      </c>
      <c r="M302" s="41">
        <v>89068</v>
      </c>
      <c r="N302" s="41">
        <v>98023</v>
      </c>
      <c r="O302" s="41">
        <v>94362</v>
      </c>
      <c r="P302" s="41">
        <v>97077</v>
      </c>
      <c r="Q302" s="181">
        <v>175889</v>
      </c>
      <c r="R302" s="128">
        <f t="shared" si="583"/>
        <v>667773</v>
      </c>
      <c r="S302" s="41">
        <v>95309</v>
      </c>
      <c r="T302" s="41"/>
      <c r="U302" s="41"/>
      <c r="V302" s="41"/>
      <c r="W302" s="41"/>
      <c r="X302" s="41"/>
      <c r="Y302" s="41"/>
      <c r="Z302" s="41"/>
      <c r="AA302" s="128">
        <f t="shared" si="597"/>
        <v>95309</v>
      </c>
      <c r="AB302" s="128">
        <f t="shared" si="584"/>
        <v>763082</v>
      </c>
      <c r="AC302" s="175">
        <v>0</v>
      </c>
    </row>
    <row r="303" spans="1:29" ht="28.5" x14ac:dyDescent="0.2">
      <c r="A303" s="398">
        <v>1</v>
      </c>
      <c r="B303" s="76" t="s">
        <v>782</v>
      </c>
      <c r="C303" s="77" t="s">
        <v>783</v>
      </c>
      <c r="D303" s="334"/>
      <c r="E303" s="188">
        <f>SUM('ADICIONES  2021'!C303:I303)</f>
        <v>0</v>
      </c>
      <c r="F303" s="41"/>
      <c r="G303" s="41"/>
      <c r="H303" s="41"/>
      <c r="I303" s="41"/>
      <c r="J303" s="41"/>
      <c r="K303" s="128">
        <f t="shared" si="577"/>
        <v>0</v>
      </c>
      <c r="L303" s="41">
        <v>1771186.28</v>
      </c>
      <c r="M303" s="41">
        <v>1944685.24</v>
      </c>
      <c r="N303" s="41">
        <v>2068896.59</v>
      </c>
      <c r="O303" s="41">
        <v>2494961.9300000002</v>
      </c>
      <c r="P303" s="41">
        <v>3494813.14</v>
      </c>
      <c r="Q303" s="181">
        <v>4352196.04</v>
      </c>
      <c r="R303" s="128">
        <f t="shared" si="583"/>
        <v>16126739.220000003</v>
      </c>
      <c r="S303" s="41">
        <v>5216712.4800000004</v>
      </c>
      <c r="T303" s="41"/>
      <c r="U303" s="41"/>
      <c r="V303" s="41"/>
      <c r="W303" s="41"/>
      <c r="X303" s="41"/>
      <c r="Y303" s="41"/>
      <c r="Z303" s="41"/>
      <c r="AA303" s="128">
        <f t="shared" si="597"/>
        <v>5216712.4800000004</v>
      </c>
      <c r="AB303" s="128">
        <f t="shared" si="584"/>
        <v>21343451.700000003</v>
      </c>
      <c r="AC303" s="175">
        <v>0</v>
      </c>
    </row>
    <row r="304" spans="1:29" x14ac:dyDescent="0.2">
      <c r="A304" s="398">
        <v>1</v>
      </c>
      <c r="B304" s="76" t="s">
        <v>784</v>
      </c>
      <c r="C304" s="77" t="s">
        <v>785</v>
      </c>
      <c r="D304" s="334"/>
      <c r="E304" s="188">
        <f>SUM('ADICIONES  2021'!C304:I304)</f>
        <v>0</v>
      </c>
      <c r="F304" s="128"/>
      <c r="G304" s="128"/>
      <c r="H304" s="128"/>
      <c r="I304" s="128"/>
      <c r="J304" s="128"/>
      <c r="K304" s="128">
        <f t="shared" si="577"/>
        <v>0</v>
      </c>
      <c r="L304" s="128">
        <v>8521014</v>
      </c>
      <c r="M304" s="128">
        <v>5446204</v>
      </c>
      <c r="N304" s="128">
        <v>6539234</v>
      </c>
      <c r="O304" s="128">
        <v>6449821</v>
      </c>
      <c r="P304" s="128">
        <v>6285645</v>
      </c>
      <c r="Q304" s="126">
        <v>3776967</v>
      </c>
      <c r="R304" s="128">
        <f t="shared" si="583"/>
        <v>37018885</v>
      </c>
      <c r="S304" s="128">
        <v>3952027</v>
      </c>
      <c r="T304" s="128"/>
      <c r="U304" s="128"/>
      <c r="V304" s="128"/>
      <c r="W304" s="128"/>
      <c r="X304" s="128"/>
      <c r="Y304" s="128"/>
      <c r="Z304" s="128"/>
      <c r="AA304" s="128">
        <f t="shared" si="597"/>
        <v>3952027</v>
      </c>
      <c r="AB304" s="128">
        <f t="shared" si="584"/>
        <v>40970912</v>
      </c>
      <c r="AC304" s="175">
        <v>0</v>
      </c>
    </row>
    <row r="305" spans="1:29" x14ac:dyDescent="0.2">
      <c r="A305" s="398">
        <v>1</v>
      </c>
      <c r="B305" s="76" t="s">
        <v>786</v>
      </c>
      <c r="C305" s="77" t="s">
        <v>787</v>
      </c>
      <c r="D305" s="334"/>
      <c r="E305" s="188">
        <f>SUM('ADICIONES  2021'!C305:I305)</f>
        <v>0</v>
      </c>
      <c r="F305" s="128"/>
      <c r="G305" s="128"/>
      <c r="H305" s="128"/>
      <c r="I305" s="128"/>
      <c r="J305" s="128"/>
      <c r="K305" s="128">
        <f t="shared" si="577"/>
        <v>0</v>
      </c>
      <c r="L305" s="128">
        <v>28883</v>
      </c>
      <c r="M305" s="128">
        <v>24573</v>
      </c>
      <c r="N305" s="128">
        <v>23826</v>
      </c>
      <c r="O305" s="128">
        <v>23778</v>
      </c>
      <c r="P305" s="128">
        <v>23805</v>
      </c>
      <c r="Q305" s="126">
        <v>23833</v>
      </c>
      <c r="R305" s="128">
        <f t="shared" si="583"/>
        <v>148698</v>
      </c>
      <c r="S305" s="128">
        <v>23860</v>
      </c>
      <c r="T305" s="128"/>
      <c r="U305" s="128"/>
      <c r="V305" s="128"/>
      <c r="W305" s="128"/>
      <c r="X305" s="128"/>
      <c r="Y305" s="128"/>
      <c r="Z305" s="128"/>
      <c r="AA305" s="128">
        <f t="shared" si="597"/>
        <v>23860</v>
      </c>
      <c r="AB305" s="128">
        <f t="shared" si="584"/>
        <v>172558</v>
      </c>
      <c r="AC305" s="175">
        <v>0</v>
      </c>
    </row>
    <row r="306" spans="1:29" x14ac:dyDescent="0.2">
      <c r="A306" s="398">
        <v>1</v>
      </c>
      <c r="B306" s="76" t="s">
        <v>788</v>
      </c>
      <c r="C306" s="77" t="s">
        <v>330</v>
      </c>
      <c r="D306" s="334"/>
      <c r="E306" s="188">
        <f>SUM('ADICIONES  2021'!C306:I306)</f>
        <v>0</v>
      </c>
      <c r="F306" s="41"/>
      <c r="G306" s="41"/>
      <c r="H306" s="41"/>
      <c r="I306" s="41"/>
      <c r="J306" s="41"/>
      <c r="K306" s="128">
        <f t="shared" si="577"/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181">
        <v>0</v>
      </c>
      <c r="R306" s="128">
        <f t="shared" si="583"/>
        <v>0</v>
      </c>
      <c r="S306" s="41">
        <v>0</v>
      </c>
      <c r="T306" s="41"/>
      <c r="U306" s="41"/>
      <c r="V306" s="41"/>
      <c r="W306" s="41"/>
      <c r="X306" s="41"/>
      <c r="Y306" s="41"/>
      <c r="Z306" s="41"/>
      <c r="AA306" s="128">
        <f t="shared" si="597"/>
        <v>0</v>
      </c>
      <c r="AB306" s="128">
        <f t="shared" si="584"/>
        <v>0</v>
      </c>
      <c r="AC306" s="175">
        <v>0</v>
      </c>
    </row>
    <row r="307" spans="1:29" x14ac:dyDescent="0.2">
      <c r="A307" s="398">
        <v>1</v>
      </c>
      <c r="B307" s="76" t="s">
        <v>789</v>
      </c>
      <c r="C307" s="77" t="s">
        <v>331</v>
      </c>
      <c r="D307" s="334"/>
      <c r="E307" s="188">
        <f>SUM('ADICIONES  2021'!C307:I307)</f>
        <v>0</v>
      </c>
      <c r="F307" s="41"/>
      <c r="G307" s="41"/>
      <c r="H307" s="41"/>
      <c r="I307" s="41"/>
      <c r="J307" s="41"/>
      <c r="K307" s="128">
        <f t="shared" si="577"/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181">
        <v>0</v>
      </c>
      <c r="R307" s="128">
        <f t="shared" si="583"/>
        <v>0</v>
      </c>
      <c r="S307" s="41">
        <v>0</v>
      </c>
      <c r="T307" s="41"/>
      <c r="U307" s="41"/>
      <c r="V307" s="41"/>
      <c r="W307" s="41"/>
      <c r="X307" s="41"/>
      <c r="Y307" s="41"/>
      <c r="Z307" s="41"/>
      <c r="AA307" s="128">
        <f t="shared" si="597"/>
        <v>0</v>
      </c>
      <c r="AB307" s="128">
        <f t="shared" si="584"/>
        <v>0</v>
      </c>
      <c r="AC307" s="175">
        <v>0</v>
      </c>
    </row>
    <row r="308" spans="1:29" x14ac:dyDescent="0.2">
      <c r="A308" s="398">
        <v>1</v>
      </c>
      <c r="B308" s="76" t="s">
        <v>790</v>
      </c>
      <c r="C308" s="77" t="s">
        <v>332</v>
      </c>
      <c r="D308" s="334"/>
      <c r="E308" s="188">
        <f>SUM('ADICIONES  2021'!C308:I308)</f>
        <v>0</v>
      </c>
      <c r="F308" s="41"/>
      <c r="G308" s="41"/>
      <c r="H308" s="41"/>
      <c r="I308" s="41"/>
      <c r="J308" s="41"/>
      <c r="K308" s="128">
        <f t="shared" si="577"/>
        <v>0</v>
      </c>
      <c r="L308" s="41">
        <v>46107428</v>
      </c>
      <c r="M308" s="41">
        <v>27986004</v>
      </c>
      <c r="N308" s="41">
        <v>28040546</v>
      </c>
      <c r="O308" s="41">
        <v>27110162</v>
      </c>
      <c r="P308" s="41">
        <v>20345247</v>
      </c>
      <c r="Q308" s="181">
        <v>27382945</v>
      </c>
      <c r="R308" s="128">
        <f t="shared" si="583"/>
        <v>176972332</v>
      </c>
      <c r="S308" s="41">
        <v>42320399</v>
      </c>
      <c r="T308" s="41"/>
      <c r="U308" s="41"/>
      <c r="V308" s="41"/>
      <c r="W308" s="41"/>
      <c r="X308" s="41"/>
      <c r="Y308" s="41"/>
      <c r="Z308" s="41"/>
      <c r="AA308" s="128">
        <f t="shared" si="597"/>
        <v>42320399</v>
      </c>
      <c r="AB308" s="128">
        <f t="shared" si="584"/>
        <v>219292731</v>
      </c>
      <c r="AC308" s="175">
        <v>0</v>
      </c>
    </row>
    <row r="309" spans="1:29" x14ac:dyDescent="0.2">
      <c r="A309" s="398">
        <v>1</v>
      </c>
      <c r="B309" s="76" t="s">
        <v>790</v>
      </c>
      <c r="C309" s="77" t="s">
        <v>332</v>
      </c>
      <c r="D309" s="334"/>
      <c r="E309" s="188">
        <f>SUM('ADICIONES  2021'!C309:I309)</f>
        <v>1863176</v>
      </c>
      <c r="F309" s="41"/>
      <c r="G309" s="41"/>
      <c r="H309" s="41"/>
      <c r="I309" s="41"/>
      <c r="J309" s="41"/>
      <c r="K309" s="128">
        <f t="shared" si="577"/>
        <v>1863176</v>
      </c>
      <c r="L309" s="41"/>
      <c r="M309" s="41"/>
      <c r="N309" s="41"/>
      <c r="O309" s="41">
        <v>0</v>
      </c>
      <c r="P309" s="41">
        <v>0</v>
      </c>
      <c r="Q309" s="181">
        <v>0</v>
      </c>
      <c r="R309" s="128">
        <f t="shared" si="583"/>
        <v>0</v>
      </c>
      <c r="S309" s="41">
        <v>0</v>
      </c>
      <c r="T309" s="41"/>
      <c r="U309" s="41"/>
      <c r="V309" s="41"/>
      <c r="W309" s="41"/>
      <c r="X309" s="41"/>
      <c r="Y309" s="41"/>
      <c r="Z309" s="41"/>
      <c r="AA309" s="128">
        <f t="shared" si="597"/>
        <v>0</v>
      </c>
      <c r="AB309" s="128">
        <f t="shared" si="584"/>
        <v>0</v>
      </c>
      <c r="AC309" s="175">
        <v>1</v>
      </c>
    </row>
    <row r="310" spans="1:29" x14ac:dyDescent="0.2">
      <c r="A310" s="398">
        <v>1</v>
      </c>
      <c r="B310" s="76" t="s">
        <v>791</v>
      </c>
      <c r="C310" s="77" t="s">
        <v>333</v>
      </c>
      <c r="D310" s="334"/>
      <c r="E310" s="188">
        <f>SUM('ADICIONES  2021'!C310:I310)</f>
        <v>0</v>
      </c>
      <c r="F310" s="41"/>
      <c r="G310" s="41"/>
      <c r="H310" s="41"/>
      <c r="I310" s="41"/>
      <c r="J310" s="41"/>
      <c r="K310" s="128">
        <f t="shared" si="577"/>
        <v>0</v>
      </c>
      <c r="L310" s="41">
        <v>399214</v>
      </c>
      <c r="M310" s="41">
        <v>302816</v>
      </c>
      <c r="N310" s="41">
        <v>352834</v>
      </c>
      <c r="O310" s="41">
        <v>383729</v>
      </c>
      <c r="P310" s="41">
        <v>391461</v>
      </c>
      <c r="Q310" s="181">
        <v>147398</v>
      </c>
      <c r="R310" s="128">
        <f t="shared" si="583"/>
        <v>1977452</v>
      </c>
      <c r="S310" s="41">
        <v>147398</v>
      </c>
      <c r="T310" s="41"/>
      <c r="U310" s="41"/>
      <c r="V310" s="41"/>
      <c r="W310" s="41"/>
      <c r="X310" s="41"/>
      <c r="Y310" s="41"/>
      <c r="Z310" s="41"/>
      <c r="AA310" s="128">
        <f t="shared" si="597"/>
        <v>147398</v>
      </c>
      <c r="AB310" s="128">
        <f t="shared" si="584"/>
        <v>2124850</v>
      </c>
      <c r="AC310" s="175">
        <v>0</v>
      </c>
    </row>
    <row r="311" spans="1:29" ht="28.5" x14ac:dyDescent="0.2">
      <c r="A311" s="398">
        <v>1</v>
      </c>
      <c r="B311" s="76" t="s">
        <v>792</v>
      </c>
      <c r="C311" s="77" t="s">
        <v>334</v>
      </c>
      <c r="D311" s="334"/>
      <c r="E311" s="188">
        <f>SUM('ADICIONES  2021'!C311:I311)</f>
        <v>0</v>
      </c>
      <c r="F311" s="41"/>
      <c r="G311" s="41"/>
      <c r="H311" s="41"/>
      <c r="I311" s="41"/>
      <c r="J311" s="41"/>
      <c r="K311" s="128">
        <f t="shared" si="577"/>
        <v>0</v>
      </c>
      <c r="L311" s="41">
        <v>2922013</v>
      </c>
      <c r="M311" s="41">
        <v>1735292</v>
      </c>
      <c r="N311" s="41">
        <v>1876976</v>
      </c>
      <c r="O311" s="41">
        <v>1974655</v>
      </c>
      <c r="P311" s="41">
        <v>2391033</v>
      </c>
      <c r="Q311" s="181">
        <v>3209100</v>
      </c>
      <c r="R311" s="128">
        <f t="shared" si="583"/>
        <v>14109069</v>
      </c>
      <c r="S311" s="41">
        <v>2270734</v>
      </c>
      <c r="T311" s="41"/>
      <c r="U311" s="41"/>
      <c r="V311" s="41"/>
      <c r="W311" s="41"/>
      <c r="X311" s="41"/>
      <c r="Y311" s="41"/>
      <c r="Z311" s="41"/>
      <c r="AA311" s="128">
        <f t="shared" si="597"/>
        <v>2270734</v>
      </c>
      <c r="AB311" s="128">
        <f t="shared" si="584"/>
        <v>16379803</v>
      </c>
      <c r="AC311" s="175">
        <v>0</v>
      </c>
    </row>
    <row r="312" spans="1:29" ht="14.25" hidden="1" x14ac:dyDescent="0.2">
      <c r="B312" s="76" t="s">
        <v>793</v>
      </c>
      <c r="C312" s="77" t="s">
        <v>335</v>
      </c>
      <c r="D312" s="334"/>
      <c r="E312" s="188">
        <f>SUM('ADICIONES  2021'!C312:I312)</f>
        <v>0</v>
      </c>
      <c r="F312" s="41"/>
      <c r="G312" s="41"/>
      <c r="H312" s="41"/>
      <c r="I312" s="41"/>
      <c r="J312" s="41"/>
      <c r="K312" s="128">
        <f t="shared" si="577"/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09">
        <v>0</v>
      </c>
      <c r="R312" s="128">
        <f t="shared" si="583"/>
        <v>0</v>
      </c>
      <c r="S312" s="41">
        <v>0</v>
      </c>
      <c r="T312" s="41"/>
      <c r="U312" s="41"/>
      <c r="V312" s="41"/>
      <c r="W312" s="41"/>
      <c r="X312" s="41"/>
      <c r="Y312" s="41"/>
      <c r="Z312" s="41"/>
      <c r="AA312" s="128">
        <f t="shared" si="597"/>
        <v>0</v>
      </c>
      <c r="AB312" s="128">
        <f t="shared" si="584"/>
        <v>0</v>
      </c>
      <c r="AC312" s="175">
        <v>0</v>
      </c>
    </row>
    <row r="313" spans="1:29" x14ac:dyDescent="0.2">
      <c r="A313" s="398">
        <v>1</v>
      </c>
      <c r="B313" s="76" t="s">
        <v>794</v>
      </c>
      <c r="C313" s="77" t="s">
        <v>336</v>
      </c>
      <c r="D313" s="334"/>
      <c r="E313" s="188">
        <f>SUM('ADICIONES  2021'!C313:I313)</f>
        <v>0</v>
      </c>
      <c r="F313" s="41"/>
      <c r="G313" s="41"/>
      <c r="H313" s="41"/>
      <c r="I313" s="41"/>
      <c r="J313" s="41"/>
      <c r="K313" s="128">
        <f t="shared" si="577"/>
        <v>0</v>
      </c>
      <c r="L313" s="41">
        <v>619150</v>
      </c>
      <c r="M313" s="41">
        <v>504283</v>
      </c>
      <c r="N313" s="41">
        <v>553402</v>
      </c>
      <c r="O313" s="41">
        <v>536697</v>
      </c>
      <c r="P313" s="41">
        <v>568828</v>
      </c>
      <c r="Q313" s="181">
        <v>595194</v>
      </c>
      <c r="R313" s="128">
        <f t="shared" si="583"/>
        <v>3377554</v>
      </c>
      <c r="S313" s="41">
        <v>616320</v>
      </c>
      <c r="T313" s="41"/>
      <c r="U313" s="41"/>
      <c r="V313" s="41"/>
      <c r="W313" s="41"/>
      <c r="X313" s="41"/>
      <c r="Y313" s="41"/>
      <c r="Z313" s="41"/>
      <c r="AA313" s="128">
        <f t="shared" si="597"/>
        <v>616320</v>
      </c>
      <c r="AB313" s="128">
        <f t="shared" si="584"/>
        <v>3993874</v>
      </c>
      <c r="AC313" s="175">
        <v>0</v>
      </c>
    </row>
    <row r="314" spans="1:29" ht="28.5" x14ac:dyDescent="0.2">
      <c r="A314" s="398">
        <v>1</v>
      </c>
      <c r="B314" s="76" t="s">
        <v>795</v>
      </c>
      <c r="C314" s="77" t="s">
        <v>337</v>
      </c>
      <c r="D314" s="334"/>
      <c r="E314" s="188">
        <f>SUM('ADICIONES  2021'!C314:I314)</f>
        <v>0</v>
      </c>
      <c r="F314" s="41"/>
      <c r="G314" s="41"/>
      <c r="H314" s="41"/>
      <c r="I314" s="41"/>
      <c r="J314" s="41"/>
      <c r="K314" s="128">
        <f t="shared" si="577"/>
        <v>0</v>
      </c>
      <c r="L314" s="41">
        <v>69314.44</v>
      </c>
      <c r="M314" s="41">
        <v>58470.99</v>
      </c>
      <c r="N314" s="41">
        <v>61645.57</v>
      </c>
      <c r="O314" s="41">
        <v>16173.2</v>
      </c>
      <c r="P314" s="41">
        <v>530.98</v>
      </c>
      <c r="Q314" s="181">
        <v>484.33</v>
      </c>
      <c r="R314" s="128">
        <f t="shared" si="583"/>
        <v>206619.51</v>
      </c>
      <c r="S314" s="41">
        <v>367.7</v>
      </c>
      <c r="T314" s="41"/>
      <c r="U314" s="41"/>
      <c r="V314" s="41"/>
      <c r="W314" s="41"/>
      <c r="X314" s="41"/>
      <c r="Y314" s="41"/>
      <c r="Z314" s="41"/>
      <c r="AA314" s="128">
        <f t="shared" si="597"/>
        <v>367.7</v>
      </c>
      <c r="AB314" s="128">
        <f t="shared" si="584"/>
        <v>206987.21000000002</v>
      </c>
      <c r="AC314" s="175">
        <v>0</v>
      </c>
    </row>
    <row r="315" spans="1:29" ht="28.5" x14ac:dyDescent="0.2">
      <c r="A315" s="398">
        <v>1</v>
      </c>
      <c r="B315" s="76" t="s">
        <v>796</v>
      </c>
      <c r="C315" s="77" t="s">
        <v>338</v>
      </c>
      <c r="D315" s="334"/>
      <c r="E315" s="188">
        <f>SUM('ADICIONES  2021'!C315:I315)</f>
        <v>0</v>
      </c>
      <c r="F315" s="41"/>
      <c r="G315" s="41"/>
      <c r="H315" s="41"/>
      <c r="I315" s="41"/>
      <c r="J315" s="41"/>
      <c r="K315" s="128">
        <f t="shared" si="577"/>
        <v>0</v>
      </c>
      <c r="L315" s="41">
        <v>18527848.949999999</v>
      </c>
      <c r="M315" s="41">
        <v>16474518.880000001</v>
      </c>
      <c r="N315" s="41">
        <v>9998075.9900000002</v>
      </c>
      <c r="O315" s="41">
        <v>9132826.0299999993</v>
      </c>
      <c r="P315" s="41">
        <v>8435357.9800000004</v>
      </c>
      <c r="Q315" s="181">
        <v>7505162.1900000004</v>
      </c>
      <c r="R315" s="128">
        <f t="shared" si="583"/>
        <v>70073790.019999996</v>
      </c>
      <c r="S315" s="41">
        <v>5854046.3600000003</v>
      </c>
      <c r="T315" s="41"/>
      <c r="U315" s="41"/>
      <c r="V315" s="41"/>
      <c r="W315" s="41"/>
      <c r="X315" s="41"/>
      <c r="Y315" s="41"/>
      <c r="Z315" s="41"/>
      <c r="AA315" s="128">
        <f t="shared" si="597"/>
        <v>5854046.3600000003</v>
      </c>
      <c r="AB315" s="128">
        <f t="shared" si="584"/>
        <v>75927836.379999995</v>
      </c>
      <c r="AC315" s="175">
        <v>0</v>
      </c>
    </row>
    <row r="316" spans="1:29" ht="28.5" x14ac:dyDescent="0.2">
      <c r="A316" s="398">
        <v>1</v>
      </c>
      <c r="B316" s="76" t="s">
        <v>797</v>
      </c>
      <c r="C316" s="77" t="s">
        <v>339</v>
      </c>
      <c r="D316" s="334"/>
      <c r="E316" s="188">
        <f>SUM('ADICIONES  2021'!C316:I316)</f>
        <v>0</v>
      </c>
      <c r="F316" s="41"/>
      <c r="G316" s="41"/>
      <c r="H316" s="41"/>
      <c r="I316" s="41"/>
      <c r="J316" s="41"/>
      <c r="K316" s="128">
        <f t="shared" si="577"/>
        <v>0</v>
      </c>
      <c r="L316" s="41">
        <v>2471972</v>
      </c>
      <c r="M316" s="41">
        <v>507614</v>
      </c>
      <c r="N316" s="41">
        <v>918562</v>
      </c>
      <c r="O316" s="41">
        <v>1006338</v>
      </c>
      <c r="P316" s="41">
        <v>1137943</v>
      </c>
      <c r="Q316" s="181">
        <v>1168273</v>
      </c>
      <c r="R316" s="128">
        <f t="shared" si="583"/>
        <v>7210702</v>
      </c>
      <c r="S316" s="41">
        <v>1322372</v>
      </c>
      <c r="T316" s="41"/>
      <c r="U316" s="41"/>
      <c r="V316" s="41"/>
      <c r="W316" s="41"/>
      <c r="X316" s="41"/>
      <c r="Y316" s="41"/>
      <c r="Z316" s="41"/>
      <c r="AA316" s="128">
        <f t="shared" si="597"/>
        <v>1322372</v>
      </c>
      <c r="AB316" s="128">
        <f t="shared" si="584"/>
        <v>8533074</v>
      </c>
      <c r="AC316" s="175">
        <v>0</v>
      </c>
    </row>
    <row r="317" spans="1:29" ht="28.5" x14ac:dyDescent="0.2">
      <c r="A317" s="398">
        <v>1</v>
      </c>
      <c r="B317" s="76" t="s">
        <v>798</v>
      </c>
      <c r="C317" s="77" t="s">
        <v>340</v>
      </c>
      <c r="D317" s="334"/>
      <c r="E317" s="188">
        <f>SUM('ADICIONES  2021'!C317:I317)</f>
        <v>0</v>
      </c>
      <c r="F317" s="41"/>
      <c r="G317" s="41"/>
      <c r="H317" s="41"/>
      <c r="I317" s="41"/>
      <c r="J317" s="41"/>
      <c r="K317" s="128">
        <f t="shared" si="577"/>
        <v>0</v>
      </c>
      <c r="L317" s="41">
        <v>1105238.1399999999</v>
      </c>
      <c r="M317" s="41">
        <v>998515.22</v>
      </c>
      <c r="N317" s="41">
        <v>1105759.92</v>
      </c>
      <c r="O317" s="41">
        <v>1070351.3799999999</v>
      </c>
      <c r="P317" s="41">
        <v>1106299.6599999999</v>
      </c>
      <c r="Q317" s="181">
        <v>575563.4</v>
      </c>
      <c r="R317" s="128">
        <f t="shared" si="583"/>
        <v>5961727.7200000007</v>
      </c>
      <c r="S317" s="41">
        <v>414987.62</v>
      </c>
      <c r="T317" s="41"/>
      <c r="U317" s="41"/>
      <c r="V317" s="41"/>
      <c r="W317" s="41"/>
      <c r="X317" s="41"/>
      <c r="Y317" s="41"/>
      <c r="Z317" s="41"/>
      <c r="AA317" s="128">
        <f t="shared" si="597"/>
        <v>414987.62</v>
      </c>
      <c r="AB317" s="128">
        <f t="shared" si="584"/>
        <v>6376715.3400000008</v>
      </c>
      <c r="AC317" s="175">
        <v>0</v>
      </c>
    </row>
    <row r="318" spans="1:29" ht="28.5" x14ac:dyDescent="0.2">
      <c r="A318" s="398">
        <v>1</v>
      </c>
      <c r="B318" s="76" t="s">
        <v>799</v>
      </c>
      <c r="C318" s="77" t="s">
        <v>341</v>
      </c>
      <c r="D318" s="334"/>
      <c r="E318" s="188">
        <f>SUM('ADICIONES  2021'!C318:I318)</f>
        <v>0</v>
      </c>
      <c r="F318" s="41"/>
      <c r="G318" s="41"/>
      <c r="H318" s="41"/>
      <c r="I318" s="41"/>
      <c r="J318" s="41"/>
      <c r="K318" s="128">
        <f t="shared" si="577"/>
        <v>0</v>
      </c>
      <c r="L318" s="41">
        <v>9827</v>
      </c>
      <c r="M318" s="41">
        <v>41185</v>
      </c>
      <c r="N318" s="41">
        <v>52676</v>
      </c>
      <c r="O318" s="41">
        <v>67250</v>
      </c>
      <c r="P318" s="41">
        <v>77024</v>
      </c>
      <c r="Q318" s="181">
        <v>116265</v>
      </c>
      <c r="R318" s="128">
        <f t="shared" si="583"/>
        <v>364227</v>
      </c>
      <c r="S318" s="41">
        <v>63236</v>
      </c>
      <c r="T318" s="41"/>
      <c r="U318" s="41"/>
      <c r="V318" s="41"/>
      <c r="W318" s="41"/>
      <c r="X318" s="41"/>
      <c r="Y318" s="41"/>
      <c r="Z318" s="41"/>
      <c r="AA318" s="128">
        <f t="shared" si="597"/>
        <v>63236</v>
      </c>
      <c r="AB318" s="128">
        <f t="shared" si="584"/>
        <v>427463</v>
      </c>
      <c r="AC318" s="175">
        <v>0</v>
      </c>
    </row>
    <row r="319" spans="1:29" ht="42.75" x14ac:dyDescent="0.2">
      <c r="A319" s="398">
        <v>1</v>
      </c>
      <c r="B319" s="76" t="s">
        <v>800</v>
      </c>
      <c r="C319" s="77" t="s">
        <v>801</v>
      </c>
      <c r="D319" s="334">
        <v>85000000</v>
      </c>
      <c r="E319" s="188">
        <f>SUM('ADICIONES  2021'!C319:I319)</f>
        <v>0</v>
      </c>
      <c r="F319" s="41"/>
      <c r="G319" s="41"/>
      <c r="H319" s="41"/>
      <c r="I319" s="41"/>
      <c r="J319" s="41"/>
      <c r="K319" s="128">
        <f t="shared" si="577"/>
        <v>85000000</v>
      </c>
      <c r="L319" s="41">
        <v>1933865.05</v>
      </c>
      <c r="M319" s="41">
        <v>26427.13</v>
      </c>
      <c r="N319" s="41">
        <v>4197492.51</v>
      </c>
      <c r="O319" s="41">
        <v>2173098.23</v>
      </c>
      <c r="P319" s="41">
        <v>2041414.77</v>
      </c>
      <c r="Q319" s="181">
        <v>2140121.02</v>
      </c>
      <c r="R319" s="128">
        <f t="shared" si="583"/>
        <v>12512418.709999999</v>
      </c>
      <c r="S319" s="41">
        <v>1857851.32</v>
      </c>
      <c r="T319" s="41"/>
      <c r="U319" s="41"/>
      <c r="V319" s="41"/>
      <c r="W319" s="41"/>
      <c r="X319" s="41"/>
      <c r="Y319" s="41"/>
      <c r="Z319" s="41"/>
      <c r="AA319" s="128">
        <f t="shared" si="597"/>
        <v>1857851.32</v>
      </c>
      <c r="AB319" s="128">
        <f t="shared" si="584"/>
        <v>14370270.029999999</v>
      </c>
      <c r="AC319" s="175">
        <f t="shared" si="619"/>
        <v>0.16906200035294117</v>
      </c>
    </row>
    <row r="320" spans="1:29" ht="28.5" x14ac:dyDescent="0.2">
      <c r="A320" s="398">
        <v>1</v>
      </c>
      <c r="B320" s="76" t="s">
        <v>802</v>
      </c>
      <c r="C320" s="77" t="s">
        <v>803</v>
      </c>
      <c r="D320" s="334"/>
      <c r="E320" s="188">
        <f>SUM('ADICIONES  2021'!C320:I320)</f>
        <v>0</v>
      </c>
      <c r="F320" s="41"/>
      <c r="G320" s="41"/>
      <c r="H320" s="41"/>
      <c r="I320" s="41"/>
      <c r="J320" s="41"/>
      <c r="K320" s="128">
        <f t="shared" si="577"/>
        <v>0</v>
      </c>
      <c r="L320" s="41">
        <v>103920.67</v>
      </c>
      <c r="M320" s="41">
        <v>78649.3</v>
      </c>
      <c r="N320" s="41">
        <v>122766.32</v>
      </c>
      <c r="O320" s="41">
        <v>139478.44</v>
      </c>
      <c r="P320" s="41">
        <v>177283.32</v>
      </c>
      <c r="Q320" s="181">
        <v>115156.74</v>
      </c>
      <c r="R320" s="128">
        <f t="shared" si="583"/>
        <v>737254.79</v>
      </c>
      <c r="S320" s="41">
        <v>86136.69</v>
      </c>
      <c r="T320" s="41"/>
      <c r="U320" s="41"/>
      <c r="V320" s="41"/>
      <c r="W320" s="41"/>
      <c r="X320" s="41"/>
      <c r="Y320" s="41"/>
      <c r="Z320" s="41"/>
      <c r="AA320" s="128">
        <f t="shared" si="597"/>
        <v>86136.69</v>
      </c>
      <c r="AB320" s="128">
        <f t="shared" si="584"/>
        <v>823391.48</v>
      </c>
      <c r="AC320" s="175">
        <v>0</v>
      </c>
    </row>
    <row r="321" spans="1:29" ht="42.75" x14ac:dyDescent="0.2">
      <c r="A321" s="398">
        <v>1</v>
      </c>
      <c r="B321" s="76" t="s">
        <v>804</v>
      </c>
      <c r="C321" s="77" t="s">
        <v>805</v>
      </c>
      <c r="D321" s="334"/>
      <c r="E321" s="188">
        <f>SUM('ADICIONES  2021'!C321:I321)</f>
        <v>0</v>
      </c>
      <c r="F321" s="41"/>
      <c r="G321" s="41"/>
      <c r="H321" s="41"/>
      <c r="I321" s="41"/>
      <c r="J321" s="41"/>
      <c r="K321" s="128">
        <f t="shared" si="577"/>
        <v>0</v>
      </c>
      <c r="L321" s="41">
        <v>409584.4</v>
      </c>
      <c r="M321" s="41">
        <v>566719.72</v>
      </c>
      <c r="N321" s="41">
        <v>627586.35</v>
      </c>
      <c r="O321" s="41">
        <v>575303</v>
      </c>
      <c r="P321" s="41">
        <v>561362.76</v>
      </c>
      <c r="Q321" s="181">
        <v>292054.53999999998</v>
      </c>
      <c r="R321" s="128">
        <f t="shared" si="583"/>
        <v>3032610.7699999996</v>
      </c>
      <c r="S321" s="41">
        <v>210574.51</v>
      </c>
      <c r="T321" s="41"/>
      <c r="U321" s="41"/>
      <c r="V321" s="41"/>
      <c r="W321" s="41"/>
      <c r="X321" s="41"/>
      <c r="Y321" s="41"/>
      <c r="Z321" s="41"/>
      <c r="AA321" s="128">
        <f t="shared" si="597"/>
        <v>210574.51</v>
      </c>
      <c r="AB321" s="128">
        <f t="shared" si="584"/>
        <v>3243185.2799999993</v>
      </c>
      <c r="AC321" s="175">
        <v>0</v>
      </c>
    </row>
    <row r="322" spans="1:29" ht="42.75" hidden="1" x14ac:dyDescent="0.2">
      <c r="B322" s="76" t="s">
        <v>806</v>
      </c>
      <c r="C322" s="77" t="s">
        <v>807</v>
      </c>
      <c r="D322" s="334"/>
      <c r="E322" s="188">
        <f>SUM('ADICIONES  2021'!C322:I322)</f>
        <v>0</v>
      </c>
      <c r="F322" s="41"/>
      <c r="G322" s="41"/>
      <c r="H322" s="41"/>
      <c r="I322" s="41"/>
      <c r="J322" s="41"/>
      <c r="K322" s="128">
        <f t="shared" si="577"/>
        <v>0</v>
      </c>
      <c r="L322" s="41">
        <v>0</v>
      </c>
      <c r="M322" s="41">
        <v>0</v>
      </c>
      <c r="N322" s="41">
        <v>0</v>
      </c>
      <c r="O322" s="41">
        <v>0</v>
      </c>
      <c r="P322" s="41">
        <v>0</v>
      </c>
      <c r="Q322" s="409">
        <v>0</v>
      </c>
      <c r="R322" s="128">
        <f t="shared" si="583"/>
        <v>0</v>
      </c>
      <c r="S322" s="41">
        <v>0</v>
      </c>
      <c r="T322" s="41"/>
      <c r="U322" s="41"/>
      <c r="V322" s="41"/>
      <c r="W322" s="41"/>
      <c r="X322" s="41"/>
      <c r="Y322" s="41"/>
      <c r="Z322" s="41"/>
      <c r="AA322" s="128">
        <f t="shared" si="597"/>
        <v>0</v>
      </c>
      <c r="AB322" s="128">
        <f t="shared" si="584"/>
        <v>0</v>
      </c>
      <c r="AC322" s="175" t="e">
        <f t="shared" si="619"/>
        <v>#DIV/0!</v>
      </c>
    </row>
    <row r="323" spans="1:29" x14ac:dyDescent="0.2">
      <c r="A323" s="398">
        <v>1</v>
      </c>
      <c r="B323" s="76" t="s">
        <v>808</v>
      </c>
      <c r="C323" s="77" t="s">
        <v>342</v>
      </c>
      <c r="D323" s="334"/>
      <c r="E323" s="188">
        <f>SUM('ADICIONES  2021'!C323:I323)</f>
        <v>0</v>
      </c>
      <c r="F323" s="41"/>
      <c r="G323" s="41"/>
      <c r="H323" s="41"/>
      <c r="I323" s="41"/>
      <c r="J323" s="41"/>
      <c r="K323" s="128">
        <f t="shared" si="577"/>
        <v>0</v>
      </c>
      <c r="L323" s="41">
        <v>9388681</v>
      </c>
      <c r="M323" s="41">
        <v>7332271</v>
      </c>
      <c r="N323" s="41">
        <v>11119937</v>
      </c>
      <c r="O323" s="41">
        <v>11513972</v>
      </c>
      <c r="P323" s="41">
        <v>12148271</v>
      </c>
      <c r="Q323" s="181">
        <v>14539171</v>
      </c>
      <c r="R323" s="128">
        <f t="shared" si="583"/>
        <v>66042303</v>
      </c>
      <c r="S323" s="41">
        <v>17037622</v>
      </c>
      <c r="T323" s="41"/>
      <c r="U323" s="41"/>
      <c r="V323" s="41"/>
      <c r="W323" s="41"/>
      <c r="X323" s="41"/>
      <c r="Y323" s="41"/>
      <c r="Z323" s="41"/>
      <c r="AA323" s="128">
        <f t="shared" si="597"/>
        <v>17037622</v>
      </c>
      <c r="AB323" s="128">
        <f t="shared" si="584"/>
        <v>83079925</v>
      </c>
      <c r="AC323" s="175">
        <v>0</v>
      </c>
    </row>
    <row r="324" spans="1:29" ht="14.25" hidden="1" x14ac:dyDescent="0.2">
      <c r="B324" s="76" t="s">
        <v>809</v>
      </c>
      <c r="C324" s="77" t="s">
        <v>810</v>
      </c>
      <c r="D324" s="334"/>
      <c r="E324" s="188">
        <f>SUM('ADICIONES  2021'!C324:I324)</f>
        <v>0</v>
      </c>
      <c r="F324" s="41"/>
      <c r="G324" s="41"/>
      <c r="H324" s="41"/>
      <c r="I324" s="41"/>
      <c r="J324" s="41"/>
      <c r="K324" s="128">
        <f t="shared" si="577"/>
        <v>0</v>
      </c>
      <c r="L324" s="41">
        <v>0</v>
      </c>
      <c r="M324" s="41">
        <v>0</v>
      </c>
      <c r="N324" s="41">
        <v>0</v>
      </c>
      <c r="O324" s="41">
        <v>0</v>
      </c>
      <c r="P324" s="41">
        <v>0</v>
      </c>
      <c r="Q324" s="409">
        <v>0</v>
      </c>
      <c r="R324" s="128">
        <f t="shared" si="583"/>
        <v>0</v>
      </c>
      <c r="S324" s="41">
        <v>0</v>
      </c>
      <c r="T324" s="41"/>
      <c r="U324" s="41"/>
      <c r="V324" s="41"/>
      <c r="W324" s="41"/>
      <c r="X324" s="41"/>
      <c r="Y324" s="41"/>
      <c r="Z324" s="41"/>
      <c r="AA324" s="128">
        <f t="shared" si="597"/>
        <v>0</v>
      </c>
      <c r="AB324" s="128">
        <f t="shared" si="584"/>
        <v>0</v>
      </c>
      <c r="AC324" s="175" t="e">
        <f t="shared" si="619"/>
        <v>#DIV/0!</v>
      </c>
    </row>
    <row r="325" spans="1:29" ht="28.5" x14ac:dyDescent="0.2">
      <c r="A325" s="398">
        <v>1</v>
      </c>
      <c r="B325" s="76" t="s">
        <v>811</v>
      </c>
      <c r="C325" s="77" t="s">
        <v>343</v>
      </c>
      <c r="D325" s="334"/>
      <c r="E325" s="188">
        <f>SUM('ADICIONES  2021'!C325:I325)</f>
        <v>0</v>
      </c>
      <c r="F325" s="41"/>
      <c r="G325" s="41"/>
      <c r="H325" s="41"/>
      <c r="I325" s="41"/>
      <c r="J325" s="41"/>
      <c r="K325" s="128">
        <f t="shared" si="577"/>
        <v>0</v>
      </c>
      <c r="L325" s="41">
        <v>480022.95</v>
      </c>
      <c r="M325" s="41">
        <v>388657.13</v>
      </c>
      <c r="N325" s="41">
        <v>405943.28</v>
      </c>
      <c r="O325" s="41">
        <v>391351.63</v>
      </c>
      <c r="P325" s="41">
        <v>395638.94</v>
      </c>
      <c r="Q325" s="181">
        <v>381689.8</v>
      </c>
      <c r="R325" s="128">
        <f t="shared" si="583"/>
        <v>2443303.73</v>
      </c>
      <c r="S325" s="41">
        <v>394650.69</v>
      </c>
      <c r="T325" s="41"/>
      <c r="U325" s="41"/>
      <c r="V325" s="41"/>
      <c r="W325" s="41"/>
      <c r="X325" s="41"/>
      <c r="Y325" s="41"/>
      <c r="Z325" s="41"/>
      <c r="AA325" s="128">
        <f t="shared" si="597"/>
        <v>394650.69</v>
      </c>
      <c r="AB325" s="128">
        <f t="shared" si="584"/>
        <v>2837954.42</v>
      </c>
      <c r="AC325" s="175">
        <v>0</v>
      </c>
    </row>
    <row r="326" spans="1:29" x14ac:dyDescent="0.2">
      <c r="A326" s="398">
        <v>1</v>
      </c>
      <c r="B326" s="76" t="s">
        <v>812</v>
      </c>
      <c r="C326" s="77" t="s">
        <v>344</v>
      </c>
      <c r="D326" s="334"/>
      <c r="E326" s="188">
        <f>SUM('ADICIONES  2021'!C326:I326)</f>
        <v>0</v>
      </c>
      <c r="F326" s="41"/>
      <c r="G326" s="41"/>
      <c r="H326" s="41"/>
      <c r="I326" s="41"/>
      <c r="J326" s="41"/>
      <c r="K326" s="128">
        <f t="shared" si="577"/>
        <v>0</v>
      </c>
      <c r="L326" s="41">
        <v>307827</v>
      </c>
      <c r="M326" s="41">
        <v>290454</v>
      </c>
      <c r="N326" s="41">
        <v>286213</v>
      </c>
      <c r="O326" s="41">
        <v>286502</v>
      </c>
      <c r="P326" s="41">
        <v>286742</v>
      </c>
      <c r="Q326" s="181">
        <v>287005</v>
      </c>
      <c r="R326" s="128">
        <f t="shared" si="583"/>
        <v>1744743</v>
      </c>
      <c r="S326" s="41">
        <v>257535</v>
      </c>
      <c r="T326" s="41"/>
      <c r="U326" s="41"/>
      <c r="V326" s="41"/>
      <c r="W326" s="41"/>
      <c r="X326" s="41"/>
      <c r="Y326" s="41"/>
      <c r="Z326" s="41"/>
      <c r="AA326" s="128">
        <f t="shared" si="597"/>
        <v>257535</v>
      </c>
      <c r="AB326" s="128">
        <f t="shared" si="584"/>
        <v>2002278</v>
      </c>
      <c r="AC326" s="175">
        <v>0</v>
      </c>
    </row>
    <row r="327" spans="1:29" ht="28.5" x14ac:dyDescent="0.2">
      <c r="A327" s="398">
        <v>1</v>
      </c>
      <c r="B327" s="76" t="s">
        <v>1866</v>
      </c>
      <c r="C327" s="77" t="s">
        <v>1867</v>
      </c>
      <c r="D327" s="334"/>
      <c r="E327" s="188">
        <f>SUM('ADICIONES  2021'!C327:I327)</f>
        <v>6600708</v>
      </c>
      <c r="F327" s="41"/>
      <c r="G327" s="41"/>
      <c r="H327" s="41"/>
      <c r="I327" s="41"/>
      <c r="J327" s="41"/>
      <c r="K327" s="128">
        <f t="shared" si="577"/>
        <v>6600708</v>
      </c>
      <c r="L327" s="41"/>
      <c r="M327" s="41"/>
      <c r="N327" s="41"/>
      <c r="O327" s="41"/>
      <c r="P327" s="41">
        <v>0</v>
      </c>
      <c r="Q327" s="181">
        <v>0</v>
      </c>
      <c r="R327" s="128">
        <f t="shared" si="583"/>
        <v>0</v>
      </c>
      <c r="S327" s="41">
        <v>0</v>
      </c>
      <c r="T327" s="41"/>
      <c r="U327" s="41"/>
      <c r="V327" s="41"/>
      <c r="W327" s="41"/>
      <c r="X327" s="41"/>
      <c r="Y327" s="41"/>
      <c r="Z327" s="41"/>
      <c r="AA327" s="128">
        <f t="shared" si="597"/>
        <v>0</v>
      </c>
      <c r="AB327" s="128">
        <f t="shared" si="584"/>
        <v>0</v>
      </c>
      <c r="AC327" s="175">
        <f t="shared" si="619"/>
        <v>0</v>
      </c>
    </row>
    <row r="328" spans="1:29" ht="28.5" x14ac:dyDescent="0.2">
      <c r="A328" s="398">
        <v>1</v>
      </c>
      <c r="B328" s="76" t="s">
        <v>1868</v>
      </c>
      <c r="C328" s="77" t="s">
        <v>1869</v>
      </c>
      <c r="D328" s="334"/>
      <c r="E328" s="188">
        <f>SUM('ADICIONES  2021'!C328:I328)</f>
        <v>3803246</v>
      </c>
      <c r="F328" s="41"/>
      <c r="G328" s="41"/>
      <c r="H328" s="41"/>
      <c r="I328" s="41"/>
      <c r="J328" s="41"/>
      <c r="K328" s="128">
        <f t="shared" si="577"/>
        <v>3803246</v>
      </c>
      <c r="L328" s="41"/>
      <c r="M328" s="41"/>
      <c r="N328" s="41"/>
      <c r="O328" s="41"/>
      <c r="P328" s="41">
        <v>0</v>
      </c>
      <c r="Q328" s="181">
        <v>0</v>
      </c>
      <c r="R328" s="128">
        <f t="shared" si="583"/>
        <v>0</v>
      </c>
      <c r="S328" s="41">
        <v>0</v>
      </c>
      <c r="T328" s="41"/>
      <c r="U328" s="41"/>
      <c r="V328" s="41"/>
      <c r="W328" s="41"/>
      <c r="X328" s="41"/>
      <c r="Y328" s="41"/>
      <c r="Z328" s="41"/>
      <c r="AA328" s="128">
        <f t="shared" si="597"/>
        <v>0</v>
      </c>
      <c r="AB328" s="128">
        <f t="shared" si="584"/>
        <v>0</v>
      </c>
      <c r="AC328" s="175">
        <f t="shared" si="619"/>
        <v>0</v>
      </c>
    </row>
    <row r="329" spans="1:29" s="19" customFormat="1" ht="15.75" x14ac:dyDescent="0.2">
      <c r="A329" s="71">
        <v>1</v>
      </c>
      <c r="B329" s="82" t="s">
        <v>1261</v>
      </c>
      <c r="C329" s="83" t="s">
        <v>1262</v>
      </c>
      <c r="D329" s="146">
        <f t="shared" ref="D329:D330" si="620">+D330</f>
        <v>0</v>
      </c>
      <c r="E329" s="187">
        <f>SUM('ADICIONES  2021'!C329:I329)</f>
        <v>139605410925.26001</v>
      </c>
      <c r="F329" s="146">
        <f t="shared" ref="F329:J330" si="621">+F330</f>
        <v>0</v>
      </c>
      <c r="G329" s="146">
        <f t="shared" si="621"/>
        <v>0</v>
      </c>
      <c r="H329" s="146">
        <f t="shared" si="621"/>
        <v>0</v>
      </c>
      <c r="I329" s="146">
        <f t="shared" si="621"/>
        <v>0</v>
      </c>
      <c r="J329" s="146">
        <f t="shared" si="621"/>
        <v>0</v>
      </c>
      <c r="K329" s="128">
        <f t="shared" si="577"/>
        <v>139605410925.26001</v>
      </c>
      <c r="L329" s="181">
        <f t="shared" ref="L329:Q330" si="622">+L330</f>
        <v>0</v>
      </c>
      <c r="M329" s="181">
        <f t="shared" si="622"/>
        <v>0</v>
      </c>
      <c r="N329" s="181">
        <f t="shared" si="622"/>
        <v>0</v>
      </c>
      <c r="O329" s="181">
        <f t="shared" si="622"/>
        <v>0</v>
      </c>
      <c r="P329" s="181">
        <f t="shared" si="622"/>
        <v>0</v>
      </c>
      <c r="Q329" s="181">
        <f t="shared" si="622"/>
        <v>0</v>
      </c>
      <c r="R329" s="127">
        <f t="shared" si="583"/>
        <v>0</v>
      </c>
      <c r="S329" s="181">
        <f t="shared" ref="S329:Z330" si="623">+S330</f>
        <v>0</v>
      </c>
      <c r="T329" s="146">
        <f t="shared" si="623"/>
        <v>0</v>
      </c>
      <c r="U329" s="146">
        <f t="shared" si="623"/>
        <v>0</v>
      </c>
      <c r="V329" s="146">
        <f t="shared" si="623"/>
        <v>0</v>
      </c>
      <c r="W329" s="146">
        <f t="shared" si="623"/>
        <v>0</v>
      </c>
      <c r="X329" s="146">
        <f t="shared" si="623"/>
        <v>0</v>
      </c>
      <c r="Y329" s="181">
        <f t="shared" si="623"/>
        <v>0</v>
      </c>
      <c r="Z329" s="146">
        <f t="shared" si="623"/>
        <v>0</v>
      </c>
      <c r="AA329" s="127">
        <f t="shared" si="597"/>
        <v>0</v>
      </c>
      <c r="AB329" s="128">
        <f t="shared" si="584"/>
        <v>0</v>
      </c>
      <c r="AC329" s="175">
        <f t="shared" si="619"/>
        <v>0</v>
      </c>
    </row>
    <row r="330" spans="1:29" s="63" customFormat="1" ht="31.5" hidden="1" x14ac:dyDescent="0.2">
      <c r="A330" s="399"/>
      <c r="B330" s="81" t="s">
        <v>1263</v>
      </c>
      <c r="C330" s="79" t="s">
        <v>1264</v>
      </c>
      <c r="D330" s="146">
        <f t="shared" si="620"/>
        <v>0</v>
      </c>
      <c r="E330" s="187">
        <f>SUM('ADICIONES  2021'!C330:I330)</f>
        <v>139605410925.26001</v>
      </c>
      <c r="F330" s="146">
        <f t="shared" si="621"/>
        <v>0</v>
      </c>
      <c r="G330" s="146">
        <f t="shared" si="621"/>
        <v>0</v>
      </c>
      <c r="H330" s="146">
        <f t="shared" si="621"/>
        <v>0</v>
      </c>
      <c r="I330" s="146">
        <f t="shared" si="621"/>
        <v>0</v>
      </c>
      <c r="J330" s="146">
        <f t="shared" si="621"/>
        <v>0</v>
      </c>
      <c r="K330" s="127">
        <f t="shared" si="577"/>
        <v>139605410925.26001</v>
      </c>
      <c r="L330" s="146">
        <f t="shared" si="622"/>
        <v>0</v>
      </c>
      <c r="M330" s="146">
        <f t="shared" si="622"/>
        <v>0</v>
      </c>
      <c r="N330" s="146">
        <f t="shared" si="622"/>
        <v>0</v>
      </c>
      <c r="O330" s="146">
        <f t="shared" si="622"/>
        <v>0</v>
      </c>
      <c r="P330" s="146">
        <f t="shared" si="622"/>
        <v>0</v>
      </c>
      <c r="Q330" s="411">
        <f t="shared" si="622"/>
        <v>0</v>
      </c>
      <c r="R330" s="127">
        <f t="shared" si="583"/>
        <v>0</v>
      </c>
      <c r="S330" s="146">
        <f t="shared" si="623"/>
        <v>0</v>
      </c>
      <c r="T330" s="146">
        <f t="shared" si="623"/>
        <v>0</v>
      </c>
      <c r="U330" s="146">
        <f t="shared" si="623"/>
        <v>0</v>
      </c>
      <c r="V330" s="146">
        <f t="shared" si="623"/>
        <v>0</v>
      </c>
      <c r="W330" s="146">
        <f t="shared" si="623"/>
        <v>0</v>
      </c>
      <c r="X330" s="146">
        <f t="shared" si="623"/>
        <v>0</v>
      </c>
      <c r="Y330" s="146">
        <f t="shared" si="623"/>
        <v>0</v>
      </c>
      <c r="Z330" s="146">
        <f t="shared" si="623"/>
        <v>0</v>
      </c>
      <c r="AA330" s="127">
        <f t="shared" si="597"/>
        <v>0</v>
      </c>
      <c r="AB330" s="127">
        <f t="shared" si="584"/>
        <v>0</v>
      </c>
      <c r="AC330" s="176">
        <f t="shared" si="619"/>
        <v>0</v>
      </c>
    </row>
    <row r="331" spans="1:29" s="63" customFormat="1" ht="15.75" hidden="1" x14ac:dyDescent="0.2">
      <c r="A331" s="399"/>
      <c r="B331" s="81" t="s">
        <v>1265</v>
      </c>
      <c r="C331" s="79" t="s">
        <v>1266</v>
      </c>
      <c r="D331" s="146">
        <f>SUM(D332:D334)</f>
        <v>0</v>
      </c>
      <c r="E331" s="187">
        <f>SUM('ADICIONES  2021'!C331:I331)</f>
        <v>139605410925.26001</v>
      </c>
      <c r="F331" s="146">
        <f t="shared" ref="F331:J331" si="624">SUM(F332:F333)</f>
        <v>0</v>
      </c>
      <c r="G331" s="146">
        <f t="shared" si="624"/>
        <v>0</v>
      </c>
      <c r="H331" s="146">
        <f t="shared" si="624"/>
        <v>0</v>
      </c>
      <c r="I331" s="146">
        <f t="shared" si="624"/>
        <v>0</v>
      </c>
      <c r="J331" s="146">
        <f t="shared" si="624"/>
        <v>0</v>
      </c>
      <c r="K331" s="127">
        <f t="shared" si="577"/>
        <v>139605410925.26001</v>
      </c>
      <c r="L331" s="146">
        <f t="shared" ref="L331:Q331" si="625">SUM(L332:L333)</f>
        <v>0</v>
      </c>
      <c r="M331" s="146">
        <f t="shared" si="625"/>
        <v>0</v>
      </c>
      <c r="N331" s="146">
        <f t="shared" si="625"/>
        <v>0</v>
      </c>
      <c r="O331" s="146">
        <f t="shared" si="625"/>
        <v>0</v>
      </c>
      <c r="P331" s="146">
        <f t="shared" si="625"/>
        <v>0</v>
      </c>
      <c r="Q331" s="411">
        <f t="shared" si="625"/>
        <v>0</v>
      </c>
      <c r="R331" s="127">
        <f t="shared" si="583"/>
        <v>0</v>
      </c>
      <c r="S331" s="146">
        <f t="shared" ref="S331:Z331" si="626">SUM(S332:S333)</f>
        <v>0</v>
      </c>
      <c r="T331" s="146">
        <f t="shared" si="626"/>
        <v>0</v>
      </c>
      <c r="U331" s="146">
        <f t="shared" si="626"/>
        <v>0</v>
      </c>
      <c r="V331" s="146">
        <f t="shared" si="626"/>
        <v>0</v>
      </c>
      <c r="W331" s="146">
        <f t="shared" si="626"/>
        <v>0</v>
      </c>
      <c r="X331" s="146">
        <f t="shared" si="626"/>
        <v>0</v>
      </c>
      <c r="Y331" s="146">
        <f t="shared" si="626"/>
        <v>0</v>
      </c>
      <c r="Z331" s="146">
        <f t="shared" si="626"/>
        <v>0</v>
      </c>
      <c r="AA331" s="127">
        <f t="shared" si="597"/>
        <v>0</v>
      </c>
      <c r="AB331" s="127">
        <f t="shared" si="584"/>
        <v>0</v>
      </c>
      <c r="AC331" s="176">
        <f t="shared" si="619"/>
        <v>0</v>
      </c>
    </row>
    <row r="332" spans="1:29" ht="28.5" hidden="1" x14ac:dyDescent="0.2">
      <c r="B332" s="76" t="s">
        <v>1257</v>
      </c>
      <c r="C332" s="77" t="s">
        <v>1258</v>
      </c>
      <c r="D332" s="41"/>
      <c r="E332" s="188">
        <f>SUM('ADICIONES  2021'!C332:I332)</f>
        <v>79982811133.960007</v>
      </c>
      <c r="F332" s="41"/>
      <c r="G332" s="41"/>
      <c r="H332" s="41"/>
      <c r="I332" s="41"/>
      <c r="J332" s="41"/>
      <c r="K332" s="128">
        <f t="shared" si="577"/>
        <v>79982811133.960007</v>
      </c>
      <c r="L332" s="41"/>
      <c r="M332" s="41"/>
      <c r="N332" s="41"/>
      <c r="O332" s="41"/>
      <c r="P332" s="41"/>
      <c r="Q332" s="409"/>
      <c r="R332" s="128">
        <f t="shared" si="583"/>
        <v>0</v>
      </c>
      <c r="S332" s="41"/>
      <c r="T332" s="41"/>
      <c r="U332" s="41"/>
      <c r="V332" s="41"/>
      <c r="W332" s="41"/>
      <c r="X332" s="41"/>
      <c r="Y332" s="41"/>
      <c r="Z332" s="41"/>
      <c r="AA332" s="128">
        <f t="shared" si="597"/>
        <v>0</v>
      </c>
      <c r="AB332" s="128">
        <f t="shared" si="584"/>
        <v>0</v>
      </c>
      <c r="AC332" s="180">
        <f t="shared" si="619"/>
        <v>0</v>
      </c>
    </row>
    <row r="333" spans="1:29" ht="28.5" hidden="1" x14ac:dyDescent="0.2">
      <c r="B333" s="76" t="s">
        <v>1259</v>
      </c>
      <c r="C333" s="77" t="s">
        <v>1260</v>
      </c>
      <c r="D333" s="41"/>
      <c r="E333" s="188">
        <f>SUM('ADICIONES  2021'!C333:I333)</f>
        <v>10647623088.299999</v>
      </c>
      <c r="F333" s="41"/>
      <c r="G333" s="41"/>
      <c r="H333" s="41"/>
      <c r="I333" s="41"/>
      <c r="J333" s="41"/>
      <c r="K333" s="128">
        <f t="shared" si="577"/>
        <v>10647623088.299999</v>
      </c>
      <c r="L333" s="41"/>
      <c r="M333" s="41"/>
      <c r="N333" s="41"/>
      <c r="O333" s="41"/>
      <c r="P333" s="41"/>
      <c r="Q333" s="409"/>
      <c r="R333" s="128">
        <f t="shared" si="583"/>
        <v>0</v>
      </c>
      <c r="S333" s="41"/>
      <c r="T333" s="41"/>
      <c r="U333" s="41"/>
      <c r="V333" s="41"/>
      <c r="W333" s="41"/>
      <c r="X333" s="41"/>
      <c r="Y333" s="41"/>
      <c r="Z333" s="41"/>
      <c r="AA333" s="128">
        <f t="shared" si="597"/>
        <v>0</v>
      </c>
      <c r="AB333" s="128">
        <f t="shared" si="584"/>
        <v>0</v>
      </c>
      <c r="AC333" s="180">
        <f t="shared" si="619"/>
        <v>0</v>
      </c>
    </row>
    <row r="334" spans="1:29" ht="28.5" hidden="1" x14ac:dyDescent="0.2">
      <c r="B334" s="76" t="s">
        <v>1861</v>
      </c>
      <c r="C334" s="77" t="s">
        <v>1862</v>
      </c>
      <c r="D334" s="41"/>
      <c r="E334" s="188">
        <f>SUM('ADICIONES  2021'!C334:I334)</f>
        <v>48974976703</v>
      </c>
      <c r="F334" s="41"/>
      <c r="G334" s="41"/>
      <c r="H334" s="41"/>
      <c r="I334" s="41"/>
      <c r="J334" s="41"/>
      <c r="K334" s="128">
        <f t="shared" si="577"/>
        <v>48974976703</v>
      </c>
      <c r="L334" s="41"/>
      <c r="M334" s="41"/>
      <c r="N334" s="41"/>
      <c r="O334" s="41"/>
      <c r="P334" s="41"/>
      <c r="Q334" s="409"/>
      <c r="R334" s="128">
        <f t="shared" si="583"/>
        <v>0</v>
      </c>
      <c r="S334" s="41"/>
      <c r="T334" s="41"/>
      <c r="U334" s="41"/>
      <c r="V334" s="41"/>
      <c r="W334" s="41"/>
      <c r="X334" s="41"/>
      <c r="Y334" s="41"/>
      <c r="Z334" s="41"/>
      <c r="AA334" s="128">
        <f t="shared" si="597"/>
        <v>0</v>
      </c>
      <c r="AB334" s="128">
        <f t="shared" si="584"/>
        <v>0</v>
      </c>
      <c r="AC334" s="180">
        <f t="shared" si="619"/>
        <v>0</v>
      </c>
    </row>
    <row r="335" spans="1:29" s="63" customFormat="1" ht="23.25" hidden="1" customHeight="1" x14ac:dyDescent="0.2">
      <c r="A335" s="399"/>
      <c r="B335" s="81" t="s">
        <v>813</v>
      </c>
      <c r="C335" s="79" t="s">
        <v>814</v>
      </c>
      <c r="D335" s="223">
        <f t="shared" ref="D335:D337" si="627">+D336</f>
        <v>0</v>
      </c>
      <c r="E335" s="187">
        <f>SUM('ADICIONES  2021'!C335:I335)</f>
        <v>0</v>
      </c>
      <c r="F335" s="223">
        <f t="shared" ref="F335:J337" si="628">+F336</f>
        <v>0</v>
      </c>
      <c r="G335" s="223">
        <f t="shared" si="628"/>
        <v>0</v>
      </c>
      <c r="H335" s="223">
        <f t="shared" si="628"/>
        <v>0</v>
      </c>
      <c r="I335" s="223">
        <f t="shared" si="628"/>
        <v>0</v>
      </c>
      <c r="J335" s="223">
        <f t="shared" si="628"/>
        <v>0</v>
      </c>
      <c r="K335" s="78">
        <f t="shared" si="577"/>
        <v>0</v>
      </c>
      <c r="L335" s="223">
        <f t="shared" ref="L335:Q337" si="629">+L336</f>
        <v>0</v>
      </c>
      <c r="M335" s="223">
        <f t="shared" si="629"/>
        <v>0</v>
      </c>
      <c r="N335" s="223">
        <f t="shared" si="629"/>
        <v>0</v>
      </c>
      <c r="O335" s="223">
        <f t="shared" si="629"/>
        <v>0</v>
      </c>
      <c r="P335" s="223">
        <f t="shared" si="629"/>
        <v>0</v>
      </c>
      <c r="Q335" s="407">
        <f t="shared" si="629"/>
        <v>0</v>
      </c>
      <c r="R335" s="78">
        <f t="shared" si="583"/>
        <v>0</v>
      </c>
      <c r="S335" s="223">
        <f t="shared" ref="S335:Z337" si="630">+S336</f>
        <v>0</v>
      </c>
      <c r="T335" s="223">
        <f t="shared" si="630"/>
        <v>0</v>
      </c>
      <c r="U335" s="223">
        <f t="shared" si="630"/>
        <v>0</v>
      </c>
      <c r="V335" s="223">
        <f t="shared" si="630"/>
        <v>0</v>
      </c>
      <c r="W335" s="223">
        <f t="shared" si="630"/>
        <v>0</v>
      </c>
      <c r="X335" s="223">
        <f t="shared" si="630"/>
        <v>0</v>
      </c>
      <c r="Y335" s="223">
        <f t="shared" si="630"/>
        <v>0</v>
      </c>
      <c r="Z335" s="223">
        <f t="shared" si="630"/>
        <v>0</v>
      </c>
      <c r="AA335" s="78">
        <f t="shared" si="597"/>
        <v>0</v>
      </c>
      <c r="AB335" s="78">
        <f t="shared" si="584"/>
        <v>0</v>
      </c>
      <c r="AC335" s="174" t="e">
        <f t="shared" si="619"/>
        <v>#DIV/0!</v>
      </c>
    </row>
    <row r="336" spans="1:29" s="63" customFormat="1" ht="30" hidden="1" customHeight="1" x14ac:dyDescent="0.2">
      <c r="A336" s="399"/>
      <c r="B336" s="81" t="s">
        <v>815</v>
      </c>
      <c r="C336" s="79" t="s">
        <v>816</v>
      </c>
      <c r="D336" s="223">
        <f t="shared" si="627"/>
        <v>0</v>
      </c>
      <c r="E336" s="187">
        <f>SUM('ADICIONES  2021'!C336:I336)</f>
        <v>0</v>
      </c>
      <c r="F336" s="223">
        <f t="shared" si="628"/>
        <v>0</v>
      </c>
      <c r="G336" s="223">
        <f t="shared" si="628"/>
        <v>0</v>
      </c>
      <c r="H336" s="223">
        <f t="shared" si="628"/>
        <v>0</v>
      </c>
      <c r="I336" s="223">
        <f t="shared" si="628"/>
        <v>0</v>
      </c>
      <c r="J336" s="223">
        <f t="shared" si="628"/>
        <v>0</v>
      </c>
      <c r="K336" s="78">
        <f t="shared" si="577"/>
        <v>0</v>
      </c>
      <c r="L336" s="223">
        <f t="shared" si="629"/>
        <v>0</v>
      </c>
      <c r="M336" s="223">
        <f t="shared" si="629"/>
        <v>0</v>
      </c>
      <c r="N336" s="223">
        <f t="shared" si="629"/>
        <v>0</v>
      </c>
      <c r="O336" s="223">
        <f t="shared" si="629"/>
        <v>0</v>
      </c>
      <c r="P336" s="223">
        <f t="shared" si="629"/>
        <v>0</v>
      </c>
      <c r="Q336" s="407">
        <f t="shared" si="629"/>
        <v>0</v>
      </c>
      <c r="R336" s="78">
        <f t="shared" si="583"/>
        <v>0</v>
      </c>
      <c r="S336" s="223">
        <f t="shared" si="630"/>
        <v>0</v>
      </c>
      <c r="T336" s="223">
        <f t="shared" si="630"/>
        <v>0</v>
      </c>
      <c r="U336" s="223">
        <f t="shared" si="630"/>
        <v>0</v>
      </c>
      <c r="V336" s="223">
        <f t="shared" si="630"/>
        <v>0</v>
      </c>
      <c r="W336" s="223">
        <f t="shared" si="630"/>
        <v>0</v>
      </c>
      <c r="X336" s="223">
        <f t="shared" si="630"/>
        <v>0</v>
      </c>
      <c r="Y336" s="223">
        <f t="shared" si="630"/>
        <v>0</v>
      </c>
      <c r="Z336" s="223">
        <f t="shared" si="630"/>
        <v>0</v>
      </c>
      <c r="AA336" s="78">
        <f t="shared" si="597"/>
        <v>0</v>
      </c>
      <c r="AB336" s="78">
        <f t="shared" si="584"/>
        <v>0</v>
      </c>
      <c r="AC336" s="174" t="e">
        <f t="shared" si="619"/>
        <v>#DIV/0!</v>
      </c>
    </row>
    <row r="337" spans="1:29" s="63" customFormat="1" ht="15.75" hidden="1" x14ac:dyDescent="0.2">
      <c r="A337" s="399"/>
      <c r="B337" s="81" t="s">
        <v>817</v>
      </c>
      <c r="C337" s="194" t="s">
        <v>818</v>
      </c>
      <c r="D337" s="223">
        <f t="shared" si="627"/>
        <v>0</v>
      </c>
      <c r="E337" s="187">
        <f>SUM('ADICIONES  2021'!C337:I337)</f>
        <v>0</v>
      </c>
      <c r="F337" s="223">
        <f t="shared" si="628"/>
        <v>0</v>
      </c>
      <c r="G337" s="223">
        <f t="shared" si="628"/>
        <v>0</v>
      </c>
      <c r="H337" s="223">
        <f t="shared" si="628"/>
        <v>0</v>
      </c>
      <c r="I337" s="223">
        <f t="shared" si="628"/>
        <v>0</v>
      </c>
      <c r="J337" s="223">
        <f t="shared" si="628"/>
        <v>0</v>
      </c>
      <c r="K337" s="78">
        <f t="shared" si="577"/>
        <v>0</v>
      </c>
      <c r="L337" s="223">
        <f t="shared" si="629"/>
        <v>0</v>
      </c>
      <c r="M337" s="223">
        <f t="shared" si="629"/>
        <v>0</v>
      </c>
      <c r="N337" s="223">
        <f t="shared" si="629"/>
        <v>0</v>
      </c>
      <c r="O337" s="223">
        <f t="shared" si="629"/>
        <v>0</v>
      </c>
      <c r="P337" s="223">
        <f t="shared" si="629"/>
        <v>0</v>
      </c>
      <c r="Q337" s="407">
        <f t="shared" si="629"/>
        <v>0</v>
      </c>
      <c r="R337" s="78">
        <f t="shared" si="583"/>
        <v>0</v>
      </c>
      <c r="S337" s="223">
        <f t="shared" si="630"/>
        <v>0</v>
      </c>
      <c r="T337" s="223">
        <f t="shared" si="630"/>
        <v>0</v>
      </c>
      <c r="U337" s="223">
        <f t="shared" si="630"/>
        <v>0</v>
      </c>
      <c r="V337" s="223">
        <f t="shared" si="630"/>
        <v>0</v>
      </c>
      <c r="W337" s="223">
        <f t="shared" si="630"/>
        <v>0</v>
      </c>
      <c r="X337" s="223">
        <f t="shared" si="630"/>
        <v>0</v>
      </c>
      <c r="Y337" s="223">
        <f t="shared" si="630"/>
        <v>0</v>
      </c>
      <c r="Z337" s="223">
        <f t="shared" si="630"/>
        <v>0</v>
      </c>
      <c r="AA337" s="78">
        <f t="shared" si="597"/>
        <v>0</v>
      </c>
      <c r="AB337" s="78">
        <f t="shared" si="584"/>
        <v>0</v>
      </c>
      <c r="AC337" s="174" t="e">
        <f t="shared" si="619"/>
        <v>#DIV/0!</v>
      </c>
    </row>
    <row r="338" spans="1:29" s="63" customFormat="1" ht="15.75" hidden="1" x14ac:dyDescent="0.2">
      <c r="A338" s="399"/>
      <c r="B338" s="81" t="s">
        <v>819</v>
      </c>
      <c r="C338" s="79" t="s">
        <v>820</v>
      </c>
      <c r="D338" s="223">
        <f t="shared" ref="D338" si="631">SUM(D339:D339)</f>
        <v>0</v>
      </c>
      <c r="E338" s="187">
        <f>SUM('ADICIONES  2021'!C338:I338)</f>
        <v>0</v>
      </c>
      <c r="F338" s="223">
        <f t="shared" ref="F338:J338" si="632">SUM(F339:F339)</f>
        <v>0</v>
      </c>
      <c r="G338" s="223">
        <f t="shared" si="632"/>
        <v>0</v>
      </c>
      <c r="H338" s="223">
        <f t="shared" si="632"/>
        <v>0</v>
      </c>
      <c r="I338" s="223">
        <f t="shared" si="632"/>
        <v>0</v>
      </c>
      <c r="J338" s="223">
        <f t="shared" si="632"/>
        <v>0</v>
      </c>
      <c r="K338" s="78">
        <f t="shared" si="577"/>
        <v>0</v>
      </c>
      <c r="L338" s="223">
        <f t="shared" ref="L338:Q338" si="633">SUM(L339:L339)</f>
        <v>0</v>
      </c>
      <c r="M338" s="223">
        <f t="shared" si="633"/>
        <v>0</v>
      </c>
      <c r="N338" s="223">
        <f t="shared" si="633"/>
        <v>0</v>
      </c>
      <c r="O338" s="223">
        <f t="shared" si="633"/>
        <v>0</v>
      </c>
      <c r="P338" s="223">
        <f t="shared" si="633"/>
        <v>0</v>
      </c>
      <c r="Q338" s="407">
        <f t="shared" si="633"/>
        <v>0</v>
      </c>
      <c r="R338" s="78">
        <f t="shared" si="583"/>
        <v>0</v>
      </c>
      <c r="S338" s="223">
        <f t="shared" ref="S338:Z338" si="634">SUM(S339:S339)</f>
        <v>0</v>
      </c>
      <c r="T338" s="223">
        <f t="shared" si="634"/>
        <v>0</v>
      </c>
      <c r="U338" s="223">
        <f t="shared" si="634"/>
        <v>0</v>
      </c>
      <c r="V338" s="223">
        <f t="shared" si="634"/>
        <v>0</v>
      </c>
      <c r="W338" s="223">
        <f t="shared" si="634"/>
        <v>0</v>
      </c>
      <c r="X338" s="223">
        <f t="shared" si="634"/>
        <v>0</v>
      </c>
      <c r="Y338" s="223">
        <f t="shared" si="634"/>
        <v>0</v>
      </c>
      <c r="Z338" s="223">
        <f t="shared" si="634"/>
        <v>0</v>
      </c>
      <c r="AA338" s="78">
        <f t="shared" si="597"/>
        <v>0</v>
      </c>
      <c r="AB338" s="78">
        <f t="shared" si="584"/>
        <v>0</v>
      </c>
      <c r="AC338" s="174" t="e">
        <f t="shared" si="619"/>
        <v>#DIV/0!</v>
      </c>
    </row>
    <row r="339" spans="1:29" ht="15.75" hidden="1" x14ac:dyDescent="0.2">
      <c r="B339" s="76" t="s">
        <v>821</v>
      </c>
      <c r="C339" s="77" t="s">
        <v>235</v>
      </c>
      <c r="D339" s="41"/>
      <c r="E339" s="188">
        <f>SUM('ADICIONES  2021'!C339:I339)</f>
        <v>0</v>
      </c>
      <c r="F339" s="41"/>
      <c r="G339" s="41"/>
      <c r="H339" s="41"/>
      <c r="I339" s="41"/>
      <c r="J339" s="41"/>
      <c r="K339" s="128">
        <f t="shared" si="577"/>
        <v>0</v>
      </c>
      <c r="L339" s="41"/>
      <c r="M339" s="41"/>
      <c r="N339" s="41"/>
      <c r="O339" s="41"/>
      <c r="P339" s="41"/>
      <c r="Q339" s="409"/>
      <c r="R339" s="128">
        <f t="shared" si="583"/>
        <v>0</v>
      </c>
      <c r="S339" s="41"/>
      <c r="T339" s="41"/>
      <c r="U339" s="41"/>
      <c r="V339" s="41"/>
      <c r="W339" s="41"/>
      <c r="X339" s="41"/>
      <c r="Y339" s="41"/>
      <c r="Z339" s="41"/>
      <c r="AA339" s="128">
        <f t="shared" si="597"/>
        <v>0</v>
      </c>
      <c r="AB339" s="128">
        <f t="shared" si="584"/>
        <v>0</v>
      </c>
      <c r="AC339" s="174" t="e">
        <f t="shared" si="619"/>
        <v>#DIV/0!</v>
      </c>
    </row>
    <row r="340" spans="1:29" s="19" customFormat="1" ht="19.5" x14ac:dyDescent="0.2">
      <c r="A340" s="71">
        <v>1</v>
      </c>
      <c r="B340" s="82" t="s">
        <v>822</v>
      </c>
      <c r="C340" s="83" t="s">
        <v>108</v>
      </c>
      <c r="D340" s="162">
        <f t="shared" ref="D340" si="635">+D341</f>
        <v>0</v>
      </c>
      <c r="E340" s="306">
        <f>SUM('ADICIONES  2021'!C340:I340)</f>
        <v>170811967972.85999</v>
      </c>
      <c r="F340" s="162">
        <f t="shared" ref="F340:J340" si="636">+F341</f>
        <v>0</v>
      </c>
      <c r="G340" s="162">
        <f t="shared" si="636"/>
        <v>0</v>
      </c>
      <c r="H340" s="162">
        <f t="shared" si="636"/>
        <v>2500000000</v>
      </c>
      <c r="I340" s="162">
        <f t="shared" si="636"/>
        <v>0</v>
      </c>
      <c r="J340" s="162">
        <f t="shared" si="636"/>
        <v>0</v>
      </c>
      <c r="K340" s="126">
        <f t="shared" si="577"/>
        <v>168311967972.85999</v>
      </c>
      <c r="L340" s="126">
        <f t="shared" ref="L340:Q340" si="637">+L341</f>
        <v>0</v>
      </c>
      <c r="M340" s="126">
        <f t="shared" si="637"/>
        <v>0</v>
      </c>
      <c r="N340" s="126">
        <f t="shared" si="637"/>
        <v>0</v>
      </c>
      <c r="O340" s="126">
        <f t="shared" si="637"/>
        <v>0</v>
      </c>
      <c r="P340" s="126">
        <f t="shared" si="637"/>
        <v>143910095102.78998</v>
      </c>
      <c r="Q340" s="126">
        <f t="shared" si="637"/>
        <v>0.01</v>
      </c>
      <c r="R340" s="78">
        <f t="shared" si="583"/>
        <v>143910095102.79999</v>
      </c>
      <c r="S340" s="126">
        <f t="shared" ref="S340:Z340" si="638">+S341</f>
        <v>0</v>
      </c>
      <c r="T340" s="162">
        <f t="shared" si="638"/>
        <v>0</v>
      </c>
      <c r="U340" s="162">
        <f t="shared" si="638"/>
        <v>0</v>
      </c>
      <c r="V340" s="162">
        <f t="shared" si="638"/>
        <v>0</v>
      </c>
      <c r="W340" s="162">
        <f t="shared" si="638"/>
        <v>0</v>
      </c>
      <c r="X340" s="162">
        <f t="shared" si="638"/>
        <v>0</v>
      </c>
      <c r="Y340" s="126">
        <f t="shared" si="638"/>
        <v>0</v>
      </c>
      <c r="Z340" s="162">
        <f t="shared" si="638"/>
        <v>0</v>
      </c>
      <c r="AA340" s="78">
        <f t="shared" si="597"/>
        <v>0</v>
      </c>
      <c r="AB340" s="126">
        <f t="shared" si="584"/>
        <v>143910095102.79999</v>
      </c>
      <c r="AC340" s="180">
        <f t="shared" si="619"/>
        <v>0.8550199777000127</v>
      </c>
    </row>
    <row r="341" spans="1:29" s="63" customFormat="1" ht="19.5" hidden="1" x14ac:dyDescent="0.2">
      <c r="A341" s="399"/>
      <c r="B341" s="81" t="s">
        <v>823</v>
      </c>
      <c r="C341" s="79" t="s">
        <v>824</v>
      </c>
      <c r="D341" s="162">
        <f>+D342+D346+D400+D403+D406+D414+D455+D461+D493+D495+D497+D499+D501+D503+D505+D507+D509+D511+D513+D515+D517+D519+D521+D523+D525+D527+D529+D531+D533+D535+D537+D539+D541+D543+D545+D547+D549+D551+D553+D555+D560+D563</f>
        <v>0</v>
      </c>
      <c r="E341" s="187">
        <f>SUM('ADICIONES  2021'!C341:I341)</f>
        <v>170811967972.85999</v>
      </c>
      <c r="F341" s="162">
        <f>+F342+F346+F400+F403+F406+F414+F455+F461+F493+F495+F497+F499+F501+F503+F505+F507+F509+F511+F513+F515+F517+F519+F521+F523+F525+F527+F529+F531+F533+F535+F537+F539+F541+F543+F545+F547+F549+F551+F553+F555+F560+F563</f>
        <v>0</v>
      </c>
      <c r="G341" s="162">
        <f>+G342+G346+G400+G403+G406+G414+G455+G461+G493+G495+G497+G499+G501+G503+G505+G507+G509+G511+G513+G515+G517+G519+G521+G523+G525+G527+G529+G531+G533+G535+G537+G539+G541+G543+G545+G547+G549+G551+G553+G555+G560+G563</f>
        <v>0</v>
      </c>
      <c r="H341" s="162">
        <f>+H342+H346+H400+H403+H406+H414+H455+H461+H493+H495+H497+H499+H501+H503+H505+H507+H509+H511+H513+H515+H517+H519+H521+H523+H525+H527+H529+H531+H533+H535+H537+H539+H541+H543+H545+H547+H549+H551+H553+H555+H560+H563</f>
        <v>2500000000</v>
      </c>
      <c r="I341" s="162">
        <f>+I342+I346+I400+I403+I406+I414+I455+I461+I493+I495+I497+I499+I501+I503+I505+I507+I509+I511+I513+I515+I517+I519+I521+I523+I525+I527+I529+I531+I533+I535+I537+I539+I541+I543+I545+I547+I549+I551+I553+I555+I560+I563</f>
        <v>0</v>
      </c>
      <c r="J341" s="162">
        <f>+J342+J346+J400+J403+J406+J414+J455+J461+J493+J495+J497+J499+J501+J503+J505+J507+J509+J511+J513+J515+J517+J519+J521+J523+J525+J527+J529+J531+J533+J535+J537+J539+J541+J543+J545+J547+J549+J551+J553+J555+J560+J563</f>
        <v>0</v>
      </c>
      <c r="K341" s="78">
        <f t="shared" si="577"/>
        <v>168311967972.85999</v>
      </c>
      <c r="L341" s="162">
        <f t="shared" ref="L341:Q341" si="639">+L342+L346+L400+L403+L406+L414+L455+L461+L493+L495+L497+L499+L501+L503+L505+L507+L509+L511+L513+L515+L517+L519+L521+L523+L525+L527+L529+L531+L533+L535+L537+L539+L541+L543+L545+L547+L549+L551+L553+L555+L560+L563</f>
        <v>0</v>
      </c>
      <c r="M341" s="162">
        <f t="shared" si="639"/>
        <v>0</v>
      </c>
      <c r="N341" s="162">
        <f t="shared" si="639"/>
        <v>0</v>
      </c>
      <c r="O341" s="162">
        <f t="shared" si="639"/>
        <v>0</v>
      </c>
      <c r="P341" s="162">
        <f>+P342+P346+P400+P403+P406+P414+P455+P461+P493+P495+P497+P499+P501+P503+P505+P507+P509+P511+P513+P515+P517+P519+P521+P523+P525+P527+P529+P531+P533+P535+P537+P539+P541+P543+P545+P547+P549+P551+P553+P555+P560+P563</f>
        <v>143910095102.78998</v>
      </c>
      <c r="Q341" s="418">
        <f t="shared" si="639"/>
        <v>0.01</v>
      </c>
      <c r="R341" s="78">
        <f t="shared" si="583"/>
        <v>143910095102.79999</v>
      </c>
      <c r="S341" s="162">
        <f t="shared" ref="S341:Z341" si="640">+S342+S346+S400+S403+S406+S414+S455+S461+S493+S495+S497+S499+S501+S503+S505+S507+S509+S511+S513+S515+S517+S519+S521+S523+S525+S527+S529+S531+S533+S535+S537+S539+S541+S543+S545+S547+S549+S551+S553+S555+S560+S563</f>
        <v>0</v>
      </c>
      <c r="T341" s="162">
        <f t="shared" si="640"/>
        <v>0</v>
      </c>
      <c r="U341" s="162">
        <f t="shared" si="640"/>
        <v>0</v>
      </c>
      <c r="V341" s="162">
        <f t="shared" si="640"/>
        <v>0</v>
      </c>
      <c r="W341" s="162">
        <f t="shared" si="640"/>
        <v>0</v>
      </c>
      <c r="X341" s="162">
        <f t="shared" si="640"/>
        <v>0</v>
      </c>
      <c r="Y341" s="162">
        <f t="shared" si="640"/>
        <v>0</v>
      </c>
      <c r="Z341" s="162">
        <f t="shared" si="640"/>
        <v>0</v>
      </c>
      <c r="AA341" s="78">
        <f t="shared" si="597"/>
        <v>0</v>
      </c>
      <c r="AB341" s="78">
        <f t="shared" si="584"/>
        <v>143910095102.79999</v>
      </c>
      <c r="AC341" s="174">
        <f t="shared" si="619"/>
        <v>0.8550199777000127</v>
      </c>
    </row>
    <row r="342" spans="1:29" s="63" customFormat="1" ht="31.5" hidden="1" x14ac:dyDescent="0.2">
      <c r="A342" s="399"/>
      <c r="B342" s="81" t="s">
        <v>825</v>
      </c>
      <c r="C342" s="79" t="s">
        <v>826</v>
      </c>
      <c r="D342" s="162">
        <f t="shared" ref="D342" si="641">SUM(D343:D345)</f>
        <v>0</v>
      </c>
      <c r="E342" s="187">
        <f>SUM('ADICIONES  2021'!C342:I342)</f>
        <v>5727988989</v>
      </c>
      <c r="F342" s="162">
        <f t="shared" ref="F342:J342" si="642">SUM(F343:F345)</f>
        <v>0</v>
      </c>
      <c r="G342" s="162">
        <f t="shared" si="642"/>
        <v>0</v>
      </c>
      <c r="H342" s="162">
        <f t="shared" si="642"/>
        <v>0</v>
      </c>
      <c r="I342" s="162">
        <f t="shared" si="642"/>
        <v>0</v>
      </c>
      <c r="J342" s="162">
        <f t="shared" si="642"/>
        <v>0</v>
      </c>
      <c r="K342" s="78">
        <f t="shared" si="577"/>
        <v>5727988989</v>
      </c>
      <c r="L342" s="162">
        <f t="shared" ref="L342:Q342" si="643">SUM(L343:L345)</f>
        <v>0</v>
      </c>
      <c r="M342" s="162">
        <f t="shared" si="643"/>
        <v>0</v>
      </c>
      <c r="N342" s="162">
        <f t="shared" si="643"/>
        <v>0</v>
      </c>
      <c r="O342" s="162">
        <f t="shared" si="643"/>
        <v>0</v>
      </c>
      <c r="P342" s="162">
        <f t="shared" si="643"/>
        <v>0</v>
      </c>
      <c r="Q342" s="418">
        <f t="shared" si="643"/>
        <v>0</v>
      </c>
      <c r="R342" s="78">
        <f t="shared" si="583"/>
        <v>0</v>
      </c>
      <c r="S342" s="162">
        <f t="shared" ref="S342:Z342" si="644">SUM(S343:S345)</f>
        <v>0</v>
      </c>
      <c r="T342" s="162">
        <f t="shared" si="644"/>
        <v>0</v>
      </c>
      <c r="U342" s="162">
        <f t="shared" si="644"/>
        <v>0</v>
      </c>
      <c r="V342" s="162">
        <f t="shared" si="644"/>
        <v>0</v>
      </c>
      <c r="W342" s="162">
        <f t="shared" si="644"/>
        <v>0</v>
      </c>
      <c r="X342" s="162">
        <f t="shared" si="644"/>
        <v>0</v>
      </c>
      <c r="Y342" s="162">
        <f t="shared" si="644"/>
        <v>0</v>
      </c>
      <c r="Z342" s="162">
        <f t="shared" si="644"/>
        <v>0</v>
      </c>
      <c r="AA342" s="78">
        <f t="shared" si="597"/>
        <v>0</v>
      </c>
      <c r="AB342" s="78">
        <f t="shared" si="584"/>
        <v>0</v>
      </c>
      <c r="AC342" s="174">
        <f t="shared" si="619"/>
        <v>0</v>
      </c>
    </row>
    <row r="343" spans="1:29" ht="28.5" hidden="1" x14ac:dyDescent="0.2">
      <c r="B343" s="76" t="s">
        <v>827</v>
      </c>
      <c r="C343" s="77" t="s">
        <v>828</v>
      </c>
      <c r="D343" s="41"/>
      <c r="E343" s="188">
        <f>SUM('ADICIONES  2021'!C343:I343)</f>
        <v>574700</v>
      </c>
      <c r="F343" s="41"/>
      <c r="G343" s="41"/>
      <c r="H343" s="41"/>
      <c r="I343" s="41"/>
      <c r="J343" s="41"/>
      <c r="K343" s="128">
        <f t="shared" si="577"/>
        <v>574700</v>
      </c>
      <c r="L343" s="41"/>
      <c r="M343" s="41"/>
      <c r="N343" s="41"/>
      <c r="O343" s="41"/>
      <c r="P343" s="41"/>
      <c r="Q343" s="409"/>
      <c r="R343" s="128">
        <f t="shared" si="583"/>
        <v>0</v>
      </c>
      <c r="S343" s="41"/>
      <c r="T343" s="41"/>
      <c r="U343" s="41"/>
      <c r="V343" s="41"/>
      <c r="W343" s="41"/>
      <c r="X343" s="41"/>
      <c r="Y343" s="41"/>
      <c r="Z343" s="41"/>
      <c r="AA343" s="128">
        <f t="shared" si="597"/>
        <v>0</v>
      </c>
      <c r="AB343" s="128">
        <f t="shared" si="584"/>
        <v>0</v>
      </c>
      <c r="AC343" s="175">
        <f t="shared" si="619"/>
        <v>0</v>
      </c>
    </row>
    <row r="344" spans="1:29" ht="42.75" hidden="1" x14ac:dyDescent="0.2">
      <c r="B344" s="76" t="s">
        <v>829</v>
      </c>
      <c r="C344" s="77" t="s">
        <v>830</v>
      </c>
      <c r="D344" s="41"/>
      <c r="E344" s="188">
        <f>SUM('ADICIONES  2021'!C344:I344)</f>
        <v>5709414289</v>
      </c>
      <c r="F344" s="41"/>
      <c r="G344" s="41"/>
      <c r="H344" s="41"/>
      <c r="I344" s="41"/>
      <c r="J344" s="41"/>
      <c r="K344" s="128">
        <f t="shared" ref="K344:K598" si="645">+D344+E344-F344+G344-H344</f>
        <v>5709414289</v>
      </c>
      <c r="L344" s="41"/>
      <c r="M344" s="41"/>
      <c r="N344" s="41"/>
      <c r="O344" s="41"/>
      <c r="P344" s="41"/>
      <c r="Q344" s="409"/>
      <c r="R344" s="128">
        <f t="shared" si="583"/>
        <v>0</v>
      </c>
      <c r="S344" s="41"/>
      <c r="T344" s="41"/>
      <c r="U344" s="41"/>
      <c r="V344" s="41"/>
      <c r="W344" s="41"/>
      <c r="X344" s="41"/>
      <c r="Y344" s="41"/>
      <c r="Z344" s="41"/>
      <c r="AA344" s="128">
        <f t="shared" si="597"/>
        <v>0</v>
      </c>
      <c r="AB344" s="128">
        <f t="shared" si="584"/>
        <v>0</v>
      </c>
      <c r="AC344" s="175">
        <f t="shared" si="619"/>
        <v>0</v>
      </c>
    </row>
    <row r="345" spans="1:29" ht="28.5" hidden="1" x14ac:dyDescent="0.2">
      <c r="B345" s="76" t="s">
        <v>831</v>
      </c>
      <c r="C345" s="77" t="s">
        <v>832</v>
      </c>
      <c r="D345" s="41"/>
      <c r="E345" s="188">
        <f>SUM('ADICIONES  2021'!C345:I345)</f>
        <v>18000000</v>
      </c>
      <c r="F345" s="41"/>
      <c r="G345" s="41"/>
      <c r="H345" s="41"/>
      <c r="I345" s="41"/>
      <c r="J345" s="41"/>
      <c r="K345" s="128">
        <f t="shared" si="645"/>
        <v>18000000</v>
      </c>
      <c r="L345" s="41"/>
      <c r="M345" s="41"/>
      <c r="N345" s="41"/>
      <c r="O345" s="41"/>
      <c r="P345" s="41"/>
      <c r="Q345" s="409"/>
      <c r="R345" s="128">
        <f t="shared" si="583"/>
        <v>0</v>
      </c>
      <c r="S345" s="41"/>
      <c r="T345" s="41"/>
      <c r="U345" s="41"/>
      <c r="V345" s="41"/>
      <c r="W345" s="41"/>
      <c r="X345" s="41"/>
      <c r="Y345" s="41"/>
      <c r="Z345" s="41"/>
      <c r="AA345" s="128">
        <f t="shared" si="597"/>
        <v>0</v>
      </c>
      <c r="AB345" s="128">
        <f t="shared" si="584"/>
        <v>0</v>
      </c>
      <c r="AC345" s="175">
        <f t="shared" si="619"/>
        <v>0</v>
      </c>
    </row>
    <row r="346" spans="1:29" s="63" customFormat="1" ht="31.5" hidden="1" x14ac:dyDescent="0.2">
      <c r="A346" s="399"/>
      <c r="B346" s="81" t="s">
        <v>833</v>
      </c>
      <c r="C346" s="79" t="s">
        <v>834</v>
      </c>
      <c r="D346" s="162">
        <f>+D347+D349+D352+D354+D374+D375+D376+D377+D378+D379+D380+D381+D382+D383+D384+D385+D386+D387+D388+D389+D390+D391+D392+D393+D394+D395+D396+D397+D398+D399</f>
        <v>0</v>
      </c>
      <c r="E346" s="187">
        <f>SUM('ADICIONES  2021'!C346:I346)</f>
        <v>8625449945.9599991</v>
      </c>
      <c r="F346" s="162">
        <f>+F347+F349+F352+F354+F374+F375+F376+F377+F378+F379+F380+F381+F382+F383+F384+F385+F386+F387+F388+F389+F390+F391+F392+F393+F394+F395+F396+F397+F398+F399</f>
        <v>0</v>
      </c>
      <c r="G346" s="162">
        <f>+G347+G349+G352+G354+G374+G375+G376+G377+G378+G379+G380+G381+G382+G383+G384+G385+G386+G387+G388+G389+G390+G391+G392+G393+G394+G395+G396+G397+G398+G399</f>
        <v>0</v>
      </c>
      <c r="H346" s="162">
        <f>+H347+H349+H352+H354+H374+H375+H376+H377+H378+H379+H380+H381+H382+H383+H384+H385+H386+H387+H388+H389+H390+H391+H392+H393+H394+H395+H396+H397+H398+H399</f>
        <v>0</v>
      </c>
      <c r="I346" s="162">
        <f>+I347+I349+I352+I354+I374+I375+I376+I377+I378+I379+I380+I381+I382+I383+I384+I385+I386+I387+I388+I389+I390+I391+I392+I393+I394+I395+I396+I397+I398+I399</f>
        <v>0</v>
      </c>
      <c r="J346" s="162">
        <f>+J347+J349+J352+J354+J374+J375+J376+J377+J378+J379+J380+J381+J382+J383+J384+J385+J386+J387+J388+J389+J390+J391+J392+J393+J394+J395+J396+J397+J398+J399</f>
        <v>0</v>
      </c>
      <c r="K346" s="78">
        <f t="shared" si="645"/>
        <v>8625449945.9599991</v>
      </c>
      <c r="L346" s="162">
        <f t="shared" ref="L346:Q346" si="646">+L347+L349+L352+L354+L374+L375+L376+L377+L378+L379+L380+L381+L382+L383+L384+L385+L386+L387+L388+L389+L390+L391+L392+L393+L394+L395+L396+L397+L398+L399</f>
        <v>0</v>
      </c>
      <c r="M346" s="162">
        <f t="shared" si="646"/>
        <v>0</v>
      </c>
      <c r="N346" s="162">
        <f t="shared" si="646"/>
        <v>0</v>
      </c>
      <c r="O346" s="162">
        <f t="shared" si="646"/>
        <v>0</v>
      </c>
      <c r="P346" s="162">
        <f t="shared" si="646"/>
        <v>7839414227.4300003</v>
      </c>
      <c r="Q346" s="418">
        <f t="shared" si="646"/>
        <v>0</v>
      </c>
      <c r="R346" s="78">
        <f t="shared" ref="R346:R630" si="647">SUM(L346:Q346)</f>
        <v>7839414227.4300003</v>
      </c>
      <c r="S346" s="162">
        <f t="shared" ref="S346:Z346" si="648">+S347+S349+S352+S354+S374+S375+S376+S377+S378+S379+S380+S381+S382+S383+S384+S385+S386+S387+S388+S389+S390+S391+S392+S393+S394+S395+S396+S397+S398+S399</f>
        <v>0</v>
      </c>
      <c r="T346" s="162">
        <f t="shared" si="648"/>
        <v>0</v>
      </c>
      <c r="U346" s="162">
        <f t="shared" si="648"/>
        <v>0</v>
      </c>
      <c r="V346" s="162">
        <f t="shared" si="648"/>
        <v>0</v>
      </c>
      <c r="W346" s="162">
        <f t="shared" si="648"/>
        <v>0</v>
      </c>
      <c r="X346" s="162">
        <f t="shared" si="648"/>
        <v>0</v>
      </c>
      <c r="Y346" s="162">
        <f t="shared" si="648"/>
        <v>0</v>
      </c>
      <c r="Z346" s="162">
        <f t="shared" si="648"/>
        <v>0</v>
      </c>
      <c r="AA346" s="78">
        <f t="shared" si="597"/>
        <v>0</v>
      </c>
      <c r="AB346" s="78">
        <f t="shared" ref="AB346:AB600" si="649">+R346+AA346</f>
        <v>7839414227.4300003</v>
      </c>
      <c r="AC346" s="174">
        <f t="shared" si="619"/>
        <v>0.90887017796698677</v>
      </c>
    </row>
    <row r="347" spans="1:29" s="63" customFormat="1" ht="31.5" hidden="1" x14ac:dyDescent="0.2">
      <c r="A347" s="399"/>
      <c r="B347" s="81" t="s">
        <v>835</v>
      </c>
      <c r="C347" s="79" t="s">
        <v>836</v>
      </c>
      <c r="D347" s="162">
        <f t="shared" ref="D347" si="650">+D348</f>
        <v>0</v>
      </c>
      <c r="E347" s="187">
        <f>SUM('ADICIONES  2021'!C347:I347)</f>
        <v>6063279</v>
      </c>
      <c r="F347" s="162">
        <f t="shared" ref="F347:J347" si="651">+F348</f>
        <v>0</v>
      </c>
      <c r="G347" s="162">
        <f t="shared" si="651"/>
        <v>0</v>
      </c>
      <c r="H347" s="162">
        <f t="shared" si="651"/>
        <v>0</v>
      </c>
      <c r="I347" s="162">
        <f t="shared" si="651"/>
        <v>0</v>
      </c>
      <c r="J347" s="162">
        <f t="shared" si="651"/>
        <v>0</v>
      </c>
      <c r="K347" s="78">
        <f t="shared" si="645"/>
        <v>6063279</v>
      </c>
      <c r="L347" s="162">
        <f t="shared" ref="L347:Q347" si="652">+L348</f>
        <v>0</v>
      </c>
      <c r="M347" s="162">
        <f t="shared" si="652"/>
        <v>0</v>
      </c>
      <c r="N347" s="162">
        <f t="shared" si="652"/>
        <v>0</v>
      </c>
      <c r="O347" s="162">
        <f t="shared" si="652"/>
        <v>0</v>
      </c>
      <c r="P347" s="162">
        <f t="shared" si="652"/>
        <v>0</v>
      </c>
      <c r="Q347" s="418">
        <f t="shared" si="652"/>
        <v>0</v>
      </c>
      <c r="R347" s="78">
        <f t="shared" si="647"/>
        <v>0</v>
      </c>
      <c r="S347" s="162">
        <f t="shared" ref="S347:Z347" si="653">+S348</f>
        <v>0</v>
      </c>
      <c r="T347" s="162">
        <f t="shared" si="653"/>
        <v>0</v>
      </c>
      <c r="U347" s="162">
        <f t="shared" si="653"/>
        <v>0</v>
      </c>
      <c r="V347" s="162">
        <f t="shared" si="653"/>
        <v>0</v>
      </c>
      <c r="W347" s="162">
        <f t="shared" si="653"/>
        <v>0</v>
      </c>
      <c r="X347" s="162">
        <f t="shared" si="653"/>
        <v>0</v>
      </c>
      <c r="Y347" s="162">
        <f t="shared" si="653"/>
        <v>0</v>
      </c>
      <c r="Z347" s="162">
        <f t="shared" si="653"/>
        <v>0</v>
      </c>
      <c r="AA347" s="78">
        <f t="shared" si="597"/>
        <v>0</v>
      </c>
      <c r="AB347" s="78">
        <f t="shared" si="649"/>
        <v>0</v>
      </c>
      <c r="AC347" s="174">
        <f t="shared" si="619"/>
        <v>0</v>
      </c>
    </row>
    <row r="348" spans="1:29" ht="28.5" hidden="1" x14ac:dyDescent="0.2">
      <c r="B348" s="76" t="s">
        <v>837</v>
      </c>
      <c r="C348" s="77" t="s">
        <v>836</v>
      </c>
      <c r="D348" s="41"/>
      <c r="E348" s="188">
        <f>SUM('ADICIONES  2021'!C348:I348)</f>
        <v>6063279</v>
      </c>
      <c r="F348" s="41"/>
      <c r="G348" s="41"/>
      <c r="H348" s="41"/>
      <c r="I348" s="41"/>
      <c r="J348" s="41"/>
      <c r="K348" s="128">
        <f t="shared" si="645"/>
        <v>6063279</v>
      </c>
      <c r="L348" s="41"/>
      <c r="M348" s="41"/>
      <c r="N348" s="41"/>
      <c r="O348" s="41"/>
      <c r="P348" s="41"/>
      <c r="Q348" s="409"/>
      <c r="R348" s="128">
        <f t="shared" si="647"/>
        <v>0</v>
      </c>
      <c r="S348" s="41"/>
      <c r="T348" s="41"/>
      <c r="U348" s="41"/>
      <c r="V348" s="41"/>
      <c r="W348" s="41"/>
      <c r="X348" s="41"/>
      <c r="Y348" s="41"/>
      <c r="Z348" s="41"/>
      <c r="AA348" s="128">
        <f t="shared" si="597"/>
        <v>0</v>
      </c>
      <c r="AB348" s="128">
        <f t="shared" si="649"/>
        <v>0</v>
      </c>
      <c r="AC348" s="175">
        <f t="shared" si="619"/>
        <v>0</v>
      </c>
    </row>
    <row r="349" spans="1:29" ht="19.5" hidden="1" x14ac:dyDescent="0.2">
      <c r="B349" s="81" t="s">
        <v>1211</v>
      </c>
      <c r="C349" s="79" t="s">
        <v>1212</v>
      </c>
      <c r="D349" s="162">
        <f t="shared" ref="D349" si="654">SUM(D350:D351)</f>
        <v>0</v>
      </c>
      <c r="E349" s="187">
        <f>SUM('ADICIONES  2021'!C349:I349)</f>
        <v>1337794170.01</v>
      </c>
      <c r="F349" s="162">
        <f t="shared" ref="F349:J349" si="655">SUM(F350:F351)</f>
        <v>0</v>
      </c>
      <c r="G349" s="162">
        <f t="shared" si="655"/>
        <v>0</v>
      </c>
      <c r="H349" s="162">
        <f t="shared" si="655"/>
        <v>0</v>
      </c>
      <c r="I349" s="162">
        <f t="shared" si="655"/>
        <v>0</v>
      </c>
      <c r="J349" s="162">
        <f t="shared" si="655"/>
        <v>0</v>
      </c>
      <c r="K349" s="78">
        <f t="shared" si="645"/>
        <v>1337794170.01</v>
      </c>
      <c r="L349" s="162">
        <f t="shared" ref="L349:Q349" si="656">SUM(L350:L351)</f>
        <v>0</v>
      </c>
      <c r="M349" s="162">
        <f t="shared" si="656"/>
        <v>0</v>
      </c>
      <c r="N349" s="162">
        <f t="shared" si="656"/>
        <v>0</v>
      </c>
      <c r="O349" s="162">
        <f t="shared" si="656"/>
        <v>0</v>
      </c>
      <c r="P349" s="162">
        <f t="shared" si="656"/>
        <v>612356670.00999999</v>
      </c>
      <c r="Q349" s="418">
        <f t="shared" si="656"/>
        <v>0</v>
      </c>
      <c r="R349" s="78">
        <f t="shared" si="647"/>
        <v>612356670.00999999</v>
      </c>
      <c r="S349" s="162">
        <f t="shared" ref="S349:Z349" si="657">SUM(S350:S351)</f>
        <v>0</v>
      </c>
      <c r="T349" s="162">
        <f t="shared" si="657"/>
        <v>0</v>
      </c>
      <c r="U349" s="162">
        <f t="shared" si="657"/>
        <v>0</v>
      </c>
      <c r="V349" s="162">
        <f t="shared" si="657"/>
        <v>0</v>
      </c>
      <c r="W349" s="162">
        <f t="shared" si="657"/>
        <v>0</v>
      </c>
      <c r="X349" s="162">
        <f t="shared" si="657"/>
        <v>0</v>
      </c>
      <c r="Y349" s="162">
        <f t="shared" si="657"/>
        <v>0</v>
      </c>
      <c r="Z349" s="162">
        <f t="shared" si="657"/>
        <v>0</v>
      </c>
      <c r="AA349" s="78">
        <f t="shared" ref="AA349:AA415" si="658">SUM(S349:Z349)</f>
        <v>0</v>
      </c>
      <c r="AB349" s="78">
        <f t="shared" si="649"/>
        <v>612356670.00999999</v>
      </c>
      <c r="AC349" s="174">
        <f t="shared" si="619"/>
        <v>0.45773608806011062</v>
      </c>
    </row>
    <row r="350" spans="1:29" ht="14.25" hidden="1" x14ac:dyDescent="0.2">
      <c r="B350" s="76" t="s">
        <v>1213</v>
      </c>
      <c r="C350" s="77" t="s">
        <v>1212</v>
      </c>
      <c r="D350" s="128"/>
      <c r="E350" s="188">
        <f>SUM('ADICIONES  2021'!C350:I350)</f>
        <v>612356670.00999999</v>
      </c>
      <c r="F350" s="128"/>
      <c r="G350" s="128"/>
      <c r="H350" s="128"/>
      <c r="I350" s="128"/>
      <c r="J350" s="128"/>
      <c r="K350" s="128">
        <f t="shared" si="645"/>
        <v>612356670.00999999</v>
      </c>
      <c r="L350" s="128"/>
      <c r="M350" s="128"/>
      <c r="N350" s="128"/>
      <c r="O350" s="128"/>
      <c r="P350" s="128">
        <v>612356670.00999999</v>
      </c>
      <c r="Q350" s="413"/>
      <c r="R350" s="128">
        <f t="shared" si="647"/>
        <v>612356670.00999999</v>
      </c>
      <c r="S350" s="128"/>
      <c r="T350" s="128"/>
      <c r="U350" s="128"/>
      <c r="V350" s="128"/>
      <c r="W350" s="128"/>
      <c r="X350" s="128"/>
      <c r="Y350" s="128"/>
      <c r="Z350" s="128"/>
      <c r="AA350" s="128">
        <f t="shared" ref="AA350" si="659">SUM(S350:Z350)</f>
        <v>0</v>
      </c>
      <c r="AB350" s="128">
        <f t="shared" si="649"/>
        <v>612356670.00999999</v>
      </c>
      <c r="AC350" s="175">
        <f t="shared" si="619"/>
        <v>1</v>
      </c>
    </row>
    <row r="351" spans="1:29" ht="14.25" hidden="1" x14ac:dyDescent="0.2">
      <c r="B351" s="76" t="s">
        <v>1213</v>
      </c>
      <c r="C351" s="77" t="s">
        <v>1212</v>
      </c>
      <c r="D351" s="41"/>
      <c r="E351" s="188">
        <f>SUM('ADICIONES  2021'!C351:I351)</f>
        <v>725437500</v>
      </c>
      <c r="F351" s="41"/>
      <c r="G351" s="41"/>
      <c r="H351" s="41"/>
      <c r="I351" s="41"/>
      <c r="J351" s="41"/>
      <c r="K351" s="128">
        <f t="shared" si="645"/>
        <v>725437500</v>
      </c>
      <c r="L351" s="41"/>
      <c r="M351" s="41"/>
      <c r="N351" s="41"/>
      <c r="O351" s="41"/>
      <c r="P351" s="41">
        <v>0</v>
      </c>
      <c r="Q351" s="409"/>
      <c r="R351" s="128">
        <f t="shared" si="647"/>
        <v>0</v>
      </c>
      <c r="S351" s="41"/>
      <c r="T351" s="41"/>
      <c r="U351" s="41"/>
      <c r="V351" s="41"/>
      <c r="W351" s="41"/>
      <c r="X351" s="41"/>
      <c r="Y351" s="41"/>
      <c r="Z351" s="41"/>
      <c r="AA351" s="128">
        <f t="shared" si="658"/>
        <v>0</v>
      </c>
      <c r="AB351" s="128">
        <f t="shared" si="649"/>
        <v>0</v>
      </c>
      <c r="AC351" s="175">
        <f t="shared" si="619"/>
        <v>0</v>
      </c>
    </row>
    <row r="352" spans="1:29" ht="47.25" hidden="1" x14ac:dyDescent="0.2">
      <c r="B352" s="81" t="s">
        <v>1214</v>
      </c>
      <c r="C352" s="79" t="s">
        <v>1215</v>
      </c>
      <c r="D352" s="162">
        <f t="shared" ref="D352" si="660">+D353</f>
        <v>0</v>
      </c>
      <c r="E352" s="187">
        <f>SUM('ADICIONES  2021'!C352:I352)</f>
        <v>54534939.329999998</v>
      </c>
      <c r="F352" s="162">
        <f t="shared" ref="F352:J352" si="661">+F353</f>
        <v>0</v>
      </c>
      <c r="G352" s="162">
        <f t="shared" si="661"/>
        <v>0</v>
      </c>
      <c r="H352" s="162">
        <f t="shared" si="661"/>
        <v>0</v>
      </c>
      <c r="I352" s="162">
        <f t="shared" si="661"/>
        <v>0</v>
      </c>
      <c r="J352" s="162">
        <f t="shared" si="661"/>
        <v>0</v>
      </c>
      <c r="K352" s="78">
        <f t="shared" si="645"/>
        <v>54534939.329999998</v>
      </c>
      <c r="L352" s="162">
        <f t="shared" ref="L352:Q352" si="662">+L353</f>
        <v>0</v>
      </c>
      <c r="M352" s="162">
        <f t="shared" si="662"/>
        <v>0</v>
      </c>
      <c r="N352" s="162">
        <f t="shared" si="662"/>
        <v>0</v>
      </c>
      <c r="O352" s="162">
        <f t="shared" si="662"/>
        <v>0</v>
      </c>
      <c r="P352" s="162">
        <f t="shared" si="662"/>
        <v>0</v>
      </c>
      <c r="Q352" s="418">
        <f t="shared" si="662"/>
        <v>0</v>
      </c>
      <c r="R352" s="78">
        <f t="shared" si="647"/>
        <v>0</v>
      </c>
      <c r="S352" s="162">
        <f t="shared" ref="S352:Z352" si="663">+S353</f>
        <v>0</v>
      </c>
      <c r="T352" s="162">
        <f t="shared" si="663"/>
        <v>0</v>
      </c>
      <c r="U352" s="162">
        <f t="shared" si="663"/>
        <v>0</v>
      </c>
      <c r="V352" s="162">
        <f t="shared" si="663"/>
        <v>0</v>
      </c>
      <c r="W352" s="162">
        <f t="shared" si="663"/>
        <v>0</v>
      </c>
      <c r="X352" s="162">
        <f t="shared" si="663"/>
        <v>0</v>
      </c>
      <c r="Y352" s="162">
        <f t="shared" si="663"/>
        <v>0</v>
      </c>
      <c r="Z352" s="162">
        <f t="shared" si="663"/>
        <v>0</v>
      </c>
      <c r="AA352" s="78">
        <f t="shared" si="658"/>
        <v>0</v>
      </c>
      <c r="AB352" s="78">
        <f t="shared" si="649"/>
        <v>0</v>
      </c>
      <c r="AC352" s="174">
        <f t="shared" si="619"/>
        <v>0</v>
      </c>
    </row>
    <row r="353" spans="1:29" ht="42.75" hidden="1" x14ac:dyDescent="0.2">
      <c r="B353" s="76" t="s">
        <v>1216</v>
      </c>
      <c r="C353" s="77" t="s">
        <v>1217</v>
      </c>
      <c r="D353" s="41"/>
      <c r="E353" s="188">
        <f>SUM('ADICIONES  2021'!C353:I353)</f>
        <v>54534939.329999998</v>
      </c>
      <c r="F353" s="41"/>
      <c r="G353" s="41"/>
      <c r="H353" s="41"/>
      <c r="I353" s="41"/>
      <c r="J353" s="41"/>
      <c r="K353" s="128">
        <f t="shared" si="645"/>
        <v>54534939.329999998</v>
      </c>
      <c r="L353" s="41"/>
      <c r="M353" s="41"/>
      <c r="N353" s="41"/>
      <c r="O353" s="41"/>
      <c r="P353" s="41"/>
      <c r="Q353" s="409"/>
      <c r="R353" s="128">
        <f t="shared" si="647"/>
        <v>0</v>
      </c>
      <c r="S353" s="41"/>
      <c r="T353" s="41"/>
      <c r="U353" s="41"/>
      <c r="V353" s="41"/>
      <c r="W353" s="41"/>
      <c r="X353" s="41"/>
      <c r="Y353" s="41"/>
      <c r="Z353" s="41"/>
      <c r="AA353" s="128">
        <f t="shared" si="658"/>
        <v>0</v>
      </c>
      <c r="AB353" s="128">
        <f t="shared" si="649"/>
        <v>0</v>
      </c>
      <c r="AC353" s="175">
        <f t="shared" si="619"/>
        <v>0</v>
      </c>
    </row>
    <row r="354" spans="1:29" s="63" customFormat="1" ht="15.75" hidden="1" x14ac:dyDescent="0.2">
      <c r="A354" s="399"/>
      <c r="B354" s="81" t="s">
        <v>1269</v>
      </c>
      <c r="C354" s="79" t="s">
        <v>1270</v>
      </c>
      <c r="D354" s="146">
        <f>SUM(D355:D373)</f>
        <v>0</v>
      </c>
      <c r="E354" s="187">
        <f>SUM('ADICIONES  2021'!C354:I354)</f>
        <v>3598645853.5599999</v>
      </c>
      <c r="F354" s="146">
        <f t="shared" ref="F354:J354" si="664">SUM(F355:F373)</f>
        <v>0</v>
      </c>
      <c r="G354" s="146">
        <f t="shared" si="664"/>
        <v>0</v>
      </c>
      <c r="H354" s="146">
        <f t="shared" si="664"/>
        <v>0</v>
      </c>
      <c r="I354" s="146">
        <f t="shared" si="664"/>
        <v>0</v>
      </c>
      <c r="J354" s="146">
        <f t="shared" si="664"/>
        <v>0</v>
      </c>
      <c r="K354" s="78">
        <f t="shared" si="645"/>
        <v>3598645853.5599999</v>
      </c>
      <c r="L354" s="146">
        <f t="shared" ref="L354:Q354" si="665">SUM(L355:L373)</f>
        <v>0</v>
      </c>
      <c r="M354" s="146">
        <f t="shared" si="665"/>
        <v>0</v>
      </c>
      <c r="N354" s="146">
        <f t="shared" si="665"/>
        <v>0</v>
      </c>
      <c r="O354" s="146">
        <f t="shared" si="665"/>
        <v>0</v>
      </c>
      <c r="P354" s="146">
        <f t="shared" si="665"/>
        <v>3598645853.3600001</v>
      </c>
      <c r="Q354" s="411">
        <f t="shared" si="665"/>
        <v>0</v>
      </c>
      <c r="R354" s="78">
        <f t="shared" si="647"/>
        <v>3598645853.3600001</v>
      </c>
      <c r="S354" s="146">
        <f t="shared" ref="S354:Z354" si="666">SUM(S355:S373)</f>
        <v>0</v>
      </c>
      <c r="T354" s="146">
        <f t="shared" si="666"/>
        <v>0</v>
      </c>
      <c r="U354" s="146">
        <f t="shared" si="666"/>
        <v>0</v>
      </c>
      <c r="V354" s="146">
        <f t="shared" si="666"/>
        <v>0</v>
      </c>
      <c r="W354" s="146">
        <f t="shared" si="666"/>
        <v>0</v>
      </c>
      <c r="X354" s="146">
        <f t="shared" si="666"/>
        <v>0</v>
      </c>
      <c r="Y354" s="146">
        <f t="shared" si="666"/>
        <v>0</v>
      </c>
      <c r="Z354" s="146">
        <f t="shared" si="666"/>
        <v>0</v>
      </c>
      <c r="AA354" s="78">
        <f t="shared" si="658"/>
        <v>0</v>
      </c>
      <c r="AB354" s="78">
        <f t="shared" si="649"/>
        <v>3598645853.3600001</v>
      </c>
      <c r="AC354" s="174">
        <f t="shared" si="619"/>
        <v>0.99999999994442357</v>
      </c>
    </row>
    <row r="355" spans="1:29" ht="14.25" hidden="1" x14ac:dyDescent="0.2">
      <c r="B355" s="76" t="s">
        <v>1271</v>
      </c>
      <c r="C355" s="77" t="s">
        <v>1272</v>
      </c>
      <c r="D355" s="41"/>
      <c r="E355" s="188">
        <f>SUM('ADICIONES  2021'!C355:I355)</f>
        <v>1902148.61</v>
      </c>
      <c r="F355" s="41"/>
      <c r="G355" s="41"/>
      <c r="H355" s="41"/>
      <c r="I355" s="41"/>
      <c r="J355" s="41"/>
      <c r="K355" s="128">
        <f t="shared" si="645"/>
        <v>1902148.61</v>
      </c>
      <c r="L355" s="41"/>
      <c r="M355" s="41"/>
      <c r="N355" s="41"/>
      <c r="O355" s="41"/>
      <c r="P355" s="41">
        <v>1902148.61</v>
      </c>
      <c r="Q355" s="409"/>
      <c r="R355" s="128">
        <f t="shared" si="647"/>
        <v>1902148.61</v>
      </c>
      <c r="S355" s="41"/>
      <c r="T355" s="41"/>
      <c r="U355" s="41"/>
      <c r="V355" s="41"/>
      <c r="W355" s="41"/>
      <c r="X355" s="41"/>
      <c r="Y355" s="41"/>
      <c r="Z355" s="41"/>
      <c r="AA355" s="128">
        <f t="shared" si="658"/>
        <v>0</v>
      </c>
      <c r="AB355" s="128">
        <f t="shared" si="649"/>
        <v>1902148.61</v>
      </c>
      <c r="AC355" s="175">
        <f t="shared" si="619"/>
        <v>1</v>
      </c>
    </row>
    <row r="356" spans="1:29" ht="28.5" hidden="1" x14ac:dyDescent="0.2">
      <c r="B356" s="76" t="s">
        <v>1273</v>
      </c>
      <c r="C356" s="77" t="s">
        <v>1274</v>
      </c>
      <c r="D356" s="41"/>
      <c r="E356" s="188">
        <f>SUM('ADICIONES  2021'!C356:I356)</f>
        <v>1621491649.77</v>
      </c>
      <c r="F356" s="41"/>
      <c r="G356" s="41"/>
      <c r="H356" s="41"/>
      <c r="I356" s="41"/>
      <c r="J356" s="41"/>
      <c r="K356" s="128">
        <f t="shared" si="645"/>
        <v>1621491649.77</v>
      </c>
      <c r="L356" s="41"/>
      <c r="M356" s="41"/>
      <c r="N356" s="41"/>
      <c r="O356" s="41"/>
      <c r="P356" s="41">
        <v>1621491649.77</v>
      </c>
      <c r="Q356" s="409"/>
      <c r="R356" s="128">
        <f t="shared" si="647"/>
        <v>1621491649.77</v>
      </c>
      <c r="S356" s="41"/>
      <c r="T356" s="41"/>
      <c r="U356" s="41"/>
      <c r="V356" s="41"/>
      <c r="W356" s="41"/>
      <c r="X356" s="41"/>
      <c r="Y356" s="41"/>
      <c r="Z356" s="41"/>
      <c r="AA356" s="128">
        <f t="shared" si="658"/>
        <v>0</v>
      </c>
      <c r="AB356" s="128">
        <f t="shared" si="649"/>
        <v>1621491649.77</v>
      </c>
      <c r="AC356" s="175">
        <f t="shared" si="619"/>
        <v>1</v>
      </c>
    </row>
    <row r="357" spans="1:29" ht="28.5" hidden="1" x14ac:dyDescent="0.2">
      <c r="B357" s="76" t="s">
        <v>1275</v>
      </c>
      <c r="C357" s="77" t="s">
        <v>1276</v>
      </c>
      <c r="D357" s="41"/>
      <c r="E357" s="188">
        <f>SUM('ADICIONES  2021'!C357:I357)</f>
        <v>177998545.74000001</v>
      </c>
      <c r="F357" s="41"/>
      <c r="G357" s="41"/>
      <c r="H357" s="41"/>
      <c r="I357" s="41"/>
      <c r="J357" s="41"/>
      <c r="K357" s="128">
        <f t="shared" si="645"/>
        <v>177998545.74000001</v>
      </c>
      <c r="L357" s="41"/>
      <c r="M357" s="41"/>
      <c r="N357" s="41"/>
      <c r="O357" s="41"/>
      <c r="P357" s="41">
        <v>177998545.74000001</v>
      </c>
      <c r="Q357" s="409"/>
      <c r="R357" s="128">
        <f t="shared" si="647"/>
        <v>177998545.74000001</v>
      </c>
      <c r="S357" s="41"/>
      <c r="T357" s="41"/>
      <c r="U357" s="41"/>
      <c r="V357" s="41"/>
      <c r="W357" s="41"/>
      <c r="X357" s="41"/>
      <c r="Y357" s="41"/>
      <c r="Z357" s="41"/>
      <c r="AA357" s="128">
        <f t="shared" si="658"/>
        <v>0</v>
      </c>
      <c r="AB357" s="128">
        <f t="shared" si="649"/>
        <v>177998545.74000001</v>
      </c>
      <c r="AC357" s="175">
        <f t="shared" si="619"/>
        <v>1</v>
      </c>
    </row>
    <row r="358" spans="1:29" ht="28.5" hidden="1" x14ac:dyDescent="0.2">
      <c r="B358" s="76" t="s">
        <v>1277</v>
      </c>
      <c r="C358" s="77" t="s">
        <v>1278</v>
      </c>
      <c r="D358" s="41"/>
      <c r="E358" s="188">
        <f>SUM('ADICIONES  2021'!C358:I358)</f>
        <v>381321589.42000002</v>
      </c>
      <c r="F358" s="41"/>
      <c r="G358" s="41"/>
      <c r="H358" s="41"/>
      <c r="I358" s="41"/>
      <c r="J358" s="41"/>
      <c r="K358" s="128">
        <f t="shared" si="645"/>
        <v>381321589.42000002</v>
      </c>
      <c r="L358" s="41"/>
      <c r="M358" s="41"/>
      <c r="N358" s="41"/>
      <c r="O358" s="41"/>
      <c r="P358" s="41">
        <v>381321589.42000002</v>
      </c>
      <c r="Q358" s="409"/>
      <c r="R358" s="128">
        <f t="shared" si="647"/>
        <v>381321589.42000002</v>
      </c>
      <c r="S358" s="41"/>
      <c r="T358" s="41"/>
      <c r="U358" s="41"/>
      <c r="V358" s="41"/>
      <c r="W358" s="41"/>
      <c r="X358" s="41"/>
      <c r="Y358" s="41"/>
      <c r="Z358" s="41"/>
      <c r="AA358" s="128">
        <f t="shared" si="658"/>
        <v>0</v>
      </c>
      <c r="AB358" s="128">
        <f t="shared" si="649"/>
        <v>381321589.42000002</v>
      </c>
      <c r="AC358" s="175">
        <f t="shared" si="619"/>
        <v>1</v>
      </c>
    </row>
    <row r="359" spans="1:29" ht="14.25" hidden="1" x14ac:dyDescent="0.2">
      <c r="B359" s="76" t="s">
        <v>1279</v>
      </c>
      <c r="C359" s="77" t="s">
        <v>1280</v>
      </c>
      <c r="D359" s="41"/>
      <c r="E359" s="188">
        <f>SUM('ADICIONES  2021'!C359:I359)</f>
        <v>84461834.549999997</v>
      </c>
      <c r="F359" s="41"/>
      <c r="G359" s="41"/>
      <c r="H359" s="41"/>
      <c r="I359" s="41"/>
      <c r="J359" s="41"/>
      <c r="K359" s="128">
        <f t="shared" si="645"/>
        <v>84461834.549999997</v>
      </c>
      <c r="L359" s="41"/>
      <c r="M359" s="41"/>
      <c r="N359" s="41"/>
      <c r="O359" s="41"/>
      <c r="P359" s="41">
        <v>84461834.549999997</v>
      </c>
      <c r="Q359" s="409"/>
      <c r="R359" s="128">
        <f t="shared" si="647"/>
        <v>84461834.549999997</v>
      </c>
      <c r="S359" s="41"/>
      <c r="T359" s="41"/>
      <c r="U359" s="41"/>
      <c r="V359" s="41"/>
      <c r="W359" s="41"/>
      <c r="X359" s="41"/>
      <c r="Y359" s="41"/>
      <c r="Z359" s="41"/>
      <c r="AA359" s="128">
        <f t="shared" si="658"/>
        <v>0</v>
      </c>
      <c r="AB359" s="128">
        <f t="shared" si="649"/>
        <v>84461834.549999997</v>
      </c>
      <c r="AC359" s="175">
        <f t="shared" si="619"/>
        <v>1</v>
      </c>
    </row>
    <row r="360" spans="1:29" ht="14.25" hidden="1" x14ac:dyDescent="0.2">
      <c r="B360" s="76" t="s">
        <v>1281</v>
      </c>
      <c r="C360" s="77" t="s">
        <v>1282</v>
      </c>
      <c r="D360" s="41"/>
      <c r="E360" s="188">
        <f>SUM('ADICIONES  2021'!C360:I360)</f>
        <v>130177270.2</v>
      </c>
      <c r="F360" s="41"/>
      <c r="G360" s="41"/>
      <c r="H360" s="41"/>
      <c r="I360" s="41"/>
      <c r="J360" s="41"/>
      <c r="K360" s="128">
        <f t="shared" si="645"/>
        <v>130177270.2</v>
      </c>
      <c r="L360" s="41"/>
      <c r="M360" s="41"/>
      <c r="N360" s="41"/>
      <c r="O360" s="41"/>
      <c r="P360" s="41">
        <v>130177270</v>
      </c>
      <c r="Q360" s="409"/>
      <c r="R360" s="128">
        <f t="shared" si="647"/>
        <v>130177270</v>
      </c>
      <c r="S360" s="41"/>
      <c r="T360" s="41"/>
      <c r="U360" s="41"/>
      <c r="V360" s="41"/>
      <c r="W360" s="41"/>
      <c r="X360" s="41"/>
      <c r="Y360" s="41"/>
      <c r="Z360" s="41"/>
      <c r="AA360" s="128">
        <f t="shared" si="658"/>
        <v>0</v>
      </c>
      <c r="AB360" s="128">
        <f t="shared" si="649"/>
        <v>130177270</v>
      </c>
      <c r="AC360" s="175">
        <f t="shared" si="619"/>
        <v>0.99999999846363341</v>
      </c>
    </row>
    <row r="361" spans="1:29" ht="42.75" hidden="1" x14ac:dyDescent="0.2">
      <c r="B361" s="76" t="s">
        <v>1283</v>
      </c>
      <c r="C361" s="77" t="s">
        <v>1284</v>
      </c>
      <c r="D361" s="41"/>
      <c r="E361" s="188">
        <f>SUM('ADICIONES  2021'!C361:I361)</f>
        <v>132503403.73999999</v>
      </c>
      <c r="F361" s="41"/>
      <c r="G361" s="41"/>
      <c r="H361" s="41"/>
      <c r="I361" s="41"/>
      <c r="J361" s="41"/>
      <c r="K361" s="128">
        <f t="shared" si="645"/>
        <v>132503403.73999999</v>
      </c>
      <c r="L361" s="41"/>
      <c r="M361" s="41"/>
      <c r="N361" s="41"/>
      <c r="O361" s="41"/>
      <c r="P361" s="41">
        <v>132503403.73999999</v>
      </c>
      <c r="Q361" s="409"/>
      <c r="R361" s="128">
        <f t="shared" si="647"/>
        <v>132503403.73999999</v>
      </c>
      <c r="S361" s="41"/>
      <c r="T361" s="41"/>
      <c r="U361" s="41"/>
      <c r="V361" s="41"/>
      <c r="W361" s="41"/>
      <c r="X361" s="41"/>
      <c r="Y361" s="41"/>
      <c r="Z361" s="41"/>
      <c r="AA361" s="128">
        <f t="shared" si="658"/>
        <v>0</v>
      </c>
      <c r="AB361" s="128">
        <f t="shared" si="649"/>
        <v>132503403.73999999</v>
      </c>
      <c r="AC361" s="175">
        <f t="shared" si="619"/>
        <v>1</v>
      </c>
    </row>
    <row r="362" spans="1:29" ht="28.5" hidden="1" x14ac:dyDescent="0.2">
      <c r="B362" s="76" t="s">
        <v>1285</v>
      </c>
      <c r="C362" s="77" t="s">
        <v>1286</v>
      </c>
      <c r="D362" s="41"/>
      <c r="E362" s="188">
        <f>SUM('ADICIONES  2021'!C362:I362)</f>
        <v>2966244.44</v>
      </c>
      <c r="F362" s="41"/>
      <c r="G362" s="41"/>
      <c r="H362" s="41"/>
      <c r="I362" s="41"/>
      <c r="J362" s="41"/>
      <c r="K362" s="128">
        <f t="shared" si="645"/>
        <v>2966244.44</v>
      </c>
      <c r="L362" s="41"/>
      <c r="M362" s="41"/>
      <c r="N362" s="41"/>
      <c r="O362" s="41"/>
      <c r="P362" s="41">
        <v>2966244.44</v>
      </c>
      <c r="Q362" s="409"/>
      <c r="R362" s="128">
        <f t="shared" si="647"/>
        <v>2966244.44</v>
      </c>
      <c r="S362" s="41"/>
      <c r="T362" s="41"/>
      <c r="U362" s="41"/>
      <c r="V362" s="41"/>
      <c r="W362" s="41"/>
      <c r="X362" s="41"/>
      <c r="Y362" s="41"/>
      <c r="Z362" s="41"/>
      <c r="AA362" s="128">
        <f t="shared" si="658"/>
        <v>0</v>
      </c>
      <c r="AB362" s="128">
        <f t="shared" si="649"/>
        <v>2966244.44</v>
      </c>
      <c r="AC362" s="175">
        <f t="shared" si="619"/>
        <v>1</v>
      </c>
    </row>
    <row r="363" spans="1:29" ht="28.5" hidden="1" x14ac:dyDescent="0.2">
      <c r="B363" s="76" t="s">
        <v>1287</v>
      </c>
      <c r="C363" s="77" t="s">
        <v>1288</v>
      </c>
      <c r="D363" s="41"/>
      <c r="E363" s="188">
        <f>SUM('ADICIONES  2021'!C363:I363)</f>
        <v>77303408.400000006</v>
      </c>
      <c r="F363" s="41"/>
      <c r="G363" s="41"/>
      <c r="H363" s="41"/>
      <c r="I363" s="41"/>
      <c r="J363" s="41"/>
      <c r="K363" s="128">
        <f t="shared" si="645"/>
        <v>77303408.400000006</v>
      </c>
      <c r="L363" s="41"/>
      <c r="M363" s="41"/>
      <c r="N363" s="41"/>
      <c r="O363" s="41"/>
      <c r="P363" s="41">
        <v>77303408.400000006</v>
      </c>
      <c r="Q363" s="409"/>
      <c r="R363" s="128">
        <f t="shared" si="647"/>
        <v>77303408.400000006</v>
      </c>
      <c r="S363" s="41"/>
      <c r="T363" s="41"/>
      <c r="U363" s="41"/>
      <c r="V363" s="41"/>
      <c r="W363" s="41"/>
      <c r="X363" s="41"/>
      <c r="Y363" s="41"/>
      <c r="Z363" s="41"/>
      <c r="AA363" s="128">
        <f t="shared" si="658"/>
        <v>0</v>
      </c>
      <c r="AB363" s="128">
        <f t="shared" si="649"/>
        <v>77303408.400000006</v>
      </c>
      <c r="AC363" s="175">
        <f t="shared" si="619"/>
        <v>1</v>
      </c>
    </row>
    <row r="364" spans="1:29" ht="28.5" hidden="1" x14ac:dyDescent="0.2">
      <c r="B364" s="76" t="s">
        <v>1289</v>
      </c>
      <c r="C364" s="77" t="s">
        <v>1290</v>
      </c>
      <c r="D364" s="41"/>
      <c r="E364" s="188">
        <f>SUM('ADICIONES  2021'!C364:I364)</f>
        <v>113234205.3</v>
      </c>
      <c r="F364" s="41"/>
      <c r="G364" s="41"/>
      <c r="H364" s="41"/>
      <c r="I364" s="41"/>
      <c r="J364" s="41"/>
      <c r="K364" s="128">
        <f t="shared" si="645"/>
        <v>113234205.3</v>
      </c>
      <c r="L364" s="41"/>
      <c r="M364" s="41"/>
      <c r="N364" s="41"/>
      <c r="O364" s="41"/>
      <c r="P364" s="41">
        <v>113234205.3</v>
      </c>
      <c r="Q364" s="409"/>
      <c r="R364" s="128">
        <f t="shared" si="647"/>
        <v>113234205.3</v>
      </c>
      <c r="S364" s="41"/>
      <c r="T364" s="41"/>
      <c r="U364" s="41"/>
      <c r="V364" s="41"/>
      <c r="W364" s="41"/>
      <c r="X364" s="41"/>
      <c r="Y364" s="41"/>
      <c r="Z364" s="41"/>
      <c r="AA364" s="128">
        <f t="shared" si="658"/>
        <v>0</v>
      </c>
      <c r="AB364" s="128">
        <f t="shared" si="649"/>
        <v>113234205.3</v>
      </c>
      <c r="AC364" s="175">
        <f t="shared" si="619"/>
        <v>1</v>
      </c>
    </row>
    <row r="365" spans="1:29" ht="28.5" hidden="1" x14ac:dyDescent="0.2">
      <c r="B365" s="76" t="s">
        <v>1291</v>
      </c>
      <c r="C365" s="77" t="s">
        <v>1292</v>
      </c>
      <c r="D365" s="41"/>
      <c r="E365" s="188">
        <f>SUM('ADICIONES  2021'!C365:I365)</f>
        <v>153953647.03999999</v>
      </c>
      <c r="F365" s="41"/>
      <c r="G365" s="41"/>
      <c r="H365" s="41"/>
      <c r="I365" s="41"/>
      <c r="J365" s="41"/>
      <c r="K365" s="128">
        <f t="shared" si="645"/>
        <v>153953647.03999999</v>
      </c>
      <c r="L365" s="41"/>
      <c r="M365" s="41"/>
      <c r="N365" s="41"/>
      <c r="O365" s="41"/>
      <c r="P365" s="41">
        <v>153953647.03999999</v>
      </c>
      <c r="Q365" s="409"/>
      <c r="R365" s="128">
        <f t="shared" si="647"/>
        <v>153953647.03999999</v>
      </c>
      <c r="S365" s="41"/>
      <c r="T365" s="41"/>
      <c r="U365" s="41"/>
      <c r="V365" s="41"/>
      <c r="W365" s="41"/>
      <c r="X365" s="41"/>
      <c r="Y365" s="41"/>
      <c r="Z365" s="41"/>
      <c r="AA365" s="128">
        <f t="shared" si="658"/>
        <v>0</v>
      </c>
      <c r="AB365" s="128">
        <f t="shared" si="649"/>
        <v>153953647.03999999</v>
      </c>
      <c r="AC365" s="175">
        <f t="shared" si="619"/>
        <v>1</v>
      </c>
    </row>
    <row r="366" spans="1:29" ht="28.5" hidden="1" x14ac:dyDescent="0.2">
      <c r="B366" s="76" t="s">
        <v>1293</v>
      </c>
      <c r="C366" s="77" t="s">
        <v>1294</v>
      </c>
      <c r="D366" s="41"/>
      <c r="E366" s="188">
        <f>SUM('ADICIONES  2021'!C366:I366)</f>
        <v>315352581.86000001</v>
      </c>
      <c r="F366" s="41"/>
      <c r="G366" s="41"/>
      <c r="H366" s="41"/>
      <c r="I366" s="41"/>
      <c r="J366" s="41"/>
      <c r="K366" s="128">
        <f t="shared" si="645"/>
        <v>315352581.86000001</v>
      </c>
      <c r="L366" s="41"/>
      <c r="M366" s="41"/>
      <c r="N366" s="41"/>
      <c r="O366" s="41"/>
      <c r="P366" s="41">
        <v>315352581.86000001</v>
      </c>
      <c r="Q366" s="409"/>
      <c r="R366" s="128">
        <f t="shared" si="647"/>
        <v>315352581.86000001</v>
      </c>
      <c r="S366" s="41"/>
      <c r="T366" s="41"/>
      <c r="U366" s="41"/>
      <c r="V366" s="41"/>
      <c r="W366" s="41"/>
      <c r="X366" s="41"/>
      <c r="Y366" s="41"/>
      <c r="Z366" s="41"/>
      <c r="AA366" s="128">
        <f t="shared" si="658"/>
        <v>0</v>
      </c>
      <c r="AB366" s="128">
        <f t="shared" si="649"/>
        <v>315352581.86000001</v>
      </c>
      <c r="AC366" s="175">
        <f t="shared" si="619"/>
        <v>1</v>
      </c>
    </row>
    <row r="367" spans="1:29" ht="28.5" hidden="1" x14ac:dyDescent="0.2">
      <c r="B367" s="76" t="s">
        <v>1295</v>
      </c>
      <c r="C367" s="77" t="s">
        <v>1296</v>
      </c>
      <c r="D367" s="41"/>
      <c r="E367" s="188">
        <f>SUM('ADICIONES  2021'!C367:I367)</f>
        <v>103246582.93000001</v>
      </c>
      <c r="F367" s="41"/>
      <c r="G367" s="41"/>
      <c r="H367" s="41"/>
      <c r="I367" s="41"/>
      <c r="J367" s="41"/>
      <c r="K367" s="128">
        <f t="shared" si="645"/>
        <v>103246582.93000001</v>
      </c>
      <c r="L367" s="41"/>
      <c r="M367" s="41"/>
      <c r="N367" s="41"/>
      <c r="O367" s="41"/>
      <c r="P367" s="41">
        <v>103246582.93000001</v>
      </c>
      <c r="Q367" s="409"/>
      <c r="R367" s="128">
        <f t="shared" si="647"/>
        <v>103246582.93000001</v>
      </c>
      <c r="S367" s="41"/>
      <c r="T367" s="41"/>
      <c r="U367" s="41"/>
      <c r="V367" s="41"/>
      <c r="W367" s="41"/>
      <c r="X367" s="41"/>
      <c r="Y367" s="41"/>
      <c r="Z367" s="41"/>
      <c r="AA367" s="128">
        <f t="shared" si="658"/>
        <v>0</v>
      </c>
      <c r="AB367" s="128">
        <f t="shared" si="649"/>
        <v>103246582.93000001</v>
      </c>
      <c r="AC367" s="175">
        <f t="shared" si="619"/>
        <v>1</v>
      </c>
    </row>
    <row r="368" spans="1:29" ht="28.5" hidden="1" x14ac:dyDescent="0.2">
      <c r="B368" s="76" t="s">
        <v>1297</v>
      </c>
      <c r="C368" s="77" t="s">
        <v>1298</v>
      </c>
      <c r="D368" s="41"/>
      <c r="E368" s="188">
        <f>SUM('ADICIONES  2021'!C368:I368)</f>
        <v>99917502.230000004</v>
      </c>
      <c r="F368" s="41"/>
      <c r="G368" s="41"/>
      <c r="H368" s="41"/>
      <c r="I368" s="41"/>
      <c r="J368" s="41"/>
      <c r="K368" s="128">
        <f t="shared" si="645"/>
        <v>99917502.230000004</v>
      </c>
      <c r="L368" s="41"/>
      <c r="M368" s="41"/>
      <c r="N368" s="41"/>
      <c r="O368" s="41"/>
      <c r="P368" s="41">
        <v>99917502.230000004</v>
      </c>
      <c r="Q368" s="409"/>
      <c r="R368" s="128">
        <f t="shared" si="647"/>
        <v>99917502.230000004</v>
      </c>
      <c r="S368" s="41"/>
      <c r="T368" s="41"/>
      <c r="U368" s="41"/>
      <c r="V368" s="41"/>
      <c r="W368" s="41"/>
      <c r="X368" s="41"/>
      <c r="Y368" s="41"/>
      <c r="Z368" s="41"/>
      <c r="AA368" s="128">
        <f t="shared" ref="AA368:AA375" si="667">SUM(S368:Z368)</f>
        <v>0</v>
      </c>
      <c r="AB368" s="128">
        <f t="shared" si="649"/>
        <v>99917502.230000004</v>
      </c>
      <c r="AC368" s="175">
        <f t="shared" si="619"/>
        <v>1</v>
      </c>
    </row>
    <row r="369" spans="2:29" ht="28.5" hidden="1" x14ac:dyDescent="0.2">
      <c r="B369" s="76" t="s">
        <v>1299</v>
      </c>
      <c r="C369" s="77" t="s">
        <v>1300</v>
      </c>
      <c r="D369" s="41"/>
      <c r="E369" s="188">
        <f>SUM('ADICIONES  2021'!C369:I369)</f>
        <v>63729352.200000003</v>
      </c>
      <c r="F369" s="41"/>
      <c r="G369" s="41"/>
      <c r="H369" s="41"/>
      <c r="I369" s="41"/>
      <c r="J369" s="41"/>
      <c r="K369" s="128">
        <f t="shared" si="645"/>
        <v>63729352.200000003</v>
      </c>
      <c r="L369" s="41"/>
      <c r="M369" s="41"/>
      <c r="N369" s="41"/>
      <c r="O369" s="41"/>
      <c r="P369" s="41">
        <v>63729352.200000003</v>
      </c>
      <c r="Q369" s="409"/>
      <c r="R369" s="128">
        <f t="shared" ref="R369:R376" si="668">SUM(L369:Q369)</f>
        <v>63729352.200000003</v>
      </c>
      <c r="S369" s="41"/>
      <c r="T369" s="41"/>
      <c r="U369" s="41"/>
      <c r="V369" s="41"/>
      <c r="W369" s="41"/>
      <c r="X369" s="41"/>
      <c r="Y369" s="41"/>
      <c r="Z369" s="41"/>
      <c r="AA369" s="128">
        <f t="shared" si="667"/>
        <v>0</v>
      </c>
      <c r="AB369" s="128">
        <f t="shared" si="649"/>
        <v>63729352.200000003</v>
      </c>
      <c r="AC369" s="175">
        <f t="shared" si="619"/>
        <v>1</v>
      </c>
    </row>
    <row r="370" spans="2:29" ht="28.5" hidden="1" x14ac:dyDescent="0.2">
      <c r="B370" s="76" t="s">
        <v>1301</v>
      </c>
      <c r="C370" s="77" t="s">
        <v>1302</v>
      </c>
      <c r="D370" s="41"/>
      <c r="E370" s="188">
        <f>SUM('ADICIONES  2021'!C370:I370)</f>
        <v>15067397.539999999</v>
      </c>
      <c r="F370" s="41"/>
      <c r="G370" s="41"/>
      <c r="H370" s="41"/>
      <c r="I370" s="41"/>
      <c r="J370" s="41"/>
      <c r="K370" s="128">
        <f t="shared" si="645"/>
        <v>15067397.539999999</v>
      </c>
      <c r="L370" s="41"/>
      <c r="M370" s="41"/>
      <c r="N370" s="41"/>
      <c r="O370" s="41"/>
      <c r="P370" s="41">
        <v>15067397.539999999</v>
      </c>
      <c r="Q370" s="409"/>
      <c r="R370" s="128">
        <f t="shared" si="668"/>
        <v>15067397.539999999</v>
      </c>
      <c r="S370" s="41"/>
      <c r="T370" s="41"/>
      <c r="U370" s="41"/>
      <c r="V370" s="41"/>
      <c r="W370" s="41"/>
      <c r="X370" s="41"/>
      <c r="Y370" s="41"/>
      <c r="Z370" s="41"/>
      <c r="AA370" s="128">
        <f t="shared" si="667"/>
        <v>0</v>
      </c>
      <c r="AB370" s="128">
        <f t="shared" si="649"/>
        <v>15067397.539999999</v>
      </c>
      <c r="AC370" s="175">
        <f t="shared" si="619"/>
        <v>1</v>
      </c>
    </row>
    <row r="371" spans="2:29" ht="42.75" hidden="1" x14ac:dyDescent="0.2">
      <c r="B371" s="76" t="s">
        <v>1304</v>
      </c>
      <c r="C371" s="77" t="s">
        <v>1305</v>
      </c>
      <c r="D371" s="41"/>
      <c r="E371" s="188">
        <f>SUM('ADICIONES  2021'!C371:I371)</f>
        <v>67466552.810000002</v>
      </c>
      <c r="F371" s="41"/>
      <c r="G371" s="41"/>
      <c r="H371" s="41"/>
      <c r="I371" s="41"/>
      <c r="J371" s="41"/>
      <c r="K371" s="128">
        <f t="shared" si="645"/>
        <v>67466552.810000002</v>
      </c>
      <c r="L371" s="41"/>
      <c r="M371" s="41"/>
      <c r="N371" s="41"/>
      <c r="O371" s="41"/>
      <c r="P371" s="41">
        <v>67466552.810000002</v>
      </c>
      <c r="Q371" s="409"/>
      <c r="R371" s="128">
        <f t="shared" si="668"/>
        <v>67466552.810000002</v>
      </c>
      <c r="S371" s="41"/>
      <c r="T371" s="41"/>
      <c r="U371" s="41"/>
      <c r="V371" s="41"/>
      <c r="W371" s="41"/>
      <c r="X371" s="41"/>
      <c r="Y371" s="41"/>
      <c r="Z371" s="41"/>
      <c r="AA371" s="128">
        <f t="shared" si="667"/>
        <v>0</v>
      </c>
      <c r="AB371" s="128">
        <f t="shared" si="649"/>
        <v>67466552.810000002</v>
      </c>
      <c r="AC371" s="175">
        <f t="shared" si="619"/>
        <v>1</v>
      </c>
    </row>
    <row r="372" spans="2:29" ht="28.5" hidden="1" x14ac:dyDescent="0.2">
      <c r="B372" s="76" t="s">
        <v>1870</v>
      </c>
      <c r="C372" s="77" t="s">
        <v>1303</v>
      </c>
      <c r="D372" s="41"/>
      <c r="E372" s="188">
        <f>SUM('ADICIONES  2021'!C372:I372)</f>
        <v>0</v>
      </c>
      <c r="F372" s="41"/>
      <c r="G372" s="41"/>
      <c r="H372" s="41"/>
      <c r="I372" s="41"/>
      <c r="J372" s="41"/>
      <c r="K372" s="128">
        <f t="shared" si="645"/>
        <v>0</v>
      </c>
      <c r="L372" s="41"/>
      <c r="M372" s="41"/>
      <c r="N372" s="41"/>
      <c r="O372" s="41"/>
      <c r="P372" s="41">
        <v>0</v>
      </c>
      <c r="Q372" s="409"/>
      <c r="R372" s="128">
        <f t="shared" si="668"/>
        <v>0</v>
      </c>
      <c r="S372" s="41"/>
      <c r="T372" s="41"/>
      <c r="U372" s="41"/>
      <c r="V372" s="41"/>
      <c r="W372" s="41"/>
      <c r="X372" s="41"/>
      <c r="Y372" s="41"/>
      <c r="Z372" s="41"/>
      <c r="AA372" s="128">
        <f t="shared" si="667"/>
        <v>0</v>
      </c>
      <c r="AB372" s="128">
        <f t="shared" si="649"/>
        <v>0</v>
      </c>
      <c r="AC372" s="175" t="e">
        <f t="shared" si="619"/>
        <v>#DIV/0!</v>
      </c>
    </row>
    <row r="373" spans="2:29" ht="28.5" hidden="1" x14ac:dyDescent="0.2">
      <c r="B373" s="76" t="s">
        <v>1860</v>
      </c>
      <c r="C373" s="77" t="s">
        <v>1303</v>
      </c>
      <c r="D373" s="41"/>
      <c r="E373" s="188">
        <f>SUM('ADICIONES  2021'!C373:I373)</f>
        <v>56551936.780000001</v>
      </c>
      <c r="F373" s="41"/>
      <c r="G373" s="41"/>
      <c r="H373" s="41"/>
      <c r="I373" s="41"/>
      <c r="J373" s="41"/>
      <c r="K373" s="128">
        <f t="shared" si="645"/>
        <v>56551936.780000001</v>
      </c>
      <c r="L373" s="41"/>
      <c r="M373" s="41"/>
      <c r="N373" s="41"/>
      <c r="O373" s="41"/>
      <c r="P373" s="41">
        <v>56551936.780000001</v>
      </c>
      <c r="Q373" s="409"/>
      <c r="R373" s="128">
        <f t="shared" si="668"/>
        <v>56551936.780000001</v>
      </c>
      <c r="S373" s="41"/>
      <c r="T373" s="41"/>
      <c r="U373" s="41"/>
      <c r="V373" s="41"/>
      <c r="W373" s="41"/>
      <c r="X373" s="41"/>
      <c r="Y373" s="41"/>
      <c r="Z373" s="41"/>
      <c r="AA373" s="128">
        <f t="shared" si="667"/>
        <v>0</v>
      </c>
      <c r="AB373" s="128">
        <f t="shared" si="649"/>
        <v>56551936.780000001</v>
      </c>
      <c r="AC373" s="175">
        <f t="shared" si="619"/>
        <v>1</v>
      </c>
    </row>
    <row r="374" spans="2:29" ht="28.5" hidden="1" x14ac:dyDescent="0.2">
      <c r="B374" s="76" t="s">
        <v>1306</v>
      </c>
      <c r="C374" s="77" t="s">
        <v>1307</v>
      </c>
      <c r="D374" s="41"/>
      <c r="E374" s="188">
        <f>SUM('ADICIONES  2021'!C374:I374)</f>
        <v>10991322</v>
      </c>
      <c r="F374" s="41"/>
      <c r="G374" s="41"/>
      <c r="H374" s="41"/>
      <c r="I374" s="41"/>
      <c r="J374" s="41"/>
      <c r="K374" s="128">
        <f t="shared" si="645"/>
        <v>10991322</v>
      </c>
      <c r="L374" s="41"/>
      <c r="M374" s="41"/>
      <c r="N374" s="41"/>
      <c r="O374" s="41"/>
      <c r="P374" s="41">
        <v>10991322</v>
      </c>
      <c r="Q374" s="409"/>
      <c r="R374" s="128">
        <f t="shared" si="668"/>
        <v>10991322</v>
      </c>
      <c r="S374" s="41"/>
      <c r="T374" s="41"/>
      <c r="U374" s="41"/>
      <c r="V374" s="41"/>
      <c r="W374" s="41"/>
      <c r="X374" s="41"/>
      <c r="Y374" s="41"/>
      <c r="Z374" s="41"/>
      <c r="AA374" s="128">
        <f t="shared" si="667"/>
        <v>0</v>
      </c>
      <c r="AB374" s="128">
        <f t="shared" si="649"/>
        <v>10991322</v>
      </c>
      <c r="AC374" s="175">
        <f t="shared" si="619"/>
        <v>1</v>
      </c>
    </row>
    <row r="375" spans="2:29" ht="28.5" hidden="1" x14ac:dyDescent="0.2">
      <c r="B375" s="76" t="s">
        <v>1308</v>
      </c>
      <c r="C375" s="77" t="s">
        <v>1309</v>
      </c>
      <c r="D375" s="41"/>
      <c r="E375" s="188">
        <f>SUM('ADICIONES  2021'!C375:I375)</f>
        <v>9502617</v>
      </c>
      <c r="F375" s="41"/>
      <c r="G375" s="41"/>
      <c r="H375" s="41"/>
      <c r="I375" s="41"/>
      <c r="J375" s="41"/>
      <c r="K375" s="128">
        <f t="shared" si="645"/>
        <v>9502617</v>
      </c>
      <c r="L375" s="41"/>
      <c r="M375" s="41"/>
      <c r="N375" s="41"/>
      <c r="O375" s="41"/>
      <c r="P375" s="41">
        <v>9502617</v>
      </c>
      <c r="Q375" s="409"/>
      <c r="R375" s="128">
        <f t="shared" si="668"/>
        <v>9502617</v>
      </c>
      <c r="S375" s="41"/>
      <c r="T375" s="41"/>
      <c r="U375" s="41"/>
      <c r="V375" s="41"/>
      <c r="W375" s="41"/>
      <c r="X375" s="41"/>
      <c r="Y375" s="41"/>
      <c r="Z375" s="41"/>
      <c r="AA375" s="128">
        <f t="shared" si="667"/>
        <v>0</v>
      </c>
      <c r="AB375" s="128">
        <f t="shared" si="649"/>
        <v>9502617</v>
      </c>
      <c r="AC375" s="175">
        <f t="shared" si="619"/>
        <v>1</v>
      </c>
    </row>
    <row r="376" spans="2:29" ht="28.5" hidden="1" x14ac:dyDescent="0.2">
      <c r="B376" s="76" t="s">
        <v>1310</v>
      </c>
      <c r="C376" s="77" t="s">
        <v>1311</v>
      </c>
      <c r="D376" s="41"/>
      <c r="E376" s="188">
        <f>SUM('ADICIONES  2021'!C376:I376)</f>
        <v>32953848.239999998</v>
      </c>
      <c r="F376" s="41"/>
      <c r="G376" s="41"/>
      <c r="H376" s="41"/>
      <c r="I376" s="41"/>
      <c r="J376" s="41"/>
      <c r="K376" s="128">
        <f t="shared" si="645"/>
        <v>32953848.239999998</v>
      </c>
      <c r="L376" s="41"/>
      <c r="M376" s="41"/>
      <c r="N376" s="41"/>
      <c r="O376" s="41"/>
      <c r="P376" s="41">
        <v>32953848.239999998</v>
      </c>
      <c r="Q376" s="409"/>
      <c r="R376" s="128">
        <f t="shared" si="668"/>
        <v>32953848.239999998</v>
      </c>
      <c r="S376" s="41"/>
      <c r="T376" s="41"/>
      <c r="U376" s="41"/>
      <c r="V376" s="41"/>
      <c r="W376" s="41"/>
      <c r="X376" s="41"/>
      <c r="Y376" s="41"/>
      <c r="Z376" s="41"/>
      <c r="AA376" s="128">
        <f t="shared" si="658"/>
        <v>0</v>
      </c>
      <c r="AB376" s="128">
        <f t="shared" si="649"/>
        <v>32953848.239999998</v>
      </c>
      <c r="AC376" s="175">
        <f t="shared" si="619"/>
        <v>1</v>
      </c>
    </row>
    <row r="377" spans="2:29" ht="42.75" hidden="1" x14ac:dyDescent="0.2">
      <c r="B377" s="76" t="s">
        <v>1312</v>
      </c>
      <c r="C377" s="77" t="s">
        <v>1313</v>
      </c>
      <c r="D377" s="41"/>
      <c r="E377" s="188">
        <f>SUM('ADICIONES  2021'!C377:I377)</f>
        <v>69861319.959999993</v>
      </c>
      <c r="F377" s="41"/>
      <c r="G377" s="41"/>
      <c r="H377" s="41"/>
      <c r="I377" s="41"/>
      <c r="J377" s="41"/>
      <c r="K377" s="128">
        <f t="shared" si="645"/>
        <v>69861319.959999993</v>
      </c>
      <c r="L377" s="41"/>
      <c r="M377" s="41"/>
      <c r="N377" s="41"/>
      <c r="O377" s="41"/>
      <c r="P377" s="41">
        <v>69861319.959999993</v>
      </c>
      <c r="Q377" s="409"/>
      <c r="R377" s="128">
        <f t="shared" si="647"/>
        <v>69861319.959999993</v>
      </c>
      <c r="S377" s="41"/>
      <c r="T377" s="41"/>
      <c r="U377" s="41"/>
      <c r="V377" s="41"/>
      <c r="W377" s="41"/>
      <c r="X377" s="41"/>
      <c r="Y377" s="41"/>
      <c r="Z377" s="41"/>
      <c r="AA377" s="128">
        <f t="shared" si="658"/>
        <v>0</v>
      </c>
      <c r="AB377" s="128">
        <f t="shared" si="649"/>
        <v>69861319.959999993</v>
      </c>
      <c r="AC377" s="175">
        <f t="shared" si="619"/>
        <v>1</v>
      </c>
    </row>
    <row r="378" spans="2:29" ht="14.25" hidden="1" x14ac:dyDescent="0.2">
      <c r="B378" s="76" t="s">
        <v>1314</v>
      </c>
      <c r="C378" s="77" t="s">
        <v>1315</v>
      </c>
      <c r="D378" s="41"/>
      <c r="E378" s="188">
        <f>SUM('ADICIONES  2021'!C378:I378)</f>
        <v>14891617.699999999</v>
      </c>
      <c r="F378" s="41"/>
      <c r="G378" s="41"/>
      <c r="H378" s="41"/>
      <c r="I378" s="41"/>
      <c r="J378" s="41"/>
      <c r="K378" s="128">
        <f t="shared" si="645"/>
        <v>14891617.699999999</v>
      </c>
      <c r="L378" s="41"/>
      <c r="M378" s="41"/>
      <c r="N378" s="41"/>
      <c r="O378" s="41"/>
      <c r="P378" s="41">
        <v>14891617.699999999</v>
      </c>
      <c r="Q378" s="409"/>
      <c r="R378" s="128">
        <f t="shared" si="647"/>
        <v>14891617.699999999</v>
      </c>
      <c r="S378" s="41"/>
      <c r="T378" s="41"/>
      <c r="U378" s="41"/>
      <c r="V378" s="41"/>
      <c r="W378" s="41"/>
      <c r="X378" s="41"/>
      <c r="Y378" s="41"/>
      <c r="Z378" s="41"/>
      <c r="AA378" s="128">
        <f t="shared" si="658"/>
        <v>0</v>
      </c>
      <c r="AB378" s="128">
        <f t="shared" si="649"/>
        <v>14891617.699999999</v>
      </c>
      <c r="AC378" s="175">
        <f t="shared" si="619"/>
        <v>1</v>
      </c>
    </row>
    <row r="379" spans="2:29" ht="28.5" hidden="1" x14ac:dyDescent="0.2">
      <c r="B379" s="76" t="s">
        <v>1316</v>
      </c>
      <c r="C379" s="77" t="s">
        <v>1317</v>
      </c>
      <c r="D379" s="41"/>
      <c r="E379" s="188">
        <f>SUM('ADICIONES  2021'!C379:I379)</f>
        <v>5287463</v>
      </c>
      <c r="F379" s="41"/>
      <c r="G379" s="41"/>
      <c r="H379" s="41"/>
      <c r="I379" s="41"/>
      <c r="J379" s="41"/>
      <c r="K379" s="128">
        <f t="shared" si="645"/>
        <v>5287463</v>
      </c>
      <c r="L379" s="41"/>
      <c r="M379" s="41"/>
      <c r="N379" s="41"/>
      <c r="O379" s="41"/>
      <c r="P379" s="41">
        <v>5287463</v>
      </c>
      <c r="Q379" s="409"/>
      <c r="R379" s="128">
        <f t="shared" si="647"/>
        <v>5287463</v>
      </c>
      <c r="S379" s="41"/>
      <c r="T379" s="41"/>
      <c r="U379" s="41"/>
      <c r="V379" s="41"/>
      <c r="W379" s="41"/>
      <c r="X379" s="41"/>
      <c r="Y379" s="41"/>
      <c r="Z379" s="41"/>
      <c r="AA379" s="128">
        <f t="shared" si="658"/>
        <v>0</v>
      </c>
      <c r="AB379" s="128">
        <f t="shared" si="649"/>
        <v>5287463</v>
      </c>
      <c r="AC379" s="175">
        <f t="shared" si="619"/>
        <v>1</v>
      </c>
    </row>
    <row r="380" spans="2:29" ht="28.5" hidden="1" x14ac:dyDescent="0.2">
      <c r="B380" s="76" t="s">
        <v>1318</v>
      </c>
      <c r="C380" s="77" t="s">
        <v>1319</v>
      </c>
      <c r="D380" s="41"/>
      <c r="E380" s="188">
        <f>SUM('ADICIONES  2021'!C380:I380)</f>
        <v>853831345</v>
      </c>
      <c r="F380" s="41"/>
      <c r="G380" s="41"/>
      <c r="H380" s="41"/>
      <c r="I380" s="41"/>
      <c r="J380" s="41"/>
      <c r="K380" s="128">
        <f t="shared" si="645"/>
        <v>853831345</v>
      </c>
      <c r="L380" s="41"/>
      <c r="M380" s="41"/>
      <c r="N380" s="41"/>
      <c r="O380" s="41"/>
      <c r="P380" s="41">
        <v>853831345</v>
      </c>
      <c r="Q380" s="409"/>
      <c r="R380" s="128">
        <f t="shared" si="647"/>
        <v>853831345</v>
      </c>
      <c r="S380" s="41"/>
      <c r="T380" s="41"/>
      <c r="U380" s="41"/>
      <c r="V380" s="41"/>
      <c r="W380" s="41"/>
      <c r="X380" s="41"/>
      <c r="Y380" s="41"/>
      <c r="Z380" s="41"/>
      <c r="AA380" s="128">
        <f t="shared" si="658"/>
        <v>0</v>
      </c>
      <c r="AB380" s="128">
        <f t="shared" si="649"/>
        <v>853831345</v>
      </c>
      <c r="AC380" s="175">
        <f t="shared" si="619"/>
        <v>1</v>
      </c>
    </row>
    <row r="381" spans="2:29" ht="42.75" hidden="1" x14ac:dyDescent="0.2">
      <c r="B381" s="76" t="s">
        <v>1320</v>
      </c>
      <c r="C381" s="77" t="s">
        <v>1321</v>
      </c>
      <c r="D381" s="41"/>
      <c r="E381" s="188">
        <f>SUM('ADICIONES  2021'!C381:I381)</f>
        <v>20854350.050000001</v>
      </c>
      <c r="F381" s="41"/>
      <c r="G381" s="41"/>
      <c r="H381" s="41"/>
      <c r="I381" s="41"/>
      <c r="J381" s="41"/>
      <c r="K381" s="128">
        <f t="shared" si="645"/>
        <v>20854350.050000001</v>
      </c>
      <c r="L381" s="41"/>
      <c r="M381" s="41"/>
      <c r="N381" s="41"/>
      <c r="O381" s="41"/>
      <c r="P381" s="41">
        <v>20854350.050000001</v>
      </c>
      <c r="Q381" s="409"/>
      <c r="R381" s="128">
        <f t="shared" si="647"/>
        <v>20854350.050000001</v>
      </c>
      <c r="S381" s="41"/>
      <c r="T381" s="41"/>
      <c r="U381" s="41"/>
      <c r="V381" s="41"/>
      <c r="W381" s="41"/>
      <c r="X381" s="41"/>
      <c r="Y381" s="41"/>
      <c r="Z381" s="41"/>
      <c r="AA381" s="128">
        <f t="shared" si="658"/>
        <v>0</v>
      </c>
      <c r="AB381" s="128">
        <f t="shared" si="649"/>
        <v>20854350.050000001</v>
      </c>
      <c r="AC381" s="175">
        <f t="shared" si="619"/>
        <v>1</v>
      </c>
    </row>
    <row r="382" spans="2:29" ht="28.5" hidden="1" x14ac:dyDescent="0.2">
      <c r="B382" s="76" t="s">
        <v>1322</v>
      </c>
      <c r="C382" s="77" t="s">
        <v>1323</v>
      </c>
      <c r="D382" s="41"/>
      <c r="E382" s="188">
        <f>SUM('ADICIONES  2021'!C382:I382)</f>
        <v>312401632.33999997</v>
      </c>
      <c r="F382" s="41"/>
      <c r="G382" s="41"/>
      <c r="H382" s="41"/>
      <c r="I382" s="41"/>
      <c r="J382" s="41"/>
      <c r="K382" s="128">
        <f t="shared" si="645"/>
        <v>312401632.33999997</v>
      </c>
      <c r="L382" s="41"/>
      <c r="M382" s="41"/>
      <c r="N382" s="41"/>
      <c r="O382" s="41"/>
      <c r="P382" s="41">
        <v>312401632.33999997</v>
      </c>
      <c r="Q382" s="409"/>
      <c r="R382" s="128">
        <f t="shared" si="647"/>
        <v>312401632.33999997</v>
      </c>
      <c r="S382" s="41"/>
      <c r="T382" s="41"/>
      <c r="U382" s="41"/>
      <c r="V382" s="41"/>
      <c r="W382" s="41"/>
      <c r="X382" s="41"/>
      <c r="Y382" s="41"/>
      <c r="Z382" s="41"/>
      <c r="AA382" s="128">
        <f t="shared" si="658"/>
        <v>0</v>
      </c>
      <c r="AB382" s="128">
        <f t="shared" si="649"/>
        <v>312401632.33999997</v>
      </c>
      <c r="AC382" s="175">
        <f t="shared" si="619"/>
        <v>1</v>
      </c>
    </row>
    <row r="383" spans="2:29" ht="14.25" hidden="1" x14ac:dyDescent="0.2">
      <c r="B383" s="76" t="s">
        <v>1324</v>
      </c>
      <c r="C383" s="77" t="s">
        <v>1325</v>
      </c>
      <c r="D383" s="41"/>
      <c r="E383" s="188">
        <f>SUM('ADICIONES  2021'!C383:I383)</f>
        <v>415035594.76999998</v>
      </c>
      <c r="F383" s="41"/>
      <c r="G383" s="41"/>
      <c r="H383" s="41"/>
      <c r="I383" s="41"/>
      <c r="J383" s="41"/>
      <c r="K383" s="128">
        <f t="shared" si="645"/>
        <v>415035594.76999998</v>
      </c>
      <c r="L383" s="41"/>
      <c r="M383" s="41"/>
      <c r="N383" s="41"/>
      <c r="O383" s="41"/>
      <c r="P383" s="41">
        <v>415035594.76999998</v>
      </c>
      <c r="Q383" s="409"/>
      <c r="R383" s="128">
        <f t="shared" si="647"/>
        <v>415035594.76999998</v>
      </c>
      <c r="S383" s="41"/>
      <c r="T383" s="41"/>
      <c r="U383" s="41"/>
      <c r="V383" s="41"/>
      <c r="W383" s="41"/>
      <c r="X383" s="41"/>
      <c r="Y383" s="41"/>
      <c r="Z383" s="41"/>
      <c r="AA383" s="128">
        <f t="shared" si="658"/>
        <v>0</v>
      </c>
      <c r="AB383" s="128">
        <f t="shared" si="649"/>
        <v>415035594.76999998</v>
      </c>
      <c r="AC383" s="175">
        <f t="shared" si="619"/>
        <v>1</v>
      </c>
    </row>
    <row r="384" spans="2:29" ht="28.5" hidden="1" x14ac:dyDescent="0.2">
      <c r="B384" s="76" t="s">
        <v>1326</v>
      </c>
      <c r="C384" s="77" t="s">
        <v>1327</v>
      </c>
      <c r="D384" s="41"/>
      <c r="E384" s="188">
        <f>SUM('ADICIONES  2021'!C384:I384)</f>
        <v>12023107.65</v>
      </c>
      <c r="F384" s="41"/>
      <c r="G384" s="41"/>
      <c r="H384" s="41"/>
      <c r="I384" s="41"/>
      <c r="J384" s="41"/>
      <c r="K384" s="128">
        <f t="shared" si="645"/>
        <v>12023107.65</v>
      </c>
      <c r="L384" s="41"/>
      <c r="M384" s="41"/>
      <c r="N384" s="41"/>
      <c r="O384" s="41"/>
      <c r="P384" s="41">
        <v>12023107.65</v>
      </c>
      <c r="Q384" s="409"/>
      <c r="R384" s="128">
        <f t="shared" si="647"/>
        <v>12023107.65</v>
      </c>
      <c r="S384" s="41"/>
      <c r="T384" s="41"/>
      <c r="U384" s="41"/>
      <c r="V384" s="41"/>
      <c r="W384" s="41"/>
      <c r="X384" s="41"/>
      <c r="Y384" s="41"/>
      <c r="Z384" s="41"/>
      <c r="AA384" s="128">
        <f t="shared" si="658"/>
        <v>0</v>
      </c>
      <c r="AB384" s="128">
        <f t="shared" si="649"/>
        <v>12023107.65</v>
      </c>
      <c r="AC384" s="175">
        <f t="shared" si="619"/>
        <v>1</v>
      </c>
    </row>
    <row r="385" spans="2:29" ht="28.5" hidden="1" x14ac:dyDescent="0.2">
      <c r="B385" s="76" t="s">
        <v>1328</v>
      </c>
      <c r="C385" s="77" t="s">
        <v>1329</v>
      </c>
      <c r="D385" s="41"/>
      <c r="E385" s="188">
        <f>SUM('ADICIONES  2021'!C385:I385)</f>
        <v>72840664.370000005</v>
      </c>
      <c r="F385" s="41"/>
      <c r="G385" s="41"/>
      <c r="H385" s="41"/>
      <c r="I385" s="41"/>
      <c r="J385" s="41"/>
      <c r="K385" s="128">
        <f t="shared" si="645"/>
        <v>72840664.370000005</v>
      </c>
      <c r="L385" s="41"/>
      <c r="M385" s="41"/>
      <c r="N385" s="41"/>
      <c r="O385" s="41"/>
      <c r="P385" s="41">
        <v>72840664.370000005</v>
      </c>
      <c r="Q385" s="409"/>
      <c r="R385" s="128">
        <f t="shared" si="647"/>
        <v>72840664.370000005</v>
      </c>
      <c r="S385" s="41"/>
      <c r="T385" s="41"/>
      <c r="U385" s="41"/>
      <c r="V385" s="41"/>
      <c r="W385" s="41"/>
      <c r="X385" s="41"/>
      <c r="Y385" s="41"/>
      <c r="Z385" s="41"/>
      <c r="AA385" s="128">
        <f t="shared" si="658"/>
        <v>0</v>
      </c>
      <c r="AB385" s="128">
        <f t="shared" si="649"/>
        <v>72840664.370000005</v>
      </c>
      <c r="AC385" s="175">
        <f t="shared" si="619"/>
        <v>1</v>
      </c>
    </row>
    <row r="386" spans="2:29" ht="28.5" hidden="1" x14ac:dyDescent="0.2">
      <c r="B386" s="76" t="s">
        <v>1330</v>
      </c>
      <c r="C386" s="77" t="s">
        <v>1331</v>
      </c>
      <c r="D386" s="41"/>
      <c r="E386" s="188">
        <f>SUM('ADICIONES  2021'!C386:I386)</f>
        <v>173605723</v>
      </c>
      <c r="F386" s="41"/>
      <c r="G386" s="41"/>
      <c r="H386" s="41"/>
      <c r="I386" s="41"/>
      <c r="J386" s="41"/>
      <c r="K386" s="128">
        <f t="shared" si="645"/>
        <v>173605723</v>
      </c>
      <c r="L386" s="41"/>
      <c r="M386" s="41"/>
      <c r="N386" s="41"/>
      <c r="O386" s="41"/>
      <c r="P386" s="41">
        <v>173605723</v>
      </c>
      <c r="Q386" s="409"/>
      <c r="R386" s="128">
        <f t="shared" si="647"/>
        <v>173605723</v>
      </c>
      <c r="S386" s="41"/>
      <c r="T386" s="41"/>
      <c r="U386" s="41"/>
      <c r="V386" s="41"/>
      <c r="W386" s="41"/>
      <c r="X386" s="41"/>
      <c r="Y386" s="41"/>
      <c r="Z386" s="41"/>
      <c r="AA386" s="128">
        <f t="shared" si="658"/>
        <v>0</v>
      </c>
      <c r="AB386" s="128">
        <f t="shared" si="649"/>
        <v>173605723</v>
      </c>
      <c r="AC386" s="175">
        <f t="shared" si="619"/>
        <v>1</v>
      </c>
    </row>
    <row r="387" spans="2:29" ht="28.5" hidden="1" x14ac:dyDescent="0.2">
      <c r="B387" s="76" t="s">
        <v>1332</v>
      </c>
      <c r="C387" s="77" t="s">
        <v>1333</v>
      </c>
      <c r="D387" s="41"/>
      <c r="E387" s="188">
        <f>SUM('ADICIONES  2021'!C387:I387)</f>
        <v>462785030.63</v>
      </c>
      <c r="F387" s="41"/>
      <c r="G387" s="41"/>
      <c r="H387" s="41"/>
      <c r="I387" s="41"/>
      <c r="J387" s="41"/>
      <c r="K387" s="128">
        <f t="shared" si="645"/>
        <v>462785030.63</v>
      </c>
      <c r="L387" s="41"/>
      <c r="M387" s="41"/>
      <c r="N387" s="41"/>
      <c r="O387" s="41"/>
      <c r="P387" s="41">
        <v>462785030.63</v>
      </c>
      <c r="Q387" s="409"/>
      <c r="R387" s="128">
        <f t="shared" si="647"/>
        <v>462785030.63</v>
      </c>
      <c r="S387" s="41"/>
      <c r="T387" s="41"/>
      <c r="U387" s="41"/>
      <c r="V387" s="41"/>
      <c r="W387" s="41"/>
      <c r="X387" s="41"/>
      <c r="Y387" s="41"/>
      <c r="Z387" s="41"/>
      <c r="AA387" s="128">
        <f t="shared" si="658"/>
        <v>0</v>
      </c>
      <c r="AB387" s="128">
        <f t="shared" si="649"/>
        <v>462785030.63</v>
      </c>
      <c r="AC387" s="175">
        <f t="shared" si="619"/>
        <v>1</v>
      </c>
    </row>
    <row r="388" spans="2:29" ht="28.5" hidden="1" x14ac:dyDescent="0.2">
      <c r="B388" s="76" t="s">
        <v>1334</v>
      </c>
      <c r="C388" s="77" t="s">
        <v>1335</v>
      </c>
      <c r="D388" s="41"/>
      <c r="E388" s="188">
        <f>SUM('ADICIONES  2021'!C388:I388)</f>
        <v>47055319</v>
      </c>
      <c r="F388" s="41"/>
      <c r="G388" s="41"/>
      <c r="H388" s="41"/>
      <c r="I388" s="41"/>
      <c r="J388" s="41"/>
      <c r="K388" s="128">
        <f t="shared" si="645"/>
        <v>47055319</v>
      </c>
      <c r="L388" s="41"/>
      <c r="M388" s="41"/>
      <c r="N388" s="41"/>
      <c r="O388" s="41"/>
      <c r="P388" s="41">
        <v>47055319</v>
      </c>
      <c r="Q388" s="409"/>
      <c r="R388" s="128">
        <f t="shared" si="647"/>
        <v>47055319</v>
      </c>
      <c r="S388" s="41"/>
      <c r="T388" s="41"/>
      <c r="U388" s="41"/>
      <c r="V388" s="41"/>
      <c r="W388" s="41"/>
      <c r="X388" s="41"/>
      <c r="Y388" s="41"/>
      <c r="Z388" s="41"/>
      <c r="AA388" s="128">
        <f t="shared" si="658"/>
        <v>0</v>
      </c>
      <c r="AB388" s="128">
        <f t="shared" si="649"/>
        <v>47055319</v>
      </c>
      <c r="AC388" s="175">
        <f t="shared" si="619"/>
        <v>1</v>
      </c>
    </row>
    <row r="389" spans="2:29" ht="14.25" hidden="1" x14ac:dyDescent="0.2">
      <c r="B389" s="76" t="s">
        <v>1336</v>
      </c>
      <c r="C389" s="77" t="s">
        <v>1337</v>
      </c>
      <c r="D389" s="41"/>
      <c r="E389" s="188">
        <f>SUM('ADICIONES  2021'!C389:I389)</f>
        <v>130075777</v>
      </c>
      <c r="F389" s="41"/>
      <c r="G389" s="41"/>
      <c r="H389" s="41"/>
      <c r="I389" s="41"/>
      <c r="J389" s="41"/>
      <c r="K389" s="128">
        <f t="shared" si="645"/>
        <v>130075777</v>
      </c>
      <c r="L389" s="41"/>
      <c r="M389" s="41"/>
      <c r="N389" s="41"/>
      <c r="O389" s="41"/>
      <c r="P389" s="41">
        <v>130075777</v>
      </c>
      <c r="Q389" s="409"/>
      <c r="R389" s="128">
        <f t="shared" si="647"/>
        <v>130075777</v>
      </c>
      <c r="S389" s="41"/>
      <c r="T389" s="41"/>
      <c r="U389" s="41"/>
      <c r="V389" s="41"/>
      <c r="W389" s="41"/>
      <c r="X389" s="41"/>
      <c r="Y389" s="41"/>
      <c r="Z389" s="41"/>
      <c r="AA389" s="128">
        <f t="shared" si="658"/>
        <v>0</v>
      </c>
      <c r="AB389" s="128">
        <f t="shared" si="649"/>
        <v>130075777</v>
      </c>
      <c r="AC389" s="175">
        <f t="shared" si="619"/>
        <v>1</v>
      </c>
    </row>
    <row r="390" spans="2:29" ht="28.5" hidden="1" x14ac:dyDescent="0.2">
      <c r="B390" s="76" t="s">
        <v>1338</v>
      </c>
      <c r="C390" s="77" t="s">
        <v>1339</v>
      </c>
      <c r="D390" s="41"/>
      <c r="E390" s="188">
        <f>SUM('ADICIONES  2021'!C390:I390)</f>
        <v>268763643.69999999</v>
      </c>
      <c r="F390" s="41"/>
      <c r="G390" s="41"/>
      <c r="H390" s="41"/>
      <c r="I390" s="41"/>
      <c r="J390" s="41"/>
      <c r="K390" s="128">
        <f t="shared" si="645"/>
        <v>268763643.69999999</v>
      </c>
      <c r="L390" s="41"/>
      <c r="M390" s="41"/>
      <c r="N390" s="41"/>
      <c r="O390" s="41"/>
      <c r="P390" s="41">
        <v>268763643.69999999</v>
      </c>
      <c r="Q390" s="409"/>
      <c r="R390" s="128">
        <f t="shared" si="647"/>
        <v>268763643.69999999</v>
      </c>
      <c r="S390" s="41"/>
      <c r="T390" s="41"/>
      <c r="U390" s="41"/>
      <c r="V390" s="41"/>
      <c r="W390" s="41"/>
      <c r="X390" s="41"/>
      <c r="Y390" s="41"/>
      <c r="Z390" s="41"/>
      <c r="AA390" s="128">
        <f t="shared" si="658"/>
        <v>0</v>
      </c>
      <c r="AB390" s="128">
        <f t="shared" si="649"/>
        <v>268763643.69999999</v>
      </c>
      <c r="AC390" s="175">
        <f t="shared" si="619"/>
        <v>1</v>
      </c>
    </row>
    <row r="391" spans="2:29" ht="28.5" hidden="1" x14ac:dyDescent="0.2">
      <c r="B391" s="76" t="s">
        <v>1340</v>
      </c>
      <c r="C391" s="77" t="s">
        <v>1341</v>
      </c>
      <c r="D391" s="41"/>
      <c r="E391" s="188">
        <f>SUM('ADICIONES  2021'!C391:I391)</f>
        <v>40305269</v>
      </c>
      <c r="F391" s="41"/>
      <c r="G391" s="41"/>
      <c r="H391" s="41"/>
      <c r="I391" s="41"/>
      <c r="J391" s="41"/>
      <c r="K391" s="128">
        <f t="shared" si="645"/>
        <v>40305269</v>
      </c>
      <c r="L391" s="41"/>
      <c r="M391" s="41"/>
      <c r="N391" s="41"/>
      <c r="O391" s="41"/>
      <c r="P391" s="41">
        <v>40305269</v>
      </c>
      <c r="Q391" s="409"/>
      <c r="R391" s="128">
        <f t="shared" si="647"/>
        <v>40305269</v>
      </c>
      <c r="S391" s="41"/>
      <c r="T391" s="41"/>
      <c r="U391" s="41"/>
      <c r="V391" s="41"/>
      <c r="W391" s="41"/>
      <c r="X391" s="41"/>
      <c r="Y391" s="41"/>
      <c r="Z391" s="41"/>
      <c r="AA391" s="128">
        <f t="shared" si="658"/>
        <v>0</v>
      </c>
      <c r="AB391" s="128">
        <f t="shared" si="649"/>
        <v>40305269</v>
      </c>
      <c r="AC391" s="175">
        <f t="shared" si="619"/>
        <v>1</v>
      </c>
    </row>
    <row r="392" spans="2:29" ht="28.5" hidden="1" x14ac:dyDescent="0.2">
      <c r="B392" s="76" t="s">
        <v>1342</v>
      </c>
      <c r="C392" s="77" t="s">
        <v>1343</v>
      </c>
      <c r="D392" s="41"/>
      <c r="E392" s="188">
        <f>SUM('ADICIONES  2021'!C392:I392)</f>
        <v>58229838</v>
      </c>
      <c r="F392" s="41"/>
      <c r="G392" s="41"/>
      <c r="H392" s="41"/>
      <c r="I392" s="41"/>
      <c r="J392" s="41"/>
      <c r="K392" s="128">
        <f t="shared" si="645"/>
        <v>58229838</v>
      </c>
      <c r="L392" s="41"/>
      <c r="M392" s="41"/>
      <c r="N392" s="41"/>
      <c r="O392" s="41"/>
      <c r="P392" s="41">
        <v>58229838</v>
      </c>
      <c r="Q392" s="409"/>
      <c r="R392" s="128">
        <f t="shared" si="647"/>
        <v>58229838</v>
      </c>
      <c r="S392" s="41"/>
      <c r="T392" s="41"/>
      <c r="U392" s="41"/>
      <c r="V392" s="41"/>
      <c r="W392" s="41"/>
      <c r="X392" s="41"/>
      <c r="Y392" s="41"/>
      <c r="Z392" s="41"/>
      <c r="AA392" s="128">
        <f t="shared" si="658"/>
        <v>0</v>
      </c>
      <c r="AB392" s="128">
        <f t="shared" si="649"/>
        <v>58229838</v>
      </c>
      <c r="AC392" s="175">
        <f t="shared" si="619"/>
        <v>1</v>
      </c>
    </row>
    <row r="393" spans="2:29" ht="28.5" hidden="1" x14ac:dyDescent="0.2">
      <c r="B393" s="76" t="s">
        <v>1344</v>
      </c>
      <c r="C393" s="77" t="s">
        <v>1345</v>
      </c>
      <c r="D393" s="41"/>
      <c r="E393" s="188">
        <f>SUM('ADICIONES  2021'!C393:I393)</f>
        <v>444246350.97000003</v>
      </c>
      <c r="F393" s="41"/>
      <c r="G393" s="41"/>
      <c r="H393" s="41"/>
      <c r="I393" s="41"/>
      <c r="J393" s="41"/>
      <c r="K393" s="128">
        <f t="shared" si="645"/>
        <v>444246350.97000003</v>
      </c>
      <c r="L393" s="41"/>
      <c r="M393" s="41"/>
      <c r="N393" s="41"/>
      <c r="O393" s="41"/>
      <c r="P393" s="41">
        <v>444246350.97000003</v>
      </c>
      <c r="Q393" s="409"/>
      <c r="R393" s="128">
        <f t="shared" si="647"/>
        <v>444246350.97000003</v>
      </c>
      <c r="S393" s="41"/>
      <c r="T393" s="41"/>
      <c r="U393" s="41"/>
      <c r="V393" s="41"/>
      <c r="W393" s="41"/>
      <c r="X393" s="41"/>
      <c r="Y393" s="41"/>
      <c r="Z393" s="41"/>
      <c r="AA393" s="128">
        <f t="shared" si="658"/>
        <v>0</v>
      </c>
      <c r="AB393" s="128">
        <f t="shared" si="649"/>
        <v>444246350.97000003</v>
      </c>
      <c r="AC393" s="175">
        <f t="shared" si="619"/>
        <v>1</v>
      </c>
    </row>
    <row r="394" spans="2:29" ht="28.5" hidden="1" x14ac:dyDescent="0.2">
      <c r="B394" s="76" t="s">
        <v>1346</v>
      </c>
      <c r="C394" s="77" t="s">
        <v>1347</v>
      </c>
      <c r="D394" s="41"/>
      <c r="E394" s="188">
        <f>SUM('ADICIONES  2021'!C394:I394)</f>
        <v>32415997.789999999</v>
      </c>
      <c r="F394" s="41"/>
      <c r="G394" s="41"/>
      <c r="H394" s="41"/>
      <c r="I394" s="41"/>
      <c r="J394" s="41"/>
      <c r="K394" s="128">
        <f t="shared" si="645"/>
        <v>32415997.789999999</v>
      </c>
      <c r="L394" s="41"/>
      <c r="M394" s="41"/>
      <c r="N394" s="41"/>
      <c r="O394" s="41"/>
      <c r="P394" s="41">
        <v>32415997.789999999</v>
      </c>
      <c r="Q394" s="409"/>
      <c r="R394" s="128">
        <f t="shared" si="647"/>
        <v>32415997.789999999</v>
      </c>
      <c r="S394" s="41"/>
      <c r="T394" s="41"/>
      <c r="U394" s="41"/>
      <c r="V394" s="41"/>
      <c r="W394" s="41"/>
      <c r="X394" s="41"/>
      <c r="Y394" s="41"/>
      <c r="Z394" s="41"/>
      <c r="AA394" s="128">
        <f t="shared" si="658"/>
        <v>0</v>
      </c>
      <c r="AB394" s="128">
        <f t="shared" si="649"/>
        <v>32415997.789999999</v>
      </c>
      <c r="AC394" s="175">
        <f t="shared" si="619"/>
        <v>1</v>
      </c>
    </row>
    <row r="395" spans="2:29" ht="28.5" hidden="1" x14ac:dyDescent="0.2">
      <c r="B395" s="76" t="s">
        <v>1348</v>
      </c>
      <c r="C395" s="77" t="s">
        <v>1349</v>
      </c>
      <c r="D395" s="41"/>
      <c r="E395" s="188">
        <f>SUM('ADICIONES  2021'!C395:I395)</f>
        <v>44617201.549999997</v>
      </c>
      <c r="F395" s="41"/>
      <c r="G395" s="41"/>
      <c r="H395" s="41"/>
      <c r="I395" s="41"/>
      <c r="J395" s="41"/>
      <c r="K395" s="128">
        <f t="shared" si="645"/>
        <v>44617201.549999997</v>
      </c>
      <c r="L395" s="41"/>
      <c r="M395" s="41"/>
      <c r="N395" s="41"/>
      <c r="O395" s="41"/>
      <c r="P395" s="41">
        <v>44617201.549999997</v>
      </c>
      <c r="Q395" s="409"/>
      <c r="R395" s="128">
        <f t="shared" si="647"/>
        <v>44617201.549999997</v>
      </c>
      <c r="S395" s="41"/>
      <c r="T395" s="41"/>
      <c r="U395" s="41"/>
      <c r="V395" s="41"/>
      <c r="W395" s="41"/>
      <c r="X395" s="41"/>
      <c r="Y395" s="41"/>
      <c r="Z395" s="41"/>
      <c r="AA395" s="128">
        <f t="shared" si="658"/>
        <v>0</v>
      </c>
      <c r="AB395" s="128">
        <f t="shared" si="649"/>
        <v>44617201.549999997</v>
      </c>
      <c r="AC395" s="175">
        <f t="shared" si="619"/>
        <v>1</v>
      </c>
    </row>
    <row r="396" spans="2:29" ht="28.5" hidden="1" x14ac:dyDescent="0.2">
      <c r="B396" s="76" t="s">
        <v>1350</v>
      </c>
      <c r="C396" s="77" t="s">
        <v>1351</v>
      </c>
      <c r="D396" s="41"/>
      <c r="E396" s="188">
        <f>SUM('ADICIONES  2021'!C396:I396)</f>
        <v>36269653.659999996</v>
      </c>
      <c r="F396" s="41"/>
      <c r="G396" s="41"/>
      <c r="H396" s="41"/>
      <c r="I396" s="41"/>
      <c r="J396" s="41"/>
      <c r="K396" s="128">
        <f t="shared" si="645"/>
        <v>36269653.659999996</v>
      </c>
      <c r="L396" s="41"/>
      <c r="M396" s="41"/>
      <c r="N396" s="41"/>
      <c r="O396" s="41"/>
      <c r="P396" s="41">
        <v>36269653.659999996</v>
      </c>
      <c r="Q396" s="409"/>
      <c r="R396" s="128">
        <f t="shared" si="647"/>
        <v>36269653.659999996</v>
      </c>
      <c r="S396" s="41"/>
      <c r="T396" s="41"/>
      <c r="U396" s="41"/>
      <c r="V396" s="41"/>
      <c r="W396" s="41"/>
      <c r="X396" s="41"/>
      <c r="Y396" s="41"/>
      <c r="Z396" s="41"/>
      <c r="AA396" s="128">
        <f t="shared" si="658"/>
        <v>0</v>
      </c>
      <c r="AB396" s="128">
        <f t="shared" si="649"/>
        <v>36269653.659999996</v>
      </c>
      <c r="AC396" s="175">
        <f t="shared" si="619"/>
        <v>1</v>
      </c>
    </row>
    <row r="397" spans="2:29" ht="28.5" hidden="1" x14ac:dyDescent="0.2">
      <c r="B397" s="76" t="s">
        <v>1352</v>
      </c>
      <c r="C397" s="77" t="s">
        <v>1353</v>
      </c>
      <c r="D397" s="41"/>
      <c r="E397" s="188">
        <f>SUM('ADICIONES  2021'!C397:I397)</f>
        <v>14895643.09</v>
      </c>
      <c r="F397" s="41"/>
      <c r="G397" s="41"/>
      <c r="H397" s="41"/>
      <c r="I397" s="41"/>
      <c r="J397" s="41"/>
      <c r="K397" s="128">
        <f t="shared" si="645"/>
        <v>14895643.09</v>
      </c>
      <c r="L397" s="41"/>
      <c r="M397" s="41"/>
      <c r="N397" s="41"/>
      <c r="O397" s="41"/>
      <c r="P397" s="41">
        <v>14895643.09</v>
      </c>
      <c r="Q397" s="409"/>
      <c r="R397" s="128">
        <f t="shared" si="647"/>
        <v>14895643.09</v>
      </c>
      <c r="S397" s="41"/>
      <c r="T397" s="41"/>
      <c r="U397" s="41"/>
      <c r="V397" s="41"/>
      <c r="W397" s="41"/>
      <c r="X397" s="41"/>
      <c r="Y397" s="41"/>
      <c r="Z397" s="41"/>
      <c r="AA397" s="128">
        <f t="shared" si="658"/>
        <v>0</v>
      </c>
      <c r="AB397" s="128">
        <f t="shared" si="649"/>
        <v>14895643.09</v>
      </c>
      <c r="AC397" s="175">
        <f t="shared" si="619"/>
        <v>1</v>
      </c>
    </row>
    <row r="398" spans="2:29" ht="28.5" hidden="1" x14ac:dyDescent="0.2">
      <c r="B398" s="76" t="s">
        <v>1354</v>
      </c>
      <c r="C398" s="77" t="s">
        <v>1355</v>
      </c>
      <c r="D398" s="41"/>
      <c r="E398" s="188">
        <f>SUM('ADICIONES  2021'!C398:I398)</f>
        <v>25901939.120000001</v>
      </c>
      <c r="F398" s="41"/>
      <c r="G398" s="41"/>
      <c r="H398" s="41"/>
      <c r="I398" s="41"/>
      <c r="J398" s="41"/>
      <c r="K398" s="128">
        <f t="shared" si="645"/>
        <v>25901939.120000001</v>
      </c>
      <c r="L398" s="41"/>
      <c r="M398" s="41"/>
      <c r="N398" s="41"/>
      <c r="O398" s="41"/>
      <c r="P398" s="41">
        <v>25901939.120000001</v>
      </c>
      <c r="Q398" s="409"/>
      <c r="R398" s="128">
        <f t="shared" si="647"/>
        <v>25901939.120000001</v>
      </c>
      <c r="S398" s="41"/>
      <c r="T398" s="41"/>
      <c r="U398" s="41"/>
      <c r="V398" s="41"/>
      <c r="W398" s="41"/>
      <c r="X398" s="41"/>
      <c r="Y398" s="41"/>
      <c r="Z398" s="41"/>
      <c r="AA398" s="128">
        <f t="shared" si="658"/>
        <v>0</v>
      </c>
      <c r="AB398" s="128">
        <f t="shared" si="649"/>
        <v>25901939.120000001</v>
      </c>
      <c r="AC398" s="175">
        <f t="shared" si="619"/>
        <v>1</v>
      </c>
    </row>
    <row r="399" spans="2:29" ht="28.5" hidden="1" x14ac:dyDescent="0.2">
      <c r="B399" s="76" t="s">
        <v>1356</v>
      </c>
      <c r="C399" s="77" t="s">
        <v>1357</v>
      </c>
      <c r="D399" s="41"/>
      <c r="E399" s="188">
        <f>SUM('ADICIONES  2021'!C399:I399)</f>
        <v>18769435.469999999</v>
      </c>
      <c r="F399" s="41"/>
      <c r="G399" s="41"/>
      <c r="H399" s="41"/>
      <c r="I399" s="41"/>
      <c r="J399" s="41"/>
      <c r="K399" s="128">
        <f t="shared" si="645"/>
        <v>18769435.469999999</v>
      </c>
      <c r="L399" s="41"/>
      <c r="M399" s="41"/>
      <c r="N399" s="41"/>
      <c r="O399" s="41"/>
      <c r="P399" s="41">
        <v>18769435.469999999</v>
      </c>
      <c r="Q399" s="409"/>
      <c r="R399" s="128">
        <f t="shared" si="647"/>
        <v>18769435.469999999</v>
      </c>
      <c r="S399" s="41"/>
      <c r="T399" s="41"/>
      <c r="U399" s="41"/>
      <c r="V399" s="41"/>
      <c r="W399" s="41"/>
      <c r="X399" s="41"/>
      <c r="Y399" s="41"/>
      <c r="Z399" s="41"/>
      <c r="AA399" s="128">
        <f t="shared" si="658"/>
        <v>0</v>
      </c>
      <c r="AB399" s="128">
        <f t="shared" si="649"/>
        <v>18769435.469999999</v>
      </c>
      <c r="AC399" s="175">
        <f t="shared" si="619"/>
        <v>1</v>
      </c>
    </row>
    <row r="400" spans="2:29" ht="15.75" hidden="1" x14ac:dyDescent="0.2">
      <c r="B400" s="81" t="s">
        <v>1218</v>
      </c>
      <c r="C400" s="79" t="s">
        <v>1219</v>
      </c>
      <c r="D400" s="78">
        <f t="shared" ref="D400" si="669">+D402+D401</f>
        <v>0</v>
      </c>
      <c r="E400" s="187">
        <f>SUM('ADICIONES  2021'!C400:I400)</f>
        <v>42687015851.779999</v>
      </c>
      <c r="F400" s="78">
        <f t="shared" ref="F400:J400" si="670">+F402+F401</f>
        <v>0</v>
      </c>
      <c r="G400" s="78">
        <f t="shared" si="670"/>
        <v>0</v>
      </c>
      <c r="H400" s="78">
        <f t="shared" si="670"/>
        <v>2500000000</v>
      </c>
      <c r="I400" s="78">
        <f t="shared" si="670"/>
        <v>0</v>
      </c>
      <c r="J400" s="78">
        <f t="shared" si="670"/>
        <v>0</v>
      </c>
      <c r="K400" s="78">
        <f t="shared" si="645"/>
        <v>40187015851.779999</v>
      </c>
      <c r="L400" s="78">
        <f t="shared" ref="L400:Q400" si="671">+L402+L401</f>
        <v>0</v>
      </c>
      <c r="M400" s="78">
        <f t="shared" si="671"/>
        <v>0</v>
      </c>
      <c r="N400" s="78">
        <f t="shared" si="671"/>
        <v>0</v>
      </c>
      <c r="O400" s="78">
        <f t="shared" si="671"/>
        <v>0</v>
      </c>
      <c r="P400" s="78">
        <f t="shared" si="671"/>
        <v>41585805014.779999</v>
      </c>
      <c r="Q400" s="408">
        <f t="shared" si="671"/>
        <v>0</v>
      </c>
      <c r="R400" s="78">
        <f t="shared" si="647"/>
        <v>41585805014.779999</v>
      </c>
      <c r="S400" s="78">
        <f t="shared" ref="S400:Z400" si="672">+S402+S401</f>
        <v>0</v>
      </c>
      <c r="T400" s="78">
        <f t="shared" si="672"/>
        <v>0</v>
      </c>
      <c r="U400" s="78">
        <f t="shared" si="672"/>
        <v>0</v>
      </c>
      <c r="V400" s="78">
        <f t="shared" si="672"/>
        <v>0</v>
      </c>
      <c r="W400" s="78">
        <f t="shared" si="672"/>
        <v>0</v>
      </c>
      <c r="X400" s="78">
        <f t="shared" si="672"/>
        <v>0</v>
      </c>
      <c r="Y400" s="78">
        <f t="shared" si="672"/>
        <v>0</v>
      </c>
      <c r="Z400" s="78">
        <f t="shared" si="672"/>
        <v>0</v>
      </c>
      <c r="AA400" s="78">
        <f t="shared" si="658"/>
        <v>0</v>
      </c>
      <c r="AB400" s="78">
        <f t="shared" si="649"/>
        <v>41585805014.779999</v>
      </c>
      <c r="AC400" s="174">
        <f t="shared" si="619"/>
        <v>1.0348069925908181</v>
      </c>
    </row>
    <row r="401" spans="2:29" ht="15.75" hidden="1" x14ac:dyDescent="0.2">
      <c r="B401" s="76" t="s">
        <v>1220</v>
      </c>
      <c r="C401" s="77" t="s">
        <v>1219</v>
      </c>
      <c r="D401" s="78"/>
      <c r="E401" s="188">
        <f>SUM('ADICIONES  2021'!C401:I401)</f>
        <v>41585805014.779999</v>
      </c>
      <c r="F401" s="78"/>
      <c r="G401" s="78"/>
      <c r="H401" s="126">
        <v>2500000000</v>
      </c>
      <c r="I401" s="78"/>
      <c r="J401" s="78"/>
      <c r="K401" s="128">
        <f t="shared" si="645"/>
        <v>39085805014.779999</v>
      </c>
      <c r="L401" s="78"/>
      <c r="M401" s="78"/>
      <c r="N401" s="78"/>
      <c r="O401" s="78"/>
      <c r="P401" s="126">
        <v>41585805014.779999</v>
      </c>
      <c r="Q401" s="408"/>
      <c r="R401" s="128">
        <f t="shared" si="647"/>
        <v>41585805014.779999</v>
      </c>
      <c r="S401" s="78"/>
      <c r="T401" s="78"/>
      <c r="U401" s="78"/>
      <c r="V401" s="78"/>
      <c r="W401" s="78"/>
      <c r="X401" s="78"/>
      <c r="Y401" s="78"/>
      <c r="Z401" s="78"/>
      <c r="AA401" s="128">
        <f t="shared" ref="AA401" si="673">SUM(S401:Z401)</f>
        <v>0</v>
      </c>
      <c r="AB401" s="128">
        <f t="shared" si="649"/>
        <v>41585805014.779999</v>
      </c>
      <c r="AC401" s="175">
        <f t="shared" si="619"/>
        <v>1.0639618398304613</v>
      </c>
    </row>
    <row r="402" spans="2:29" ht="14.25" hidden="1" x14ac:dyDescent="0.2">
      <c r="B402" s="76" t="s">
        <v>1220</v>
      </c>
      <c r="C402" s="77" t="s">
        <v>1219</v>
      </c>
      <c r="D402" s="41"/>
      <c r="E402" s="188">
        <f>SUM('ADICIONES  2021'!C402:I402)</f>
        <v>1101210837</v>
      </c>
      <c r="F402" s="41"/>
      <c r="G402" s="41"/>
      <c r="H402" s="41"/>
      <c r="I402" s="41"/>
      <c r="J402" s="41"/>
      <c r="K402" s="128">
        <f t="shared" si="645"/>
        <v>1101210837</v>
      </c>
      <c r="L402" s="41"/>
      <c r="M402" s="41"/>
      <c r="N402" s="41"/>
      <c r="O402" s="41"/>
      <c r="P402" s="41">
        <v>0</v>
      </c>
      <c r="Q402" s="409"/>
      <c r="R402" s="128">
        <f t="shared" si="647"/>
        <v>0</v>
      </c>
      <c r="S402" s="41"/>
      <c r="T402" s="41"/>
      <c r="U402" s="41"/>
      <c r="V402" s="41"/>
      <c r="W402" s="41"/>
      <c r="X402" s="41"/>
      <c r="Y402" s="41"/>
      <c r="Z402" s="41"/>
      <c r="AA402" s="128">
        <f t="shared" si="658"/>
        <v>0</v>
      </c>
      <c r="AB402" s="128">
        <f t="shared" si="649"/>
        <v>0</v>
      </c>
      <c r="AC402" s="175">
        <f t="shared" si="619"/>
        <v>0</v>
      </c>
    </row>
    <row r="403" spans="2:29" ht="15.75" hidden="1" x14ac:dyDescent="0.2">
      <c r="B403" s="81" t="s">
        <v>1221</v>
      </c>
      <c r="C403" s="79" t="s">
        <v>1222</v>
      </c>
      <c r="D403" s="78">
        <f t="shared" ref="D403" si="674">+D405+D404</f>
        <v>0</v>
      </c>
      <c r="E403" s="187">
        <f>SUM('ADICIONES  2021'!C403:I403)</f>
        <v>2713942085.6799998</v>
      </c>
      <c r="F403" s="78">
        <f t="shared" ref="F403:J403" si="675">+F405+F404</f>
        <v>0</v>
      </c>
      <c r="G403" s="78">
        <f t="shared" si="675"/>
        <v>0</v>
      </c>
      <c r="H403" s="78">
        <f t="shared" si="675"/>
        <v>0</v>
      </c>
      <c r="I403" s="78">
        <f t="shared" si="675"/>
        <v>0</v>
      </c>
      <c r="J403" s="78">
        <f t="shared" si="675"/>
        <v>0</v>
      </c>
      <c r="K403" s="78">
        <f t="shared" si="645"/>
        <v>2713942085.6799998</v>
      </c>
      <c r="L403" s="78">
        <f t="shared" ref="L403:Q403" si="676">+L405+L404</f>
        <v>0</v>
      </c>
      <c r="M403" s="78">
        <f t="shared" si="676"/>
        <v>0</v>
      </c>
      <c r="N403" s="78">
        <f t="shared" si="676"/>
        <v>0</v>
      </c>
      <c r="O403" s="78">
        <f t="shared" si="676"/>
        <v>0</v>
      </c>
      <c r="P403" s="78">
        <f t="shared" si="676"/>
        <v>997499585.67999995</v>
      </c>
      <c r="Q403" s="408">
        <f t="shared" si="676"/>
        <v>0</v>
      </c>
      <c r="R403" s="78">
        <f t="shared" si="647"/>
        <v>997499585.67999995</v>
      </c>
      <c r="S403" s="78">
        <f t="shared" ref="S403:Z403" si="677">+S405+S404</f>
        <v>0</v>
      </c>
      <c r="T403" s="78">
        <f t="shared" si="677"/>
        <v>0</v>
      </c>
      <c r="U403" s="78">
        <f t="shared" si="677"/>
        <v>0</v>
      </c>
      <c r="V403" s="78">
        <f t="shared" si="677"/>
        <v>0</v>
      </c>
      <c r="W403" s="78">
        <f t="shared" si="677"/>
        <v>0</v>
      </c>
      <c r="X403" s="78">
        <f t="shared" si="677"/>
        <v>0</v>
      </c>
      <c r="Y403" s="78">
        <f t="shared" si="677"/>
        <v>0</v>
      </c>
      <c r="Z403" s="78">
        <f t="shared" si="677"/>
        <v>0</v>
      </c>
      <c r="AA403" s="78">
        <f t="shared" si="658"/>
        <v>0</v>
      </c>
      <c r="AB403" s="78">
        <f t="shared" si="649"/>
        <v>997499585.67999995</v>
      </c>
      <c r="AC403" s="174">
        <f t="shared" si="619"/>
        <v>0.36754637873197965</v>
      </c>
    </row>
    <row r="404" spans="2:29" hidden="1" x14ac:dyDescent="0.2">
      <c r="B404" s="76" t="s">
        <v>1223</v>
      </c>
      <c r="C404" s="77" t="s">
        <v>1222</v>
      </c>
      <c r="D404" s="126"/>
      <c r="E404" s="188">
        <f>SUM('ADICIONES  2021'!C404:I404)</f>
        <v>997499585.67999995</v>
      </c>
      <c r="F404" s="126"/>
      <c r="G404" s="126"/>
      <c r="H404" s="126"/>
      <c r="I404" s="126"/>
      <c r="J404" s="126"/>
      <c r="K404" s="128">
        <f t="shared" si="645"/>
        <v>997499585.67999995</v>
      </c>
      <c r="L404" s="126"/>
      <c r="M404" s="126"/>
      <c r="N404" s="126"/>
      <c r="O404" s="126"/>
      <c r="P404" s="126">
        <v>997499585.67999995</v>
      </c>
      <c r="Q404" s="413"/>
      <c r="R404" s="128">
        <f t="shared" si="647"/>
        <v>997499585.67999995</v>
      </c>
      <c r="S404" s="126"/>
      <c r="T404" s="126"/>
      <c r="U404" s="126"/>
      <c r="V404" s="126"/>
      <c r="W404" s="126"/>
      <c r="X404" s="126"/>
      <c r="Y404" s="126"/>
      <c r="Z404" s="126"/>
      <c r="AA404" s="128">
        <f t="shared" ref="AA404" si="678">SUM(S404:Z404)</f>
        <v>0</v>
      </c>
      <c r="AB404" s="128">
        <f t="shared" si="649"/>
        <v>997499585.67999995</v>
      </c>
      <c r="AC404" s="175">
        <f t="shared" si="619"/>
        <v>1</v>
      </c>
    </row>
    <row r="405" spans="2:29" ht="14.25" hidden="1" x14ac:dyDescent="0.2">
      <c r="B405" s="76" t="s">
        <v>1223</v>
      </c>
      <c r="C405" s="77" t="s">
        <v>1222</v>
      </c>
      <c r="D405" s="41"/>
      <c r="E405" s="188">
        <f>SUM('ADICIONES  2021'!C405:I405)</f>
        <v>1716442500</v>
      </c>
      <c r="F405" s="41"/>
      <c r="G405" s="41"/>
      <c r="H405" s="41"/>
      <c r="I405" s="41"/>
      <c r="J405" s="41"/>
      <c r="K405" s="128">
        <f t="shared" si="645"/>
        <v>1716442500</v>
      </c>
      <c r="L405" s="41"/>
      <c r="M405" s="41"/>
      <c r="N405" s="41"/>
      <c r="O405" s="41"/>
      <c r="P405" s="41">
        <v>0</v>
      </c>
      <c r="Q405" s="409"/>
      <c r="R405" s="128">
        <f t="shared" si="647"/>
        <v>0</v>
      </c>
      <c r="S405" s="41"/>
      <c r="T405" s="41"/>
      <c r="U405" s="41"/>
      <c r="V405" s="41"/>
      <c r="W405" s="41"/>
      <c r="X405" s="41"/>
      <c r="Y405" s="41"/>
      <c r="Z405" s="41"/>
      <c r="AA405" s="128">
        <f t="shared" si="658"/>
        <v>0</v>
      </c>
      <c r="AB405" s="128">
        <f t="shared" si="649"/>
        <v>0</v>
      </c>
      <c r="AC405" s="175">
        <f t="shared" si="619"/>
        <v>0</v>
      </c>
    </row>
    <row r="406" spans="2:29" ht="31.5" hidden="1" x14ac:dyDescent="0.2">
      <c r="B406" s="81" t="s">
        <v>1224</v>
      </c>
      <c r="C406" s="79" t="s">
        <v>1225</v>
      </c>
      <c r="D406" s="162">
        <f t="shared" ref="D406" si="679">SUM(D407:D413)</f>
        <v>0</v>
      </c>
      <c r="E406" s="187">
        <f>SUM('ADICIONES  2021'!C406:I406)</f>
        <v>10008855518.799999</v>
      </c>
      <c r="F406" s="162">
        <f t="shared" ref="F406:J406" si="680">SUM(F407:F413)</f>
        <v>0</v>
      </c>
      <c r="G406" s="162">
        <f t="shared" si="680"/>
        <v>0</v>
      </c>
      <c r="H406" s="162">
        <f t="shared" si="680"/>
        <v>0</v>
      </c>
      <c r="I406" s="162">
        <f t="shared" si="680"/>
        <v>0</v>
      </c>
      <c r="J406" s="162">
        <f t="shared" si="680"/>
        <v>0</v>
      </c>
      <c r="K406" s="78">
        <f t="shared" si="645"/>
        <v>10008855518.799999</v>
      </c>
      <c r="L406" s="162">
        <f t="shared" ref="L406:Q406" si="681">SUM(L407:L413)</f>
        <v>0</v>
      </c>
      <c r="M406" s="162">
        <f t="shared" si="681"/>
        <v>0</v>
      </c>
      <c r="N406" s="162">
        <f t="shared" si="681"/>
        <v>0</v>
      </c>
      <c r="O406" s="162">
        <f t="shared" si="681"/>
        <v>0</v>
      </c>
      <c r="P406" s="162">
        <f t="shared" si="681"/>
        <v>7293701458.1300001</v>
      </c>
      <c r="Q406" s="418">
        <f t="shared" si="681"/>
        <v>0</v>
      </c>
      <c r="R406" s="78">
        <f t="shared" si="647"/>
        <v>7293701458.1300001</v>
      </c>
      <c r="S406" s="162">
        <f t="shared" ref="S406:Z406" si="682">SUM(S407:S413)</f>
        <v>0</v>
      </c>
      <c r="T406" s="162">
        <f t="shared" si="682"/>
        <v>0</v>
      </c>
      <c r="U406" s="162">
        <f t="shared" si="682"/>
        <v>0</v>
      </c>
      <c r="V406" s="162">
        <f t="shared" si="682"/>
        <v>0</v>
      </c>
      <c r="W406" s="162">
        <f t="shared" si="682"/>
        <v>0</v>
      </c>
      <c r="X406" s="162">
        <f t="shared" si="682"/>
        <v>0</v>
      </c>
      <c r="Y406" s="162">
        <f t="shared" si="682"/>
        <v>0</v>
      </c>
      <c r="Z406" s="162">
        <f t="shared" si="682"/>
        <v>0</v>
      </c>
      <c r="AA406" s="78">
        <f t="shared" si="658"/>
        <v>0</v>
      </c>
      <c r="AB406" s="78">
        <f t="shared" si="649"/>
        <v>7293701458.1300001</v>
      </c>
      <c r="AC406" s="174">
        <f t="shared" si="619"/>
        <v>0.72872482217671886</v>
      </c>
    </row>
    <row r="407" spans="2:29" ht="28.5" hidden="1" x14ac:dyDescent="0.2">
      <c r="B407" s="76" t="s">
        <v>1226</v>
      </c>
      <c r="C407" s="77" t="s">
        <v>1227</v>
      </c>
      <c r="D407" s="41"/>
      <c r="E407" s="188">
        <f>SUM('ADICIONES  2021'!C407:I407)</f>
        <v>627750443.66999996</v>
      </c>
      <c r="F407" s="41"/>
      <c r="G407" s="41"/>
      <c r="H407" s="41"/>
      <c r="I407" s="41"/>
      <c r="J407" s="41"/>
      <c r="K407" s="128">
        <f t="shared" si="645"/>
        <v>627750443.66999996</v>
      </c>
      <c r="L407" s="41"/>
      <c r="M407" s="41"/>
      <c r="N407" s="41"/>
      <c r="O407" s="41"/>
      <c r="P407" s="41">
        <v>0</v>
      </c>
      <c r="Q407" s="409"/>
      <c r="R407" s="128">
        <f t="shared" si="647"/>
        <v>0</v>
      </c>
      <c r="S407" s="41"/>
      <c r="T407" s="41"/>
      <c r="U407" s="41"/>
      <c r="V407" s="41"/>
      <c r="W407" s="41"/>
      <c r="X407" s="41"/>
      <c r="Y407" s="41"/>
      <c r="Z407" s="41"/>
      <c r="AA407" s="128">
        <f t="shared" si="658"/>
        <v>0</v>
      </c>
      <c r="AB407" s="128">
        <f t="shared" si="649"/>
        <v>0</v>
      </c>
      <c r="AC407" s="175">
        <f t="shared" si="619"/>
        <v>0</v>
      </c>
    </row>
    <row r="408" spans="2:29" ht="28.5" hidden="1" x14ac:dyDescent="0.2">
      <c r="B408" s="76" t="s">
        <v>1228</v>
      </c>
      <c r="C408" s="77" t="s">
        <v>1229</v>
      </c>
      <c r="D408" s="41"/>
      <c r="E408" s="188">
        <f>SUM('ADICIONES  2021'!C408:I408)</f>
        <v>373443000</v>
      </c>
      <c r="F408" s="41"/>
      <c r="G408" s="41"/>
      <c r="H408" s="41"/>
      <c r="I408" s="41"/>
      <c r="J408" s="41"/>
      <c r="K408" s="128">
        <f t="shared" si="645"/>
        <v>373443000</v>
      </c>
      <c r="L408" s="41"/>
      <c r="M408" s="41"/>
      <c r="N408" s="41"/>
      <c r="O408" s="41"/>
      <c r="P408" s="41">
        <v>0</v>
      </c>
      <c r="Q408" s="409"/>
      <c r="R408" s="128">
        <f t="shared" si="647"/>
        <v>0</v>
      </c>
      <c r="S408" s="41"/>
      <c r="T408" s="41"/>
      <c r="U408" s="41"/>
      <c r="V408" s="41"/>
      <c r="W408" s="41"/>
      <c r="X408" s="41"/>
      <c r="Y408" s="41"/>
      <c r="Z408" s="41"/>
      <c r="AA408" s="128">
        <f t="shared" si="658"/>
        <v>0</v>
      </c>
      <c r="AB408" s="128">
        <f t="shared" si="649"/>
        <v>0</v>
      </c>
      <c r="AC408" s="175">
        <f t="shared" si="619"/>
        <v>0</v>
      </c>
    </row>
    <row r="409" spans="2:29" ht="28.5" hidden="1" x14ac:dyDescent="0.2">
      <c r="B409" s="76" t="s">
        <v>1230</v>
      </c>
      <c r="C409" s="77" t="s">
        <v>1231</v>
      </c>
      <c r="D409" s="41"/>
      <c r="E409" s="188">
        <f>SUM('ADICIONES  2021'!C409:I409)</f>
        <v>626557000</v>
      </c>
      <c r="F409" s="41"/>
      <c r="G409" s="41"/>
      <c r="H409" s="41"/>
      <c r="I409" s="41"/>
      <c r="J409" s="41"/>
      <c r="K409" s="128">
        <f t="shared" si="645"/>
        <v>626557000</v>
      </c>
      <c r="L409" s="41"/>
      <c r="M409" s="41"/>
      <c r="N409" s="41"/>
      <c r="O409" s="41"/>
      <c r="P409" s="41">
        <v>0</v>
      </c>
      <c r="Q409" s="409"/>
      <c r="R409" s="128">
        <f t="shared" si="647"/>
        <v>0</v>
      </c>
      <c r="S409" s="41"/>
      <c r="T409" s="41"/>
      <c r="U409" s="41"/>
      <c r="V409" s="41"/>
      <c r="W409" s="41"/>
      <c r="X409" s="41"/>
      <c r="Y409" s="41"/>
      <c r="Z409" s="41"/>
      <c r="AA409" s="128">
        <f t="shared" si="658"/>
        <v>0</v>
      </c>
      <c r="AB409" s="128">
        <f t="shared" si="649"/>
        <v>0</v>
      </c>
      <c r="AC409" s="175">
        <f t="shared" si="619"/>
        <v>0</v>
      </c>
    </row>
    <row r="410" spans="2:29" ht="28.5" hidden="1" x14ac:dyDescent="0.2">
      <c r="B410" s="76" t="s">
        <v>1232</v>
      </c>
      <c r="C410" s="77" t="s">
        <v>1233</v>
      </c>
      <c r="D410" s="41"/>
      <c r="E410" s="188">
        <f>SUM('ADICIONES  2021'!C410:I410)</f>
        <v>322809000</v>
      </c>
      <c r="F410" s="41"/>
      <c r="G410" s="41"/>
      <c r="H410" s="41"/>
      <c r="I410" s="41"/>
      <c r="J410" s="41"/>
      <c r="K410" s="128">
        <f t="shared" si="645"/>
        <v>322809000</v>
      </c>
      <c r="L410" s="41"/>
      <c r="M410" s="41"/>
      <c r="N410" s="41"/>
      <c r="O410" s="41"/>
      <c r="P410" s="41">
        <v>0</v>
      </c>
      <c r="Q410" s="409"/>
      <c r="R410" s="128">
        <f t="shared" si="647"/>
        <v>0</v>
      </c>
      <c r="S410" s="41"/>
      <c r="T410" s="41"/>
      <c r="U410" s="41"/>
      <c r="V410" s="41"/>
      <c r="W410" s="41"/>
      <c r="X410" s="41"/>
      <c r="Y410" s="41"/>
      <c r="Z410" s="41"/>
      <c r="AA410" s="128">
        <f t="shared" si="658"/>
        <v>0</v>
      </c>
      <c r="AB410" s="128">
        <f t="shared" si="649"/>
        <v>0</v>
      </c>
      <c r="AC410" s="175">
        <f t="shared" si="619"/>
        <v>0</v>
      </c>
    </row>
    <row r="411" spans="2:29" ht="28.5" hidden="1" x14ac:dyDescent="0.2">
      <c r="B411" s="76" t="s">
        <v>1234</v>
      </c>
      <c r="C411" s="77" t="s">
        <v>1235</v>
      </c>
      <c r="D411" s="41"/>
      <c r="E411" s="188">
        <f>SUM('ADICIONES  2021'!C411:I411)</f>
        <v>270394617</v>
      </c>
      <c r="F411" s="41"/>
      <c r="G411" s="41"/>
      <c r="H411" s="41"/>
      <c r="I411" s="41"/>
      <c r="J411" s="41"/>
      <c r="K411" s="128">
        <f t="shared" si="645"/>
        <v>270394617</v>
      </c>
      <c r="L411" s="41"/>
      <c r="M411" s="41"/>
      <c r="N411" s="41"/>
      <c r="O411" s="41"/>
      <c r="P411" s="41">
        <v>0</v>
      </c>
      <c r="Q411" s="409"/>
      <c r="R411" s="128">
        <f t="shared" si="647"/>
        <v>0</v>
      </c>
      <c r="S411" s="41"/>
      <c r="T411" s="41"/>
      <c r="U411" s="41"/>
      <c r="V411" s="41"/>
      <c r="W411" s="41"/>
      <c r="X411" s="41"/>
      <c r="Y411" s="41"/>
      <c r="Z411" s="41"/>
      <c r="AA411" s="128">
        <f t="shared" si="658"/>
        <v>0</v>
      </c>
      <c r="AB411" s="128">
        <f t="shared" si="649"/>
        <v>0</v>
      </c>
      <c r="AC411" s="175">
        <f t="shared" si="619"/>
        <v>0</v>
      </c>
    </row>
    <row r="412" spans="2:29" ht="28.5" hidden="1" x14ac:dyDescent="0.2">
      <c r="B412" s="76" t="s">
        <v>1236</v>
      </c>
      <c r="C412" s="77" t="s">
        <v>1237</v>
      </c>
      <c r="D412" s="41"/>
      <c r="E412" s="188">
        <f>SUM('ADICIONES  2021'!C412:I412)</f>
        <v>494200000</v>
      </c>
      <c r="F412" s="41"/>
      <c r="G412" s="41"/>
      <c r="H412" s="41"/>
      <c r="I412" s="41"/>
      <c r="J412" s="41"/>
      <c r="K412" s="128">
        <f t="shared" si="645"/>
        <v>494200000</v>
      </c>
      <c r="L412" s="41"/>
      <c r="M412" s="41"/>
      <c r="N412" s="41"/>
      <c r="O412" s="41"/>
      <c r="P412" s="41">
        <v>0</v>
      </c>
      <c r="Q412" s="409"/>
      <c r="R412" s="128">
        <f t="shared" si="647"/>
        <v>0</v>
      </c>
      <c r="S412" s="41"/>
      <c r="T412" s="41"/>
      <c r="U412" s="41"/>
      <c r="V412" s="41"/>
      <c r="W412" s="41"/>
      <c r="X412" s="41"/>
      <c r="Y412" s="41"/>
      <c r="Z412" s="41"/>
      <c r="AA412" s="128">
        <f t="shared" si="658"/>
        <v>0</v>
      </c>
      <c r="AB412" s="128">
        <f t="shared" si="649"/>
        <v>0</v>
      </c>
      <c r="AC412" s="175">
        <f t="shared" si="619"/>
        <v>0</v>
      </c>
    </row>
    <row r="413" spans="2:29" ht="28.5" hidden="1" x14ac:dyDescent="0.2">
      <c r="B413" s="76" t="s">
        <v>1358</v>
      </c>
      <c r="C413" s="77" t="s">
        <v>1359</v>
      </c>
      <c r="D413" s="41"/>
      <c r="E413" s="188">
        <f>SUM('ADICIONES  2021'!C413:I413)</f>
        <v>7293701458.1300001</v>
      </c>
      <c r="F413" s="41"/>
      <c r="G413" s="41"/>
      <c r="H413" s="41"/>
      <c r="I413" s="41"/>
      <c r="J413" s="41"/>
      <c r="K413" s="128">
        <f t="shared" si="645"/>
        <v>7293701458.1300001</v>
      </c>
      <c r="L413" s="41"/>
      <c r="M413" s="41"/>
      <c r="N413" s="41"/>
      <c r="O413" s="41"/>
      <c r="P413" s="41">
        <v>7293701458.1300001</v>
      </c>
      <c r="Q413" s="409"/>
      <c r="R413" s="128">
        <f t="shared" si="647"/>
        <v>7293701458.1300001</v>
      </c>
      <c r="S413" s="41"/>
      <c r="T413" s="41"/>
      <c r="U413" s="41"/>
      <c r="V413" s="41"/>
      <c r="W413" s="41"/>
      <c r="X413" s="41"/>
      <c r="Y413" s="41"/>
      <c r="Z413" s="41"/>
      <c r="AA413" s="128">
        <f t="shared" ref="AA413" si="683">SUM(S413:Z413)</f>
        <v>0</v>
      </c>
      <c r="AB413" s="128">
        <f t="shared" si="649"/>
        <v>7293701458.1300001</v>
      </c>
      <c r="AC413" s="175">
        <f t="shared" si="619"/>
        <v>1</v>
      </c>
    </row>
    <row r="414" spans="2:29" ht="19.5" hidden="1" x14ac:dyDescent="0.2">
      <c r="B414" s="81" t="s">
        <v>1238</v>
      </c>
      <c r="C414" s="79" t="s">
        <v>1239</v>
      </c>
      <c r="D414" s="162">
        <f>SUM(D415:D454)</f>
        <v>0</v>
      </c>
      <c r="E414" s="187">
        <f>SUM('ADICIONES  2021'!C414:I414)</f>
        <v>16378541905.35</v>
      </c>
      <c r="F414" s="162">
        <f>SUM(F415:F454)</f>
        <v>0</v>
      </c>
      <c r="G414" s="162">
        <f>SUM(G415:G454)</f>
        <v>0</v>
      </c>
      <c r="H414" s="162">
        <f>SUM(H415:H454)</f>
        <v>0</v>
      </c>
      <c r="I414" s="162">
        <f>SUM(I415:I454)</f>
        <v>0</v>
      </c>
      <c r="J414" s="162">
        <f>SUM(J415:J454)</f>
        <v>0</v>
      </c>
      <c r="K414" s="78">
        <f t="shared" si="645"/>
        <v>16378541905.35</v>
      </c>
      <c r="L414" s="162">
        <f t="shared" ref="L414:Q414" si="684">SUM(L415:L454)</f>
        <v>0</v>
      </c>
      <c r="M414" s="162">
        <f t="shared" si="684"/>
        <v>0</v>
      </c>
      <c r="N414" s="162">
        <f t="shared" si="684"/>
        <v>0</v>
      </c>
      <c r="O414" s="162">
        <f t="shared" si="684"/>
        <v>0</v>
      </c>
      <c r="P414" s="162">
        <f t="shared" si="684"/>
        <v>3212038162.3699999</v>
      </c>
      <c r="Q414" s="418">
        <f t="shared" si="684"/>
        <v>0.01</v>
      </c>
      <c r="R414" s="78">
        <f t="shared" si="647"/>
        <v>3212038162.3800001</v>
      </c>
      <c r="S414" s="162">
        <f t="shared" ref="S414:Z414" si="685">SUM(S415:S454)</f>
        <v>0</v>
      </c>
      <c r="T414" s="162">
        <f t="shared" si="685"/>
        <v>0</v>
      </c>
      <c r="U414" s="162">
        <f t="shared" si="685"/>
        <v>0</v>
      </c>
      <c r="V414" s="162">
        <f t="shared" si="685"/>
        <v>0</v>
      </c>
      <c r="W414" s="162">
        <f t="shared" si="685"/>
        <v>0</v>
      </c>
      <c r="X414" s="162">
        <f t="shared" si="685"/>
        <v>0</v>
      </c>
      <c r="Y414" s="162">
        <f t="shared" si="685"/>
        <v>0</v>
      </c>
      <c r="Z414" s="162">
        <f t="shared" si="685"/>
        <v>0</v>
      </c>
      <c r="AA414" s="78">
        <f t="shared" si="658"/>
        <v>0</v>
      </c>
      <c r="AB414" s="78">
        <f t="shared" si="649"/>
        <v>3212038162.3800001</v>
      </c>
      <c r="AC414" s="174">
        <f t="shared" si="619"/>
        <v>0.19611258321662917</v>
      </c>
    </row>
    <row r="415" spans="2:29" ht="28.5" hidden="1" x14ac:dyDescent="0.2">
      <c r="B415" s="76" t="s">
        <v>1240</v>
      </c>
      <c r="C415" s="77" t="s">
        <v>1241</v>
      </c>
      <c r="D415" s="41"/>
      <c r="E415" s="188">
        <f>SUM('ADICIONES  2021'!C415:I415)</f>
        <v>13381639410.690001</v>
      </c>
      <c r="F415" s="41"/>
      <c r="G415" s="41"/>
      <c r="H415" s="41"/>
      <c r="I415" s="41"/>
      <c r="J415" s="41"/>
      <c r="K415" s="128">
        <f t="shared" si="645"/>
        <v>13381639410.690001</v>
      </c>
      <c r="L415" s="41"/>
      <c r="M415" s="41"/>
      <c r="N415" s="41"/>
      <c r="O415" s="41"/>
      <c r="P415" s="41">
        <v>0</v>
      </c>
      <c r="Q415" s="409"/>
      <c r="R415" s="128">
        <f t="shared" si="647"/>
        <v>0</v>
      </c>
      <c r="S415" s="41"/>
      <c r="T415" s="41"/>
      <c r="U415" s="41"/>
      <c r="V415" s="41"/>
      <c r="W415" s="41"/>
      <c r="X415" s="41"/>
      <c r="Y415" s="41"/>
      <c r="Z415" s="41"/>
      <c r="AA415" s="128">
        <f t="shared" si="658"/>
        <v>0</v>
      </c>
      <c r="AB415" s="128">
        <f t="shared" si="649"/>
        <v>0</v>
      </c>
      <c r="AC415" s="175">
        <f t="shared" si="619"/>
        <v>0</v>
      </c>
    </row>
    <row r="416" spans="2:29" ht="57" hidden="1" x14ac:dyDescent="0.2">
      <c r="B416" s="76" t="s">
        <v>1360</v>
      </c>
      <c r="C416" s="77" t="s">
        <v>1361</v>
      </c>
      <c r="D416" s="41"/>
      <c r="E416" s="188">
        <f>SUM('ADICIONES  2021'!C416:I416)</f>
        <v>33000646.48</v>
      </c>
      <c r="F416" s="41"/>
      <c r="G416" s="41"/>
      <c r="H416" s="41"/>
      <c r="I416" s="41"/>
      <c r="J416" s="41"/>
      <c r="K416" s="128">
        <f t="shared" si="645"/>
        <v>33000646.48</v>
      </c>
      <c r="L416" s="41"/>
      <c r="M416" s="41"/>
      <c r="N416" s="41"/>
      <c r="O416" s="41"/>
      <c r="P416" s="41">
        <v>0</v>
      </c>
      <c r="Q416" s="409"/>
      <c r="R416" s="128">
        <f t="shared" si="647"/>
        <v>0</v>
      </c>
      <c r="S416" s="41"/>
      <c r="T416" s="41"/>
      <c r="U416" s="41"/>
      <c r="V416" s="41"/>
      <c r="W416" s="41"/>
      <c r="X416" s="41"/>
      <c r="Y416" s="41"/>
      <c r="Z416" s="41"/>
      <c r="AA416" s="128">
        <f t="shared" ref="AA416:AA479" si="686">SUM(S416:Z416)</f>
        <v>0</v>
      </c>
      <c r="AB416" s="128">
        <f t="shared" si="649"/>
        <v>0</v>
      </c>
      <c r="AC416" s="175">
        <f t="shared" si="619"/>
        <v>0</v>
      </c>
    </row>
    <row r="417" spans="2:29" ht="42.75" hidden="1" x14ac:dyDescent="0.2">
      <c r="B417" s="76" t="s">
        <v>1362</v>
      </c>
      <c r="C417" s="77" t="s">
        <v>1363</v>
      </c>
      <c r="D417" s="41"/>
      <c r="E417" s="188">
        <f>SUM('ADICIONES  2021'!C417:I417)</f>
        <v>58614890.990000002</v>
      </c>
      <c r="F417" s="41"/>
      <c r="G417" s="41"/>
      <c r="H417" s="41"/>
      <c r="I417" s="41"/>
      <c r="J417" s="41"/>
      <c r="K417" s="128">
        <f t="shared" si="645"/>
        <v>58614890.990000002</v>
      </c>
      <c r="L417" s="41"/>
      <c r="M417" s="41"/>
      <c r="N417" s="41"/>
      <c r="O417" s="41"/>
      <c r="P417" s="41">
        <v>641385109</v>
      </c>
      <c r="Q417" s="409">
        <v>0.01</v>
      </c>
      <c r="R417" s="128">
        <f t="shared" si="647"/>
        <v>641385109.00999999</v>
      </c>
      <c r="S417" s="41"/>
      <c r="T417" s="41"/>
      <c r="U417" s="41"/>
      <c r="V417" s="41"/>
      <c r="W417" s="41"/>
      <c r="X417" s="41"/>
      <c r="Y417" s="41"/>
      <c r="Z417" s="41"/>
      <c r="AA417" s="128">
        <f t="shared" si="686"/>
        <v>0</v>
      </c>
      <c r="AB417" s="128">
        <f t="shared" si="649"/>
        <v>641385109.00999999</v>
      </c>
      <c r="AC417" s="175">
        <f t="shared" si="619"/>
        <v>10.942357789583257</v>
      </c>
    </row>
    <row r="418" spans="2:29" ht="28.5" hidden="1" x14ac:dyDescent="0.2">
      <c r="B418" s="76" t="s">
        <v>1364</v>
      </c>
      <c r="C418" s="77" t="s">
        <v>1365</v>
      </c>
      <c r="D418" s="41"/>
      <c r="E418" s="188">
        <f>SUM('ADICIONES  2021'!C418:I418)</f>
        <v>904400</v>
      </c>
      <c r="F418" s="41"/>
      <c r="G418" s="41"/>
      <c r="H418" s="41"/>
      <c r="I418" s="41"/>
      <c r="J418" s="41"/>
      <c r="K418" s="128">
        <f t="shared" si="645"/>
        <v>904400</v>
      </c>
      <c r="L418" s="41"/>
      <c r="M418" s="41"/>
      <c r="N418" s="41"/>
      <c r="O418" s="41"/>
      <c r="P418" s="41">
        <v>904400</v>
      </c>
      <c r="Q418" s="409"/>
      <c r="R418" s="128">
        <f t="shared" si="647"/>
        <v>904400</v>
      </c>
      <c r="S418" s="41"/>
      <c r="T418" s="41"/>
      <c r="U418" s="41"/>
      <c r="V418" s="41"/>
      <c r="W418" s="41"/>
      <c r="X418" s="41"/>
      <c r="Y418" s="41"/>
      <c r="Z418" s="41"/>
      <c r="AA418" s="128">
        <f t="shared" si="686"/>
        <v>0</v>
      </c>
      <c r="AB418" s="128">
        <f t="shared" si="649"/>
        <v>904400</v>
      </c>
      <c r="AC418" s="175">
        <f t="shared" si="619"/>
        <v>1</v>
      </c>
    </row>
    <row r="419" spans="2:29" ht="57" hidden="1" x14ac:dyDescent="0.2">
      <c r="B419" s="76" t="s">
        <v>1366</v>
      </c>
      <c r="C419" s="77" t="s">
        <v>1367</v>
      </c>
      <c r="D419" s="41"/>
      <c r="E419" s="188">
        <f>SUM('ADICIONES  2021'!C419:I419)</f>
        <v>61823651.520000003</v>
      </c>
      <c r="F419" s="41"/>
      <c r="G419" s="41"/>
      <c r="H419" s="41"/>
      <c r="I419" s="41"/>
      <c r="J419" s="41"/>
      <c r="K419" s="128">
        <f t="shared" si="645"/>
        <v>61823651.520000003</v>
      </c>
      <c r="L419" s="41"/>
      <c r="M419" s="41"/>
      <c r="N419" s="41"/>
      <c r="O419" s="41"/>
      <c r="P419" s="41">
        <v>61823651.520000003</v>
      </c>
      <c r="Q419" s="409"/>
      <c r="R419" s="128">
        <f t="shared" si="647"/>
        <v>61823651.520000003</v>
      </c>
      <c r="S419" s="41"/>
      <c r="T419" s="41"/>
      <c r="U419" s="41"/>
      <c r="V419" s="41"/>
      <c r="W419" s="41"/>
      <c r="X419" s="41"/>
      <c r="Y419" s="41"/>
      <c r="Z419" s="41"/>
      <c r="AA419" s="128">
        <f t="shared" si="686"/>
        <v>0</v>
      </c>
      <c r="AB419" s="128">
        <f t="shared" si="649"/>
        <v>61823651.520000003</v>
      </c>
      <c r="AC419" s="175">
        <f t="shared" si="619"/>
        <v>1</v>
      </c>
    </row>
    <row r="420" spans="2:29" ht="57" hidden="1" x14ac:dyDescent="0.2">
      <c r="B420" s="76" t="s">
        <v>1368</v>
      </c>
      <c r="C420" s="77" t="s">
        <v>1369</v>
      </c>
      <c r="D420" s="41"/>
      <c r="E420" s="188">
        <f>SUM('ADICIONES  2021'!C420:I420)</f>
        <v>30584154.91</v>
      </c>
      <c r="F420" s="41"/>
      <c r="G420" s="41"/>
      <c r="H420" s="41"/>
      <c r="I420" s="41"/>
      <c r="J420" s="41"/>
      <c r="K420" s="128">
        <f t="shared" si="645"/>
        <v>30584154.91</v>
      </c>
      <c r="L420" s="41"/>
      <c r="M420" s="41"/>
      <c r="N420" s="41"/>
      <c r="O420" s="41"/>
      <c r="P420" s="41">
        <v>30584154.91</v>
      </c>
      <c r="Q420" s="409"/>
      <c r="R420" s="128">
        <f t="shared" si="647"/>
        <v>30584154.91</v>
      </c>
      <c r="S420" s="41"/>
      <c r="T420" s="41"/>
      <c r="U420" s="41"/>
      <c r="V420" s="41"/>
      <c r="W420" s="41"/>
      <c r="X420" s="41"/>
      <c r="Y420" s="41"/>
      <c r="Z420" s="41"/>
      <c r="AA420" s="128">
        <f t="shared" si="686"/>
        <v>0</v>
      </c>
      <c r="AB420" s="128">
        <f t="shared" si="649"/>
        <v>30584154.91</v>
      </c>
      <c r="AC420" s="175">
        <f t="shared" si="619"/>
        <v>1</v>
      </c>
    </row>
    <row r="421" spans="2:29" ht="57" hidden="1" x14ac:dyDescent="0.2">
      <c r="B421" s="76" t="s">
        <v>1370</v>
      </c>
      <c r="C421" s="77" t="s">
        <v>1371</v>
      </c>
      <c r="D421" s="41"/>
      <c r="E421" s="188">
        <f>SUM('ADICIONES  2021'!C421:I421)</f>
        <v>33558609</v>
      </c>
      <c r="F421" s="41"/>
      <c r="G421" s="41"/>
      <c r="H421" s="41"/>
      <c r="I421" s="41"/>
      <c r="J421" s="41"/>
      <c r="K421" s="128">
        <f t="shared" si="645"/>
        <v>33558609</v>
      </c>
      <c r="L421" s="41"/>
      <c r="M421" s="41"/>
      <c r="N421" s="41"/>
      <c r="O421" s="41"/>
      <c r="P421" s="41">
        <v>33558609</v>
      </c>
      <c r="Q421" s="409"/>
      <c r="R421" s="128">
        <f t="shared" si="647"/>
        <v>33558609</v>
      </c>
      <c r="S421" s="41"/>
      <c r="T421" s="41"/>
      <c r="U421" s="41"/>
      <c r="V421" s="41"/>
      <c r="W421" s="41"/>
      <c r="X421" s="41"/>
      <c r="Y421" s="41"/>
      <c r="Z421" s="41"/>
      <c r="AA421" s="128">
        <f t="shared" si="686"/>
        <v>0</v>
      </c>
      <c r="AB421" s="128">
        <f t="shared" si="649"/>
        <v>33558609</v>
      </c>
      <c r="AC421" s="175">
        <f t="shared" si="619"/>
        <v>1</v>
      </c>
    </row>
    <row r="422" spans="2:29" ht="57" hidden="1" x14ac:dyDescent="0.2">
      <c r="B422" s="76" t="s">
        <v>1372</v>
      </c>
      <c r="C422" s="77" t="s">
        <v>1373</v>
      </c>
      <c r="D422" s="41"/>
      <c r="E422" s="188">
        <f>SUM('ADICIONES  2021'!C422:I422)</f>
        <v>22027527.539999999</v>
      </c>
      <c r="F422" s="41"/>
      <c r="G422" s="41"/>
      <c r="H422" s="41"/>
      <c r="I422" s="41"/>
      <c r="J422" s="41"/>
      <c r="K422" s="128">
        <f t="shared" si="645"/>
        <v>22027527.539999999</v>
      </c>
      <c r="L422" s="41"/>
      <c r="M422" s="41"/>
      <c r="N422" s="41"/>
      <c r="O422" s="41"/>
      <c r="P422" s="41">
        <v>22027527.539999999</v>
      </c>
      <c r="Q422" s="409"/>
      <c r="R422" s="128">
        <f t="shared" si="647"/>
        <v>22027527.539999999</v>
      </c>
      <c r="S422" s="41"/>
      <c r="T422" s="41"/>
      <c r="U422" s="41"/>
      <c r="V422" s="41"/>
      <c r="W422" s="41"/>
      <c r="X422" s="41"/>
      <c r="Y422" s="41"/>
      <c r="Z422" s="41"/>
      <c r="AA422" s="128">
        <f t="shared" si="686"/>
        <v>0</v>
      </c>
      <c r="AB422" s="128">
        <f t="shared" si="649"/>
        <v>22027527.539999999</v>
      </c>
      <c r="AC422" s="175">
        <f t="shared" si="619"/>
        <v>1</v>
      </c>
    </row>
    <row r="423" spans="2:29" ht="42.75" hidden="1" x14ac:dyDescent="0.2">
      <c r="B423" s="76" t="s">
        <v>1374</v>
      </c>
      <c r="C423" s="77" t="s">
        <v>1375</v>
      </c>
      <c r="D423" s="41"/>
      <c r="E423" s="188">
        <f>SUM('ADICIONES  2021'!C423:I423)</f>
        <v>1000000</v>
      </c>
      <c r="F423" s="41"/>
      <c r="G423" s="41"/>
      <c r="H423" s="41"/>
      <c r="I423" s="41"/>
      <c r="J423" s="41"/>
      <c r="K423" s="128">
        <f t="shared" si="645"/>
        <v>1000000</v>
      </c>
      <c r="L423" s="41"/>
      <c r="M423" s="41"/>
      <c r="N423" s="41"/>
      <c r="O423" s="41"/>
      <c r="P423" s="41">
        <v>0</v>
      </c>
      <c r="Q423" s="409"/>
      <c r="R423" s="128">
        <f t="shared" si="647"/>
        <v>0</v>
      </c>
      <c r="S423" s="41"/>
      <c r="T423" s="41"/>
      <c r="U423" s="41"/>
      <c r="V423" s="41"/>
      <c r="W423" s="41"/>
      <c r="X423" s="41"/>
      <c r="Y423" s="41"/>
      <c r="Z423" s="41"/>
      <c r="AA423" s="128">
        <f t="shared" si="686"/>
        <v>0</v>
      </c>
      <c r="AB423" s="128">
        <f t="shared" si="649"/>
        <v>0</v>
      </c>
      <c r="AC423" s="175">
        <f t="shared" si="619"/>
        <v>0</v>
      </c>
    </row>
    <row r="424" spans="2:29" ht="28.5" hidden="1" x14ac:dyDescent="0.2">
      <c r="B424" s="76" t="s">
        <v>1376</v>
      </c>
      <c r="C424" s="77" t="s">
        <v>1377</v>
      </c>
      <c r="D424" s="41"/>
      <c r="E424" s="188">
        <f>SUM('ADICIONES  2021'!C424:I424)</f>
        <v>39345</v>
      </c>
      <c r="F424" s="41"/>
      <c r="G424" s="41"/>
      <c r="H424" s="41"/>
      <c r="I424" s="41"/>
      <c r="J424" s="41"/>
      <c r="K424" s="128">
        <f t="shared" si="645"/>
        <v>39345</v>
      </c>
      <c r="L424" s="41"/>
      <c r="M424" s="41"/>
      <c r="N424" s="41"/>
      <c r="O424" s="41"/>
      <c r="P424" s="41">
        <v>0</v>
      </c>
      <c r="Q424" s="409"/>
      <c r="R424" s="128">
        <f t="shared" si="647"/>
        <v>0</v>
      </c>
      <c r="S424" s="41"/>
      <c r="T424" s="41"/>
      <c r="U424" s="41"/>
      <c r="V424" s="41"/>
      <c r="W424" s="41"/>
      <c r="X424" s="41"/>
      <c r="Y424" s="41"/>
      <c r="Z424" s="41"/>
      <c r="AA424" s="128">
        <f t="shared" si="686"/>
        <v>0</v>
      </c>
      <c r="AB424" s="128">
        <f t="shared" si="649"/>
        <v>0</v>
      </c>
      <c r="AC424" s="175">
        <f t="shared" si="619"/>
        <v>0</v>
      </c>
    </row>
    <row r="425" spans="2:29" ht="42.75" hidden="1" x14ac:dyDescent="0.2">
      <c r="B425" s="76" t="s">
        <v>1378</v>
      </c>
      <c r="C425" s="77" t="s">
        <v>1379</v>
      </c>
      <c r="D425" s="41"/>
      <c r="E425" s="188">
        <f>SUM('ADICIONES  2021'!C425:I425)</f>
        <v>5000000</v>
      </c>
      <c r="F425" s="41"/>
      <c r="G425" s="41"/>
      <c r="H425" s="41"/>
      <c r="I425" s="41"/>
      <c r="J425" s="41"/>
      <c r="K425" s="128">
        <f t="shared" si="645"/>
        <v>5000000</v>
      </c>
      <c r="L425" s="41"/>
      <c r="M425" s="41"/>
      <c r="N425" s="41"/>
      <c r="O425" s="41"/>
      <c r="P425" s="41">
        <v>0</v>
      </c>
      <c r="Q425" s="409"/>
      <c r="R425" s="128">
        <f t="shared" si="647"/>
        <v>0</v>
      </c>
      <c r="S425" s="41"/>
      <c r="T425" s="41"/>
      <c r="U425" s="41"/>
      <c r="V425" s="41"/>
      <c r="W425" s="41"/>
      <c r="X425" s="41"/>
      <c r="Y425" s="41"/>
      <c r="Z425" s="41"/>
      <c r="AA425" s="128">
        <f t="shared" si="686"/>
        <v>0</v>
      </c>
      <c r="AB425" s="128">
        <f t="shared" si="649"/>
        <v>0</v>
      </c>
      <c r="AC425" s="175">
        <f t="shared" si="619"/>
        <v>0</v>
      </c>
    </row>
    <row r="426" spans="2:29" ht="42.75" hidden="1" x14ac:dyDescent="0.2">
      <c r="B426" s="76" t="s">
        <v>1380</v>
      </c>
      <c r="C426" s="77" t="s">
        <v>1381</v>
      </c>
      <c r="D426" s="41"/>
      <c r="E426" s="188">
        <f>SUM('ADICIONES  2021'!C426:I426)</f>
        <v>73806183.269999996</v>
      </c>
      <c r="F426" s="41"/>
      <c r="G426" s="41"/>
      <c r="H426" s="41"/>
      <c r="I426" s="41"/>
      <c r="J426" s="41"/>
      <c r="K426" s="128">
        <f t="shared" si="645"/>
        <v>73806183.269999996</v>
      </c>
      <c r="L426" s="41"/>
      <c r="M426" s="41"/>
      <c r="N426" s="41"/>
      <c r="O426" s="41"/>
      <c r="P426" s="41">
        <v>73806183.269999996</v>
      </c>
      <c r="Q426" s="409"/>
      <c r="R426" s="128">
        <f t="shared" si="647"/>
        <v>73806183.269999996</v>
      </c>
      <c r="S426" s="41"/>
      <c r="T426" s="41"/>
      <c r="U426" s="41"/>
      <c r="V426" s="41"/>
      <c r="W426" s="41"/>
      <c r="X426" s="41"/>
      <c r="Y426" s="41"/>
      <c r="Z426" s="41"/>
      <c r="AA426" s="128">
        <f t="shared" si="686"/>
        <v>0</v>
      </c>
      <c r="AB426" s="128">
        <f t="shared" si="649"/>
        <v>73806183.269999996</v>
      </c>
      <c r="AC426" s="175">
        <f t="shared" si="619"/>
        <v>1</v>
      </c>
    </row>
    <row r="427" spans="2:29" ht="42.75" hidden="1" x14ac:dyDescent="0.2">
      <c r="B427" s="76" t="s">
        <v>1382</v>
      </c>
      <c r="C427" s="77" t="s">
        <v>1383</v>
      </c>
      <c r="D427" s="41"/>
      <c r="E427" s="188">
        <f>SUM('ADICIONES  2021'!C427:I427)</f>
        <v>71598144.590000004</v>
      </c>
      <c r="F427" s="41"/>
      <c r="G427" s="41"/>
      <c r="H427" s="41"/>
      <c r="I427" s="41"/>
      <c r="J427" s="41"/>
      <c r="K427" s="128">
        <f t="shared" si="645"/>
        <v>71598144.590000004</v>
      </c>
      <c r="L427" s="41"/>
      <c r="M427" s="41"/>
      <c r="N427" s="41"/>
      <c r="O427" s="41"/>
      <c r="P427" s="41">
        <v>71598144.590000004</v>
      </c>
      <c r="Q427" s="409"/>
      <c r="R427" s="128">
        <f t="shared" si="647"/>
        <v>71598144.590000004</v>
      </c>
      <c r="S427" s="41"/>
      <c r="T427" s="41"/>
      <c r="U427" s="41"/>
      <c r="V427" s="41"/>
      <c r="W427" s="41"/>
      <c r="X427" s="41"/>
      <c r="Y427" s="41"/>
      <c r="Z427" s="41"/>
      <c r="AA427" s="128">
        <f t="shared" si="686"/>
        <v>0</v>
      </c>
      <c r="AB427" s="128">
        <f t="shared" si="649"/>
        <v>71598144.590000004</v>
      </c>
      <c r="AC427" s="175">
        <f t="shared" si="619"/>
        <v>1</v>
      </c>
    </row>
    <row r="428" spans="2:29" ht="42.75" hidden="1" x14ac:dyDescent="0.2">
      <c r="B428" s="76" t="s">
        <v>1384</v>
      </c>
      <c r="C428" s="77" t="s">
        <v>1385</v>
      </c>
      <c r="D428" s="41"/>
      <c r="E428" s="188">
        <f>SUM('ADICIONES  2021'!C428:I428)</f>
        <v>189005952.12</v>
      </c>
      <c r="F428" s="41"/>
      <c r="G428" s="41"/>
      <c r="H428" s="41"/>
      <c r="I428" s="41"/>
      <c r="J428" s="41"/>
      <c r="K428" s="128">
        <f t="shared" si="645"/>
        <v>189005952.12</v>
      </c>
      <c r="L428" s="41"/>
      <c r="M428" s="41"/>
      <c r="N428" s="41"/>
      <c r="O428" s="41"/>
      <c r="P428" s="41">
        <v>189005952.12</v>
      </c>
      <c r="Q428" s="409"/>
      <c r="R428" s="128">
        <f t="shared" si="647"/>
        <v>189005952.12</v>
      </c>
      <c r="S428" s="41"/>
      <c r="T428" s="41"/>
      <c r="U428" s="41"/>
      <c r="V428" s="41"/>
      <c r="W428" s="41"/>
      <c r="X428" s="41"/>
      <c r="Y428" s="41"/>
      <c r="Z428" s="41"/>
      <c r="AA428" s="128">
        <f t="shared" si="686"/>
        <v>0</v>
      </c>
      <c r="AB428" s="128">
        <f t="shared" si="649"/>
        <v>189005952.12</v>
      </c>
      <c r="AC428" s="175">
        <f t="shared" si="619"/>
        <v>1</v>
      </c>
    </row>
    <row r="429" spans="2:29" ht="42.75" hidden="1" x14ac:dyDescent="0.2">
      <c r="B429" s="76" t="s">
        <v>1386</v>
      </c>
      <c r="C429" s="77" t="s">
        <v>1387</v>
      </c>
      <c r="D429" s="41"/>
      <c r="E429" s="188">
        <f>SUM('ADICIONES  2021'!C429:I429)</f>
        <v>34422031.479999997</v>
      </c>
      <c r="F429" s="41"/>
      <c r="G429" s="41"/>
      <c r="H429" s="41"/>
      <c r="I429" s="41"/>
      <c r="J429" s="41"/>
      <c r="K429" s="128">
        <f t="shared" si="645"/>
        <v>34422031.479999997</v>
      </c>
      <c r="L429" s="41"/>
      <c r="M429" s="41"/>
      <c r="N429" s="41"/>
      <c r="O429" s="41"/>
      <c r="P429" s="41">
        <v>34422031.479999997</v>
      </c>
      <c r="Q429" s="409"/>
      <c r="R429" s="128">
        <f t="shared" si="647"/>
        <v>34422031.479999997</v>
      </c>
      <c r="S429" s="41"/>
      <c r="T429" s="41"/>
      <c r="U429" s="41"/>
      <c r="V429" s="41"/>
      <c r="W429" s="41"/>
      <c r="X429" s="41"/>
      <c r="Y429" s="41"/>
      <c r="Z429" s="41"/>
      <c r="AA429" s="128">
        <f t="shared" si="686"/>
        <v>0</v>
      </c>
      <c r="AB429" s="128">
        <f t="shared" si="649"/>
        <v>34422031.479999997</v>
      </c>
      <c r="AC429" s="175">
        <f t="shared" si="619"/>
        <v>1</v>
      </c>
    </row>
    <row r="430" spans="2:29" ht="42.75" hidden="1" x14ac:dyDescent="0.2">
      <c r="B430" s="76" t="s">
        <v>1388</v>
      </c>
      <c r="C430" s="77" t="s">
        <v>1389</v>
      </c>
      <c r="D430" s="41"/>
      <c r="E430" s="188">
        <f>SUM('ADICIONES  2021'!C430:I430)</f>
        <v>72427111</v>
      </c>
      <c r="F430" s="41"/>
      <c r="G430" s="41"/>
      <c r="H430" s="41"/>
      <c r="I430" s="41"/>
      <c r="J430" s="41"/>
      <c r="K430" s="128">
        <f t="shared" si="645"/>
        <v>72427111</v>
      </c>
      <c r="L430" s="41"/>
      <c r="M430" s="41"/>
      <c r="N430" s="41"/>
      <c r="O430" s="41"/>
      <c r="P430" s="41">
        <v>72427111</v>
      </c>
      <c r="Q430" s="409"/>
      <c r="R430" s="128">
        <f t="shared" si="647"/>
        <v>72427111</v>
      </c>
      <c r="S430" s="41"/>
      <c r="T430" s="41"/>
      <c r="U430" s="41"/>
      <c r="V430" s="41"/>
      <c r="W430" s="41"/>
      <c r="X430" s="41"/>
      <c r="Y430" s="41"/>
      <c r="Z430" s="41"/>
      <c r="AA430" s="128">
        <f t="shared" si="686"/>
        <v>0</v>
      </c>
      <c r="AB430" s="128">
        <f t="shared" si="649"/>
        <v>72427111</v>
      </c>
      <c r="AC430" s="175">
        <f t="shared" si="619"/>
        <v>1</v>
      </c>
    </row>
    <row r="431" spans="2:29" ht="42.75" hidden="1" x14ac:dyDescent="0.2">
      <c r="B431" s="76" t="s">
        <v>1390</v>
      </c>
      <c r="C431" s="77" t="s">
        <v>1391</v>
      </c>
      <c r="D431" s="41"/>
      <c r="E431" s="188">
        <f>SUM('ADICIONES  2021'!C431:I431)</f>
        <v>32342202.43</v>
      </c>
      <c r="F431" s="41"/>
      <c r="G431" s="41"/>
      <c r="H431" s="41"/>
      <c r="I431" s="41"/>
      <c r="J431" s="41"/>
      <c r="K431" s="128">
        <f t="shared" si="645"/>
        <v>32342202.43</v>
      </c>
      <c r="L431" s="41"/>
      <c r="M431" s="41"/>
      <c r="N431" s="41"/>
      <c r="O431" s="41"/>
      <c r="P431" s="41">
        <v>32342202.43</v>
      </c>
      <c r="Q431" s="409"/>
      <c r="R431" s="128">
        <f t="shared" si="647"/>
        <v>32342202.43</v>
      </c>
      <c r="S431" s="41"/>
      <c r="T431" s="41"/>
      <c r="U431" s="41"/>
      <c r="V431" s="41"/>
      <c r="W431" s="41"/>
      <c r="X431" s="41"/>
      <c r="Y431" s="41"/>
      <c r="Z431" s="41"/>
      <c r="AA431" s="128">
        <f t="shared" si="686"/>
        <v>0</v>
      </c>
      <c r="AB431" s="128">
        <f t="shared" si="649"/>
        <v>32342202.43</v>
      </c>
      <c r="AC431" s="175">
        <f t="shared" si="619"/>
        <v>1</v>
      </c>
    </row>
    <row r="432" spans="2:29" ht="42.75" hidden="1" x14ac:dyDescent="0.2">
      <c r="B432" s="76" t="s">
        <v>1392</v>
      </c>
      <c r="C432" s="77" t="s">
        <v>1393</v>
      </c>
      <c r="D432" s="41"/>
      <c r="E432" s="188">
        <f>SUM('ADICIONES  2021'!C432:I432)</f>
        <v>33527630.84</v>
      </c>
      <c r="F432" s="41"/>
      <c r="G432" s="41"/>
      <c r="H432" s="41"/>
      <c r="I432" s="41"/>
      <c r="J432" s="41"/>
      <c r="K432" s="128">
        <f t="shared" si="645"/>
        <v>33527630.84</v>
      </c>
      <c r="L432" s="41"/>
      <c r="M432" s="41"/>
      <c r="N432" s="41"/>
      <c r="O432" s="41"/>
      <c r="P432" s="41">
        <v>33527630.84</v>
      </c>
      <c r="Q432" s="409"/>
      <c r="R432" s="128">
        <f t="shared" si="647"/>
        <v>33527630.84</v>
      </c>
      <c r="S432" s="41"/>
      <c r="T432" s="41"/>
      <c r="U432" s="41"/>
      <c r="V432" s="41"/>
      <c r="W432" s="41"/>
      <c r="X432" s="41"/>
      <c r="Y432" s="41"/>
      <c r="Z432" s="41"/>
      <c r="AA432" s="128">
        <f t="shared" si="686"/>
        <v>0</v>
      </c>
      <c r="AB432" s="128">
        <f t="shared" si="649"/>
        <v>33527630.84</v>
      </c>
      <c r="AC432" s="175">
        <f t="shared" si="619"/>
        <v>1</v>
      </c>
    </row>
    <row r="433" spans="2:29" ht="42.75" hidden="1" x14ac:dyDescent="0.2">
      <c r="B433" s="76" t="s">
        <v>1394</v>
      </c>
      <c r="C433" s="77" t="s">
        <v>1395</v>
      </c>
      <c r="D433" s="41"/>
      <c r="E433" s="188">
        <f>SUM('ADICIONES  2021'!C433:I433)</f>
        <v>17525824</v>
      </c>
      <c r="F433" s="41"/>
      <c r="G433" s="41"/>
      <c r="H433" s="41"/>
      <c r="I433" s="41"/>
      <c r="J433" s="41"/>
      <c r="K433" s="128">
        <f t="shared" si="645"/>
        <v>17525824</v>
      </c>
      <c r="L433" s="41"/>
      <c r="M433" s="41"/>
      <c r="N433" s="41"/>
      <c r="O433" s="41"/>
      <c r="P433" s="41">
        <v>17525824</v>
      </c>
      <c r="Q433" s="409"/>
      <c r="R433" s="128">
        <f t="shared" si="647"/>
        <v>17525824</v>
      </c>
      <c r="S433" s="41"/>
      <c r="T433" s="41"/>
      <c r="U433" s="41"/>
      <c r="V433" s="41"/>
      <c r="W433" s="41"/>
      <c r="X433" s="41"/>
      <c r="Y433" s="41"/>
      <c r="Z433" s="41"/>
      <c r="AA433" s="128">
        <f t="shared" si="686"/>
        <v>0</v>
      </c>
      <c r="AB433" s="128">
        <f t="shared" si="649"/>
        <v>17525824</v>
      </c>
      <c r="AC433" s="175">
        <f t="shared" si="619"/>
        <v>1</v>
      </c>
    </row>
    <row r="434" spans="2:29" ht="42.75" hidden="1" x14ac:dyDescent="0.2">
      <c r="B434" s="76" t="s">
        <v>1396</v>
      </c>
      <c r="C434" s="77" t="s">
        <v>1397</v>
      </c>
      <c r="D434" s="41"/>
      <c r="E434" s="188">
        <f>SUM('ADICIONES  2021'!C434:I434)</f>
        <v>85052927</v>
      </c>
      <c r="F434" s="41"/>
      <c r="G434" s="41"/>
      <c r="H434" s="41"/>
      <c r="I434" s="41"/>
      <c r="J434" s="41"/>
      <c r="K434" s="128">
        <f t="shared" si="645"/>
        <v>85052927</v>
      </c>
      <c r="L434" s="41"/>
      <c r="M434" s="41"/>
      <c r="N434" s="41"/>
      <c r="O434" s="41"/>
      <c r="P434" s="41">
        <v>85052927</v>
      </c>
      <c r="Q434" s="409"/>
      <c r="R434" s="128">
        <f t="shared" si="647"/>
        <v>85052927</v>
      </c>
      <c r="S434" s="41"/>
      <c r="T434" s="41"/>
      <c r="U434" s="41"/>
      <c r="V434" s="41"/>
      <c r="W434" s="41"/>
      <c r="X434" s="41"/>
      <c r="Y434" s="41"/>
      <c r="Z434" s="41"/>
      <c r="AA434" s="128">
        <f t="shared" si="686"/>
        <v>0</v>
      </c>
      <c r="AB434" s="128">
        <f t="shared" si="649"/>
        <v>85052927</v>
      </c>
      <c r="AC434" s="175">
        <f t="shared" si="619"/>
        <v>1</v>
      </c>
    </row>
    <row r="435" spans="2:29" ht="42.75" hidden="1" x14ac:dyDescent="0.2">
      <c r="B435" s="76" t="s">
        <v>1398</v>
      </c>
      <c r="C435" s="77" t="s">
        <v>1399</v>
      </c>
      <c r="D435" s="41"/>
      <c r="E435" s="188">
        <f>SUM('ADICIONES  2021'!C435:I435)</f>
        <v>94636419.859999999</v>
      </c>
      <c r="F435" s="41"/>
      <c r="G435" s="41"/>
      <c r="H435" s="41"/>
      <c r="I435" s="41"/>
      <c r="J435" s="41"/>
      <c r="K435" s="128">
        <f t="shared" si="645"/>
        <v>94636419.859999999</v>
      </c>
      <c r="L435" s="41"/>
      <c r="M435" s="41"/>
      <c r="N435" s="41"/>
      <c r="O435" s="41"/>
      <c r="P435" s="41">
        <v>94636419.859999999</v>
      </c>
      <c r="Q435" s="409"/>
      <c r="R435" s="128">
        <f t="shared" si="647"/>
        <v>94636419.859999999</v>
      </c>
      <c r="S435" s="41"/>
      <c r="T435" s="41"/>
      <c r="U435" s="41"/>
      <c r="V435" s="41"/>
      <c r="W435" s="41"/>
      <c r="X435" s="41"/>
      <c r="Y435" s="41"/>
      <c r="Z435" s="41"/>
      <c r="AA435" s="128">
        <f t="shared" si="686"/>
        <v>0</v>
      </c>
      <c r="AB435" s="128">
        <f t="shared" si="649"/>
        <v>94636419.859999999</v>
      </c>
      <c r="AC435" s="175">
        <f t="shared" si="619"/>
        <v>1</v>
      </c>
    </row>
    <row r="436" spans="2:29" ht="42.75" hidden="1" x14ac:dyDescent="0.2">
      <c r="B436" s="76" t="s">
        <v>1400</v>
      </c>
      <c r="C436" s="77" t="s">
        <v>1401</v>
      </c>
      <c r="D436" s="41"/>
      <c r="E436" s="188">
        <f>SUM('ADICIONES  2021'!C436:I436)</f>
        <v>25528495</v>
      </c>
      <c r="F436" s="41"/>
      <c r="G436" s="41"/>
      <c r="H436" s="41"/>
      <c r="I436" s="41"/>
      <c r="J436" s="41"/>
      <c r="K436" s="128">
        <f t="shared" si="645"/>
        <v>25528495</v>
      </c>
      <c r="L436" s="41"/>
      <c r="M436" s="41"/>
      <c r="N436" s="41"/>
      <c r="O436" s="41"/>
      <c r="P436" s="41">
        <v>25528495</v>
      </c>
      <c r="Q436" s="409"/>
      <c r="R436" s="128">
        <f t="shared" si="647"/>
        <v>25528495</v>
      </c>
      <c r="S436" s="41"/>
      <c r="T436" s="41"/>
      <c r="U436" s="41"/>
      <c r="V436" s="41"/>
      <c r="W436" s="41"/>
      <c r="X436" s="41"/>
      <c r="Y436" s="41"/>
      <c r="Z436" s="41"/>
      <c r="AA436" s="128">
        <f t="shared" si="686"/>
        <v>0</v>
      </c>
      <c r="AB436" s="128">
        <f t="shared" si="649"/>
        <v>25528495</v>
      </c>
      <c r="AC436" s="175">
        <f t="shared" si="619"/>
        <v>1</v>
      </c>
    </row>
    <row r="437" spans="2:29" ht="42.75" hidden="1" x14ac:dyDescent="0.2">
      <c r="B437" s="76" t="s">
        <v>1402</v>
      </c>
      <c r="C437" s="77" t="s">
        <v>1403</v>
      </c>
      <c r="D437" s="41"/>
      <c r="E437" s="188">
        <f>SUM('ADICIONES  2021'!C437:I437)</f>
        <v>41780393.460000001</v>
      </c>
      <c r="F437" s="41"/>
      <c r="G437" s="41"/>
      <c r="H437" s="41"/>
      <c r="I437" s="41"/>
      <c r="J437" s="41"/>
      <c r="K437" s="128">
        <f t="shared" si="645"/>
        <v>41780393.460000001</v>
      </c>
      <c r="L437" s="41"/>
      <c r="M437" s="41"/>
      <c r="N437" s="41"/>
      <c r="O437" s="41"/>
      <c r="P437" s="41">
        <v>41780393.460000001</v>
      </c>
      <c r="Q437" s="409"/>
      <c r="R437" s="128">
        <f t="shared" si="647"/>
        <v>41780393.460000001</v>
      </c>
      <c r="S437" s="41"/>
      <c r="T437" s="41"/>
      <c r="U437" s="41"/>
      <c r="V437" s="41"/>
      <c r="W437" s="41"/>
      <c r="X437" s="41"/>
      <c r="Y437" s="41"/>
      <c r="Z437" s="41"/>
      <c r="AA437" s="128">
        <f t="shared" si="686"/>
        <v>0</v>
      </c>
      <c r="AB437" s="128">
        <f t="shared" si="649"/>
        <v>41780393.460000001</v>
      </c>
      <c r="AC437" s="175">
        <f t="shared" si="619"/>
        <v>1</v>
      </c>
    </row>
    <row r="438" spans="2:29" ht="42.75" hidden="1" x14ac:dyDescent="0.2">
      <c r="B438" s="76" t="s">
        <v>1404</v>
      </c>
      <c r="C438" s="77" t="s">
        <v>1405</v>
      </c>
      <c r="D438" s="41"/>
      <c r="E438" s="188">
        <f>SUM('ADICIONES  2021'!C438:I438)</f>
        <v>85319865.069999993</v>
      </c>
      <c r="F438" s="41"/>
      <c r="G438" s="41"/>
      <c r="H438" s="41"/>
      <c r="I438" s="41"/>
      <c r="J438" s="41"/>
      <c r="K438" s="128">
        <f t="shared" si="645"/>
        <v>85319865.069999993</v>
      </c>
      <c r="L438" s="41"/>
      <c r="M438" s="41"/>
      <c r="N438" s="41"/>
      <c r="O438" s="41"/>
      <c r="P438" s="41">
        <v>85319865.069999993</v>
      </c>
      <c r="Q438" s="409"/>
      <c r="R438" s="128">
        <f t="shared" si="647"/>
        <v>85319865.069999993</v>
      </c>
      <c r="S438" s="41"/>
      <c r="T438" s="41"/>
      <c r="U438" s="41"/>
      <c r="V438" s="41"/>
      <c r="W438" s="41"/>
      <c r="X438" s="41"/>
      <c r="Y438" s="41"/>
      <c r="Z438" s="41"/>
      <c r="AA438" s="128">
        <f t="shared" si="686"/>
        <v>0</v>
      </c>
      <c r="AB438" s="128">
        <f t="shared" si="649"/>
        <v>85319865.069999993</v>
      </c>
      <c r="AC438" s="175">
        <f t="shared" si="619"/>
        <v>1</v>
      </c>
    </row>
    <row r="439" spans="2:29" ht="42.75" hidden="1" x14ac:dyDescent="0.2">
      <c r="B439" s="76" t="s">
        <v>1406</v>
      </c>
      <c r="C439" s="77" t="s">
        <v>1407</v>
      </c>
      <c r="D439" s="41"/>
      <c r="E439" s="188">
        <f>SUM('ADICIONES  2021'!C439:I439)</f>
        <v>60300003.909999996</v>
      </c>
      <c r="F439" s="41"/>
      <c r="G439" s="41"/>
      <c r="H439" s="41"/>
      <c r="I439" s="41"/>
      <c r="J439" s="41"/>
      <c r="K439" s="128">
        <f t="shared" si="645"/>
        <v>60300003.909999996</v>
      </c>
      <c r="L439" s="41"/>
      <c r="M439" s="41"/>
      <c r="N439" s="41"/>
      <c r="O439" s="41"/>
      <c r="P439" s="41">
        <v>60300003.909999996</v>
      </c>
      <c r="Q439" s="409"/>
      <c r="R439" s="128">
        <f t="shared" si="647"/>
        <v>60300003.909999996</v>
      </c>
      <c r="S439" s="41"/>
      <c r="T439" s="41"/>
      <c r="U439" s="41"/>
      <c r="V439" s="41"/>
      <c r="W439" s="41"/>
      <c r="X439" s="41"/>
      <c r="Y439" s="41"/>
      <c r="Z439" s="41"/>
      <c r="AA439" s="128">
        <f t="shared" si="686"/>
        <v>0</v>
      </c>
      <c r="AB439" s="128">
        <f t="shared" si="649"/>
        <v>60300003.909999996</v>
      </c>
      <c r="AC439" s="175">
        <f t="shared" si="619"/>
        <v>1</v>
      </c>
    </row>
    <row r="440" spans="2:29" ht="42.75" hidden="1" x14ac:dyDescent="0.2">
      <c r="B440" s="76" t="s">
        <v>1408</v>
      </c>
      <c r="C440" s="77" t="s">
        <v>1409</v>
      </c>
      <c r="D440" s="41"/>
      <c r="E440" s="188">
        <f>SUM('ADICIONES  2021'!C440:I440)</f>
        <v>301199556.44</v>
      </c>
      <c r="F440" s="41"/>
      <c r="G440" s="41"/>
      <c r="H440" s="41"/>
      <c r="I440" s="41"/>
      <c r="J440" s="41"/>
      <c r="K440" s="128">
        <f t="shared" si="645"/>
        <v>301199556.44</v>
      </c>
      <c r="L440" s="41"/>
      <c r="M440" s="41"/>
      <c r="N440" s="41"/>
      <c r="O440" s="41"/>
      <c r="P440" s="41">
        <v>241932662.97</v>
      </c>
      <c r="Q440" s="409"/>
      <c r="R440" s="128">
        <f t="shared" si="647"/>
        <v>241932662.97</v>
      </c>
      <c r="S440" s="41"/>
      <c r="T440" s="41"/>
      <c r="U440" s="41"/>
      <c r="V440" s="41"/>
      <c r="W440" s="41"/>
      <c r="X440" s="41"/>
      <c r="Y440" s="41"/>
      <c r="Z440" s="41"/>
      <c r="AA440" s="128">
        <f t="shared" si="686"/>
        <v>0</v>
      </c>
      <c r="AB440" s="128">
        <f t="shared" si="649"/>
        <v>241932662.97</v>
      </c>
      <c r="AC440" s="175">
        <f t="shared" si="619"/>
        <v>0.80323047560062999</v>
      </c>
    </row>
    <row r="441" spans="2:29" ht="28.5" hidden="1" x14ac:dyDescent="0.2">
      <c r="B441" s="76" t="s">
        <v>1410</v>
      </c>
      <c r="C441" s="77" t="s">
        <v>1411</v>
      </c>
      <c r="D441" s="41"/>
      <c r="E441" s="188">
        <f>SUM('ADICIONES  2021'!C441:I441)</f>
        <v>3657.3</v>
      </c>
      <c r="F441" s="41"/>
      <c r="G441" s="41"/>
      <c r="H441" s="41"/>
      <c r="I441" s="41"/>
      <c r="J441" s="41"/>
      <c r="K441" s="128">
        <f t="shared" si="645"/>
        <v>3657.3</v>
      </c>
      <c r="L441" s="41"/>
      <c r="M441" s="41"/>
      <c r="N441" s="41"/>
      <c r="O441" s="41"/>
      <c r="P441" s="41">
        <v>3657.3</v>
      </c>
      <c r="Q441" s="409"/>
      <c r="R441" s="128">
        <f t="shared" si="647"/>
        <v>3657.3</v>
      </c>
      <c r="S441" s="41"/>
      <c r="T441" s="41"/>
      <c r="U441" s="41"/>
      <c r="V441" s="41"/>
      <c r="W441" s="41"/>
      <c r="X441" s="41"/>
      <c r="Y441" s="41"/>
      <c r="Z441" s="41"/>
      <c r="AA441" s="128">
        <f t="shared" si="686"/>
        <v>0</v>
      </c>
      <c r="AB441" s="128">
        <f t="shared" si="649"/>
        <v>3657.3</v>
      </c>
      <c r="AC441" s="175">
        <f t="shared" si="619"/>
        <v>1</v>
      </c>
    </row>
    <row r="442" spans="2:29" ht="28.5" hidden="1" x14ac:dyDescent="0.2">
      <c r="B442" s="76" t="s">
        <v>1412</v>
      </c>
      <c r="C442" s="77" t="s">
        <v>1413</v>
      </c>
      <c r="D442" s="41"/>
      <c r="E442" s="188">
        <f>SUM('ADICIONES  2021'!C442:I442)</f>
        <v>12903.3</v>
      </c>
      <c r="F442" s="41"/>
      <c r="G442" s="41"/>
      <c r="H442" s="41"/>
      <c r="I442" s="41"/>
      <c r="J442" s="41"/>
      <c r="K442" s="128">
        <f t="shared" si="645"/>
        <v>12903.3</v>
      </c>
      <c r="L442" s="41"/>
      <c r="M442" s="41"/>
      <c r="N442" s="41"/>
      <c r="O442" s="41"/>
      <c r="P442" s="41">
        <v>12903.3</v>
      </c>
      <c r="Q442" s="409"/>
      <c r="R442" s="128">
        <f t="shared" si="647"/>
        <v>12903.3</v>
      </c>
      <c r="S442" s="41"/>
      <c r="T442" s="41"/>
      <c r="U442" s="41"/>
      <c r="V442" s="41"/>
      <c r="W442" s="41"/>
      <c r="X442" s="41"/>
      <c r="Y442" s="41"/>
      <c r="Z442" s="41"/>
      <c r="AA442" s="128">
        <f t="shared" si="686"/>
        <v>0</v>
      </c>
      <c r="AB442" s="128">
        <f t="shared" si="649"/>
        <v>12903.3</v>
      </c>
      <c r="AC442" s="175">
        <f t="shared" si="619"/>
        <v>1</v>
      </c>
    </row>
    <row r="443" spans="2:29" ht="42.75" hidden="1" x14ac:dyDescent="0.2">
      <c r="B443" s="76" t="s">
        <v>1414</v>
      </c>
      <c r="C443" s="77" t="s">
        <v>1415</v>
      </c>
      <c r="D443" s="41"/>
      <c r="E443" s="188">
        <f>SUM('ADICIONES  2021'!C443:I443)</f>
        <v>22717903.440000001</v>
      </c>
      <c r="F443" s="41"/>
      <c r="G443" s="41"/>
      <c r="H443" s="41"/>
      <c r="I443" s="41"/>
      <c r="J443" s="41"/>
      <c r="K443" s="128">
        <f t="shared" si="645"/>
        <v>22717903.440000001</v>
      </c>
      <c r="L443" s="41"/>
      <c r="M443" s="41"/>
      <c r="N443" s="41"/>
      <c r="O443" s="41"/>
      <c r="P443" s="41">
        <v>22717903.440000001</v>
      </c>
      <c r="Q443" s="409"/>
      <c r="R443" s="128">
        <f t="shared" si="647"/>
        <v>22717903.440000001</v>
      </c>
      <c r="S443" s="41"/>
      <c r="T443" s="41"/>
      <c r="U443" s="41"/>
      <c r="V443" s="41"/>
      <c r="W443" s="41"/>
      <c r="X443" s="41"/>
      <c r="Y443" s="41"/>
      <c r="Z443" s="41"/>
      <c r="AA443" s="128">
        <f t="shared" si="686"/>
        <v>0</v>
      </c>
      <c r="AB443" s="128">
        <f t="shared" si="649"/>
        <v>22717903.440000001</v>
      </c>
      <c r="AC443" s="175">
        <f t="shared" si="619"/>
        <v>1</v>
      </c>
    </row>
    <row r="444" spans="2:29" ht="28.5" hidden="1" x14ac:dyDescent="0.2">
      <c r="B444" s="76" t="s">
        <v>1416</v>
      </c>
      <c r="C444" s="77" t="s">
        <v>1417</v>
      </c>
      <c r="D444" s="41"/>
      <c r="E444" s="188">
        <f>SUM('ADICIONES  2021'!C444:I444)</f>
        <v>16455472</v>
      </c>
      <c r="F444" s="41"/>
      <c r="G444" s="41"/>
      <c r="H444" s="41"/>
      <c r="I444" s="41"/>
      <c r="J444" s="41"/>
      <c r="K444" s="128">
        <f t="shared" si="645"/>
        <v>16455472</v>
      </c>
      <c r="L444" s="41"/>
      <c r="M444" s="41"/>
      <c r="N444" s="41"/>
      <c r="O444" s="41"/>
      <c r="P444" s="41">
        <v>0</v>
      </c>
      <c r="Q444" s="409"/>
      <c r="R444" s="128">
        <f t="shared" si="647"/>
        <v>0</v>
      </c>
      <c r="S444" s="41"/>
      <c r="T444" s="41"/>
      <c r="U444" s="41"/>
      <c r="V444" s="41"/>
      <c r="W444" s="41"/>
      <c r="X444" s="41"/>
      <c r="Y444" s="41"/>
      <c r="Z444" s="41"/>
      <c r="AA444" s="128">
        <f t="shared" si="686"/>
        <v>0</v>
      </c>
      <c r="AB444" s="128">
        <f t="shared" si="649"/>
        <v>0</v>
      </c>
      <c r="AC444" s="175">
        <f t="shared" si="619"/>
        <v>0</v>
      </c>
    </row>
    <row r="445" spans="2:29" ht="42.75" hidden="1" x14ac:dyDescent="0.2">
      <c r="B445" s="76" t="s">
        <v>1418</v>
      </c>
      <c r="C445" s="77" t="s">
        <v>1419</v>
      </c>
      <c r="D445" s="41"/>
      <c r="E445" s="188">
        <f>SUM('ADICIONES  2021'!C445:I445)</f>
        <v>47459103.359999999</v>
      </c>
      <c r="F445" s="41"/>
      <c r="G445" s="41"/>
      <c r="H445" s="41"/>
      <c r="I445" s="41"/>
      <c r="J445" s="41"/>
      <c r="K445" s="128">
        <f t="shared" si="645"/>
        <v>47459103.359999999</v>
      </c>
      <c r="L445" s="41"/>
      <c r="M445" s="41"/>
      <c r="N445" s="41"/>
      <c r="O445" s="41"/>
      <c r="P445" s="41">
        <v>47459103.359999999</v>
      </c>
      <c r="Q445" s="409"/>
      <c r="R445" s="128">
        <f t="shared" si="647"/>
        <v>47459103.359999999</v>
      </c>
      <c r="S445" s="41"/>
      <c r="T445" s="41"/>
      <c r="U445" s="41"/>
      <c r="V445" s="41"/>
      <c r="W445" s="41"/>
      <c r="X445" s="41"/>
      <c r="Y445" s="41"/>
      <c r="Z445" s="41"/>
      <c r="AA445" s="128">
        <f t="shared" si="686"/>
        <v>0</v>
      </c>
      <c r="AB445" s="128">
        <f t="shared" si="649"/>
        <v>47459103.359999999</v>
      </c>
      <c r="AC445" s="175">
        <f t="shared" si="619"/>
        <v>1</v>
      </c>
    </row>
    <row r="446" spans="2:29" ht="14.25" hidden="1" x14ac:dyDescent="0.2">
      <c r="B446" s="76" t="s">
        <v>1420</v>
      </c>
      <c r="C446" s="77" t="s">
        <v>1421</v>
      </c>
      <c r="D446" s="41"/>
      <c r="E446" s="188">
        <f>SUM('ADICIONES  2021'!C446:I446)</f>
        <v>6022349.8899999997</v>
      </c>
      <c r="F446" s="41"/>
      <c r="G446" s="41"/>
      <c r="H446" s="41"/>
      <c r="I446" s="41"/>
      <c r="J446" s="41"/>
      <c r="K446" s="128">
        <f t="shared" si="645"/>
        <v>6022349.8899999997</v>
      </c>
      <c r="L446" s="41"/>
      <c r="M446" s="41"/>
      <c r="N446" s="41"/>
      <c r="O446" s="41"/>
      <c r="P446" s="41">
        <v>6022349.8899999997</v>
      </c>
      <c r="Q446" s="409"/>
      <c r="R446" s="128">
        <f t="shared" si="647"/>
        <v>6022349.8899999997</v>
      </c>
      <c r="S446" s="41"/>
      <c r="T446" s="41"/>
      <c r="U446" s="41"/>
      <c r="V446" s="41"/>
      <c r="W446" s="41"/>
      <c r="X446" s="41"/>
      <c r="Y446" s="41"/>
      <c r="Z446" s="41"/>
      <c r="AA446" s="128">
        <f t="shared" si="686"/>
        <v>0</v>
      </c>
      <c r="AB446" s="128">
        <f t="shared" si="649"/>
        <v>6022349.8899999997</v>
      </c>
      <c r="AC446" s="175">
        <f t="shared" si="619"/>
        <v>1</v>
      </c>
    </row>
    <row r="447" spans="2:29" ht="28.5" hidden="1" x14ac:dyDescent="0.2">
      <c r="B447" s="76" t="s">
        <v>1422</v>
      </c>
      <c r="C447" s="77" t="s">
        <v>1423</v>
      </c>
      <c r="D447" s="41"/>
      <c r="E447" s="188">
        <f>SUM('ADICIONES  2021'!C447:I447)</f>
        <v>57681818</v>
      </c>
      <c r="F447" s="41"/>
      <c r="G447" s="41"/>
      <c r="H447" s="41"/>
      <c r="I447" s="41"/>
      <c r="J447" s="41"/>
      <c r="K447" s="128">
        <f t="shared" si="645"/>
        <v>57681818</v>
      </c>
      <c r="L447" s="41"/>
      <c r="M447" s="41"/>
      <c r="N447" s="41"/>
      <c r="O447" s="41"/>
      <c r="P447" s="41">
        <v>57681818</v>
      </c>
      <c r="Q447" s="409"/>
      <c r="R447" s="128">
        <f t="shared" si="647"/>
        <v>57681818</v>
      </c>
      <c r="S447" s="41"/>
      <c r="T447" s="41"/>
      <c r="U447" s="41"/>
      <c r="V447" s="41"/>
      <c r="W447" s="41"/>
      <c r="X447" s="41"/>
      <c r="Y447" s="41"/>
      <c r="Z447" s="41"/>
      <c r="AA447" s="128">
        <f t="shared" si="686"/>
        <v>0</v>
      </c>
      <c r="AB447" s="128">
        <f t="shared" si="649"/>
        <v>57681818</v>
      </c>
      <c r="AC447" s="175">
        <f t="shared" si="619"/>
        <v>1</v>
      </c>
    </row>
    <row r="448" spans="2:29" ht="28.5" hidden="1" x14ac:dyDescent="0.2">
      <c r="B448" s="76" t="s">
        <v>1424</v>
      </c>
      <c r="C448" s="77" t="s">
        <v>1425</v>
      </c>
      <c r="D448" s="41"/>
      <c r="E448" s="188">
        <f>SUM('ADICIONES  2021'!C448:I448)</f>
        <v>30448635</v>
      </c>
      <c r="F448" s="41"/>
      <c r="G448" s="41"/>
      <c r="H448" s="41"/>
      <c r="I448" s="41"/>
      <c r="J448" s="41"/>
      <c r="K448" s="128">
        <f t="shared" si="645"/>
        <v>30448635</v>
      </c>
      <c r="L448" s="41"/>
      <c r="M448" s="41"/>
      <c r="N448" s="41"/>
      <c r="O448" s="41"/>
      <c r="P448" s="41">
        <v>0</v>
      </c>
      <c r="Q448" s="409"/>
      <c r="R448" s="128">
        <f t="shared" si="647"/>
        <v>0</v>
      </c>
      <c r="S448" s="41"/>
      <c r="T448" s="41"/>
      <c r="U448" s="41"/>
      <c r="V448" s="41"/>
      <c r="W448" s="41"/>
      <c r="X448" s="41"/>
      <c r="Y448" s="41"/>
      <c r="Z448" s="41"/>
      <c r="AA448" s="128">
        <f t="shared" si="686"/>
        <v>0</v>
      </c>
      <c r="AB448" s="128">
        <f t="shared" si="649"/>
        <v>0</v>
      </c>
      <c r="AC448" s="175">
        <f t="shared" si="619"/>
        <v>0</v>
      </c>
    </row>
    <row r="449" spans="2:29" ht="42.75" hidden="1" x14ac:dyDescent="0.2">
      <c r="B449" s="76" t="s">
        <v>1426</v>
      </c>
      <c r="C449" s="77" t="s">
        <v>1427</v>
      </c>
      <c r="D449" s="41"/>
      <c r="E449" s="188">
        <f>SUM('ADICIONES  2021'!C449:I449)</f>
        <v>222423558.34999999</v>
      </c>
      <c r="F449" s="41"/>
      <c r="G449" s="41"/>
      <c r="H449" s="41"/>
      <c r="I449" s="41"/>
      <c r="J449" s="41"/>
      <c r="K449" s="128">
        <f t="shared" si="645"/>
        <v>222423558.34999999</v>
      </c>
      <c r="L449" s="41"/>
      <c r="M449" s="41"/>
      <c r="N449" s="41"/>
      <c r="O449" s="41"/>
      <c r="P449" s="41">
        <v>0</v>
      </c>
      <c r="Q449" s="409"/>
      <c r="R449" s="128">
        <f t="shared" si="647"/>
        <v>0</v>
      </c>
      <c r="S449" s="41"/>
      <c r="T449" s="41"/>
      <c r="U449" s="41"/>
      <c r="V449" s="41"/>
      <c r="W449" s="41"/>
      <c r="X449" s="41"/>
      <c r="Y449" s="41"/>
      <c r="Z449" s="41"/>
      <c r="AA449" s="128">
        <f t="shared" si="686"/>
        <v>0</v>
      </c>
      <c r="AB449" s="128">
        <f t="shared" si="649"/>
        <v>0</v>
      </c>
      <c r="AC449" s="175">
        <f t="shared" si="619"/>
        <v>0</v>
      </c>
    </row>
    <row r="450" spans="2:29" ht="57" hidden="1" x14ac:dyDescent="0.2">
      <c r="B450" s="76" t="s">
        <v>1428</v>
      </c>
      <c r="C450" s="77" t="s">
        <v>1429</v>
      </c>
      <c r="D450" s="41"/>
      <c r="E450" s="188">
        <f>SUM('ADICIONES  2021'!C450:I450)</f>
        <v>12286772.68</v>
      </c>
      <c r="F450" s="41"/>
      <c r="G450" s="41"/>
      <c r="H450" s="41"/>
      <c r="I450" s="41"/>
      <c r="J450" s="41"/>
      <c r="K450" s="128">
        <f t="shared" si="645"/>
        <v>12286772.68</v>
      </c>
      <c r="L450" s="41"/>
      <c r="M450" s="41"/>
      <c r="N450" s="41"/>
      <c r="O450" s="41"/>
      <c r="P450" s="41">
        <v>12286772.68</v>
      </c>
      <c r="Q450" s="409"/>
      <c r="R450" s="128">
        <f t="shared" si="647"/>
        <v>12286772.68</v>
      </c>
      <c r="S450" s="41"/>
      <c r="T450" s="41"/>
      <c r="U450" s="41"/>
      <c r="V450" s="41"/>
      <c r="W450" s="41"/>
      <c r="X450" s="41"/>
      <c r="Y450" s="41"/>
      <c r="Z450" s="41"/>
      <c r="AA450" s="128">
        <f t="shared" si="686"/>
        <v>0</v>
      </c>
      <c r="AB450" s="128">
        <f t="shared" si="649"/>
        <v>12286772.68</v>
      </c>
      <c r="AC450" s="175">
        <f t="shared" si="619"/>
        <v>1</v>
      </c>
    </row>
    <row r="451" spans="2:29" ht="28.5" hidden="1" x14ac:dyDescent="0.2">
      <c r="B451" s="76" t="s">
        <v>1430</v>
      </c>
      <c r="C451" s="77" t="s">
        <v>1431</v>
      </c>
      <c r="D451" s="41"/>
      <c r="E451" s="188">
        <f>SUM('ADICIONES  2021'!C451:I451)</f>
        <v>37760753.93</v>
      </c>
      <c r="F451" s="41"/>
      <c r="G451" s="41"/>
      <c r="H451" s="41"/>
      <c r="I451" s="41"/>
      <c r="J451" s="41"/>
      <c r="K451" s="128">
        <f t="shared" si="645"/>
        <v>37760753.93</v>
      </c>
      <c r="L451" s="41"/>
      <c r="M451" s="41"/>
      <c r="N451" s="41"/>
      <c r="O451" s="41"/>
      <c r="P451" s="41">
        <v>37760753.93</v>
      </c>
      <c r="Q451" s="409"/>
      <c r="R451" s="128">
        <f t="shared" si="647"/>
        <v>37760753.93</v>
      </c>
      <c r="S451" s="41"/>
      <c r="T451" s="41"/>
      <c r="U451" s="41"/>
      <c r="V451" s="41"/>
      <c r="W451" s="41"/>
      <c r="X451" s="41"/>
      <c r="Y451" s="41"/>
      <c r="Z451" s="41"/>
      <c r="AA451" s="128">
        <f t="shared" si="686"/>
        <v>0</v>
      </c>
      <c r="AB451" s="128">
        <f t="shared" si="649"/>
        <v>37760753.93</v>
      </c>
      <c r="AC451" s="175">
        <f t="shared" si="619"/>
        <v>1</v>
      </c>
    </row>
    <row r="452" spans="2:29" ht="28.5" hidden="1" x14ac:dyDescent="0.2">
      <c r="B452" s="76" t="s">
        <v>1432</v>
      </c>
      <c r="C452" s="77" t="s">
        <v>1433</v>
      </c>
      <c r="D452" s="41"/>
      <c r="E452" s="188">
        <f>SUM('ADICIONES  2021'!C452:I452)</f>
        <v>352624209.5</v>
      </c>
      <c r="F452" s="41"/>
      <c r="G452" s="41"/>
      <c r="H452" s="41"/>
      <c r="I452" s="41"/>
      <c r="J452" s="41"/>
      <c r="K452" s="128">
        <f t="shared" si="645"/>
        <v>352624209.5</v>
      </c>
      <c r="L452" s="41"/>
      <c r="M452" s="41"/>
      <c r="N452" s="41"/>
      <c r="O452" s="41"/>
      <c r="P452" s="41">
        <v>352624209.5</v>
      </c>
      <c r="Q452" s="409"/>
      <c r="R452" s="128">
        <f t="shared" si="647"/>
        <v>352624209.5</v>
      </c>
      <c r="S452" s="41"/>
      <c r="T452" s="41"/>
      <c r="U452" s="41"/>
      <c r="V452" s="41"/>
      <c r="W452" s="41"/>
      <c r="X452" s="41"/>
      <c r="Y452" s="41"/>
      <c r="Z452" s="41"/>
      <c r="AA452" s="128">
        <f t="shared" si="686"/>
        <v>0</v>
      </c>
      <c r="AB452" s="128">
        <f t="shared" si="649"/>
        <v>352624209.5</v>
      </c>
      <c r="AC452" s="175">
        <f t="shared" si="619"/>
        <v>1</v>
      </c>
    </row>
    <row r="453" spans="2:29" ht="28.5" hidden="1" x14ac:dyDescent="0.2">
      <c r="B453" s="76" t="s">
        <v>1434</v>
      </c>
      <c r="C453" s="77" t="s">
        <v>1435</v>
      </c>
      <c r="D453" s="41"/>
      <c r="E453" s="188">
        <f>SUM('ADICIONES  2021'!C453:I453)</f>
        <v>698000000</v>
      </c>
      <c r="F453" s="41"/>
      <c r="G453" s="41"/>
      <c r="H453" s="41"/>
      <c r="I453" s="41"/>
      <c r="J453" s="41"/>
      <c r="K453" s="128">
        <f t="shared" si="645"/>
        <v>698000000</v>
      </c>
      <c r="L453" s="41"/>
      <c r="M453" s="41"/>
      <c r="N453" s="41"/>
      <c r="O453" s="41"/>
      <c r="P453" s="41">
        <v>698000000</v>
      </c>
      <c r="Q453" s="409"/>
      <c r="R453" s="128">
        <f t="shared" si="647"/>
        <v>698000000</v>
      </c>
      <c r="S453" s="41"/>
      <c r="T453" s="41"/>
      <c r="U453" s="41"/>
      <c r="V453" s="41"/>
      <c r="W453" s="41"/>
      <c r="X453" s="41"/>
      <c r="Y453" s="41"/>
      <c r="Z453" s="41"/>
      <c r="AA453" s="128">
        <f t="shared" si="686"/>
        <v>0</v>
      </c>
      <c r="AB453" s="128">
        <f t="shared" si="649"/>
        <v>698000000</v>
      </c>
      <c r="AC453" s="175">
        <f t="shared" si="619"/>
        <v>1</v>
      </c>
    </row>
    <row r="454" spans="2:29" ht="42.75" hidden="1" x14ac:dyDescent="0.2">
      <c r="B454" s="76" t="s">
        <v>1436</v>
      </c>
      <c r="C454" s="77" t="s">
        <v>1437</v>
      </c>
      <c r="D454" s="41"/>
      <c r="E454" s="188">
        <f>SUM('ADICIONES  2021'!C454:I454)</f>
        <v>27979392</v>
      </c>
      <c r="F454" s="41"/>
      <c r="G454" s="41"/>
      <c r="H454" s="41"/>
      <c r="I454" s="41"/>
      <c r="J454" s="41"/>
      <c r="K454" s="128">
        <f t="shared" si="645"/>
        <v>27979392</v>
      </c>
      <c r="L454" s="41"/>
      <c r="M454" s="41"/>
      <c r="N454" s="41"/>
      <c r="O454" s="41"/>
      <c r="P454" s="41">
        <v>27979392</v>
      </c>
      <c r="Q454" s="409"/>
      <c r="R454" s="128">
        <f t="shared" si="647"/>
        <v>27979392</v>
      </c>
      <c r="S454" s="41"/>
      <c r="T454" s="41"/>
      <c r="U454" s="41"/>
      <c r="V454" s="41"/>
      <c r="W454" s="41"/>
      <c r="X454" s="41"/>
      <c r="Y454" s="41"/>
      <c r="Z454" s="41"/>
      <c r="AA454" s="128">
        <f t="shared" si="686"/>
        <v>0</v>
      </c>
      <c r="AB454" s="128">
        <f t="shared" si="649"/>
        <v>27979392</v>
      </c>
      <c r="AC454" s="175">
        <f t="shared" si="619"/>
        <v>1</v>
      </c>
    </row>
    <row r="455" spans="2:29" ht="15.75" hidden="1" x14ac:dyDescent="0.2">
      <c r="B455" s="81" t="s">
        <v>1438</v>
      </c>
      <c r="C455" s="79" t="s">
        <v>1439</v>
      </c>
      <c r="D455" s="146">
        <f>SUM(D456:D460)</f>
        <v>0</v>
      </c>
      <c r="E455" s="187">
        <f>SUM('ADICIONES  2021'!C455:I455)</f>
        <v>6442499.1399999997</v>
      </c>
      <c r="F455" s="146">
        <f>SUM(F456:F460)</f>
        <v>0</v>
      </c>
      <c r="G455" s="146">
        <f>SUM(G456:G460)</f>
        <v>0</v>
      </c>
      <c r="H455" s="146">
        <f>SUM(H456:H460)</f>
        <v>0</v>
      </c>
      <c r="I455" s="146">
        <f>SUM(I456:I460)</f>
        <v>0</v>
      </c>
      <c r="J455" s="146">
        <f>SUM(J456:J460)</f>
        <v>0</v>
      </c>
      <c r="K455" s="128">
        <f t="shared" si="645"/>
        <v>6442499.1399999997</v>
      </c>
      <c r="L455" s="146">
        <f t="shared" ref="L455:Q455" si="687">SUM(L456:L460)</f>
        <v>0</v>
      </c>
      <c r="M455" s="146">
        <f t="shared" si="687"/>
        <v>0</v>
      </c>
      <c r="N455" s="146">
        <f t="shared" si="687"/>
        <v>0</v>
      </c>
      <c r="O455" s="146">
        <f t="shared" si="687"/>
        <v>0</v>
      </c>
      <c r="P455" s="146">
        <f t="shared" si="687"/>
        <v>6442499.1399999997</v>
      </c>
      <c r="Q455" s="411">
        <f t="shared" si="687"/>
        <v>0</v>
      </c>
      <c r="R455" s="128">
        <f t="shared" si="647"/>
        <v>6442499.1399999997</v>
      </c>
      <c r="S455" s="146">
        <f t="shared" ref="S455:Z455" si="688">SUM(S456:S460)</f>
        <v>0</v>
      </c>
      <c r="T455" s="146">
        <f t="shared" si="688"/>
        <v>0</v>
      </c>
      <c r="U455" s="146">
        <f t="shared" si="688"/>
        <v>0</v>
      </c>
      <c r="V455" s="146">
        <f t="shared" si="688"/>
        <v>0</v>
      </c>
      <c r="W455" s="146">
        <f t="shared" si="688"/>
        <v>0</v>
      </c>
      <c r="X455" s="146">
        <f t="shared" si="688"/>
        <v>0</v>
      </c>
      <c r="Y455" s="146">
        <f t="shared" si="688"/>
        <v>0</v>
      </c>
      <c r="Z455" s="146">
        <f t="shared" si="688"/>
        <v>0</v>
      </c>
      <c r="AA455" s="128">
        <f t="shared" si="686"/>
        <v>0</v>
      </c>
      <c r="AB455" s="128">
        <f t="shared" si="649"/>
        <v>6442499.1399999997</v>
      </c>
      <c r="AC455" s="175">
        <f t="shared" si="619"/>
        <v>1</v>
      </c>
    </row>
    <row r="456" spans="2:29" ht="14.25" hidden="1" x14ac:dyDescent="0.2">
      <c r="B456" s="76" t="s">
        <v>1440</v>
      </c>
      <c r="C456" s="77" t="s">
        <v>1441</v>
      </c>
      <c r="D456" s="41"/>
      <c r="E456" s="188">
        <f>SUM('ADICIONES  2021'!C456:I456)</f>
        <v>5346270.54</v>
      </c>
      <c r="F456" s="41"/>
      <c r="G456" s="41"/>
      <c r="H456" s="41"/>
      <c r="I456" s="41"/>
      <c r="J456" s="41"/>
      <c r="K456" s="128">
        <f t="shared" si="645"/>
        <v>5346270.54</v>
      </c>
      <c r="L456" s="41"/>
      <c r="M456" s="41"/>
      <c r="N456" s="41"/>
      <c r="O456" s="41"/>
      <c r="P456" s="41">
        <v>5346270.54</v>
      </c>
      <c r="Q456" s="409"/>
      <c r="R456" s="128">
        <f t="shared" si="647"/>
        <v>5346270.54</v>
      </c>
      <c r="S456" s="41"/>
      <c r="T456" s="41"/>
      <c r="U456" s="41"/>
      <c r="V456" s="41"/>
      <c r="W456" s="41"/>
      <c r="X456" s="41"/>
      <c r="Y456" s="41"/>
      <c r="Z456" s="41"/>
      <c r="AA456" s="128">
        <f t="shared" si="686"/>
        <v>0</v>
      </c>
      <c r="AB456" s="128">
        <f t="shared" si="649"/>
        <v>5346270.54</v>
      </c>
      <c r="AC456" s="175">
        <f t="shared" si="619"/>
        <v>1</v>
      </c>
    </row>
    <row r="457" spans="2:29" ht="14.25" hidden="1" x14ac:dyDescent="0.2">
      <c r="B457" s="76" t="s">
        <v>1442</v>
      </c>
      <c r="C457" s="77" t="s">
        <v>1443</v>
      </c>
      <c r="D457" s="41"/>
      <c r="E457" s="188">
        <f>SUM('ADICIONES  2021'!C457:I457)</f>
        <v>144370.26</v>
      </c>
      <c r="F457" s="41"/>
      <c r="G457" s="41"/>
      <c r="H457" s="41"/>
      <c r="I457" s="41"/>
      <c r="J457" s="41"/>
      <c r="K457" s="128">
        <f t="shared" si="645"/>
        <v>144370.26</v>
      </c>
      <c r="L457" s="41"/>
      <c r="M457" s="41"/>
      <c r="N457" s="41"/>
      <c r="O457" s="41"/>
      <c r="P457" s="41">
        <v>144370.26</v>
      </c>
      <c r="Q457" s="409"/>
      <c r="R457" s="128">
        <f t="shared" si="647"/>
        <v>144370.26</v>
      </c>
      <c r="S457" s="41"/>
      <c r="T457" s="41"/>
      <c r="U457" s="41"/>
      <c r="V457" s="41"/>
      <c r="W457" s="41"/>
      <c r="X457" s="41"/>
      <c r="Y457" s="41"/>
      <c r="Z457" s="41"/>
      <c r="AA457" s="128">
        <f t="shared" si="686"/>
        <v>0</v>
      </c>
      <c r="AB457" s="128">
        <f t="shared" si="649"/>
        <v>144370.26</v>
      </c>
      <c r="AC457" s="175">
        <f t="shared" si="619"/>
        <v>1</v>
      </c>
    </row>
    <row r="458" spans="2:29" ht="14.25" hidden="1" x14ac:dyDescent="0.2">
      <c r="B458" s="76" t="s">
        <v>1444</v>
      </c>
      <c r="C458" s="77" t="s">
        <v>1445</v>
      </c>
      <c r="D458" s="41"/>
      <c r="E458" s="188">
        <f>SUM('ADICIONES  2021'!C458:I458)</f>
        <v>16785.169999999998</v>
      </c>
      <c r="F458" s="41"/>
      <c r="G458" s="41"/>
      <c r="H458" s="41"/>
      <c r="I458" s="41"/>
      <c r="J458" s="41"/>
      <c r="K458" s="128">
        <f t="shared" si="645"/>
        <v>16785.169999999998</v>
      </c>
      <c r="L458" s="41"/>
      <c r="M458" s="41"/>
      <c r="N458" s="41"/>
      <c r="O458" s="41"/>
      <c r="P458" s="41">
        <v>16785.169999999998</v>
      </c>
      <c r="Q458" s="409"/>
      <c r="R458" s="128">
        <f t="shared" si="647"/>
        <v>16785.169999999998</v>
      </c>
      <c r="S458" s="41"/>
      <c r="T458" s="41"/>
      <c r="U458" s="41"/>
      <c r="V458" s="41"/>
      <c r="W458" s="41"/>
      <c r="X458" s="41"/>
      <c r="Y458" s="41"/>
      <c r="Z458" s="41"/>
      <c r="AA458" s="128">
        <f t="shared" si="686"/>
        <v>0</v>
      </c>
      <c r="AB458" s="128">
        <f t="shared" si="649"/>
        <v>16785.169999999998</v>
      </c>
      <c r="AC458" s="175">
        <f t="shared" si="619"/>
        <v>1</v>
      </c>
    </row>
    <row r="459" spans="2:29" ht="14.25" hidden="1" x14ac:dyDescent="0.2">
      <c r="B459" s="76" t="s">
        <v>1446</v>
      </c>
      <c r="C459" s="77" t="s">
        <v>1447</v>
      </c>
      <c r="D459" s="41"/>
      <c r="E459" s="188">
        <f>SUM('ADICIONES  2021'!C459:I459)</f>
        <v>244473.17</v>
      </c>
      <c r="F459" s="41"/>
      <c r="G459" s="41"/>
      <c r="H459" s="41"/>
      <c r="I459" s="41"/>
      <c r="J459" s="41"/>
      <c r="K459" s="128">
        <f t="shared" si="645"/>
        <v>244473.17</v>
      </c>
      <c r="L459" s="41"/>
      <c r="M459" s="41"/>
      <c r="N459" s="41"/>
      <c r="O459" s="41"/>
      <c r="P459" s="41">
        <v>244473.17</v>
      </c>
      <c r="Q459" s="409"/>
      <c r="R459" s="128">
        <f t="shared" si="647"/>
        <v>244473.17</v>
      </c>
      <c r="S459" s="41"/>
      <c r="T459" s="41"/>
      <c r="U459" s="41"/>
      <c r="V459" s="41"/>
      <c r="W459" s="41"/>
      <c r="X459" s="41"/>
      <c r="Y459" s="41"/>
      <c r="Z459" s="41"/>
      <c r="AA459" s="128">
        <f t="shared" si="686"/>
        <v>0</v>
      </c>
      <c r="AB459" s="128">
        <f t="shared" si="649"/>
        <v>244473.17</v>
      </c>
      <c r="AC459" s="175">
        <f t="shared" si="619"/>
        <v>1</v>
      </c>
    </row>
    <row r="460" spans="2:29" ht="14.25" hidden="1" x14ac:dyDescent="0.2">
      <c r="B460" s="76" t="s">
        <v>1448</v>
      </c>
      <c r="C460" s="77" t="s">
        <v>1449</v>
      </c>
      <c r="D460" s="41"/>
      <c r="E460" s="188">
        <f>SUM('ADICIONES  2021'!C460:I460)</f>
        <v>690600</v>
      </c>
      <c r="F460" s="41"/>
      <c r="G460" s="41"/>
      <c r="H460" s="41"/>
      <c r="I460" s="41"/>
      <c r="J460" s="41"/>
      <c r="K460" s="128">
        <f t="shared" si="645"/>
        <v>690600</v>
      </c>
      <c r="L460" s="41"/>
      <c r="M460" s="41"/>
      <c r="N460" s="41"/>
      <c r="O460" s="41"/>
      <c r="P460" s="41">
        <v>690600</v>
      </c>
      <c r="Q460" s="409"/>
      <c r="R460" s="128">
        <f t="shared" si="647"/>
        <v>690600</v>
      </c>
      <c r="S460" s="41"/>
      <c r="T460" s="41"/>
      <c r="U460" s="41"/>
      <c r="V460" s="41"/>
      <c r="W460" s="41"/>
      <c r="X460" s="41"/>
      <c r="Y460" s="41"/>
      <c r="Z460" s="41"/>
      <c r="AA460" s="128">
        <f t="shared" si="686"/>
        <v>0</v>
      </c>
      <c r="AB460" s="128">
        <f t="shared" si="649"/>
        <v>690600</v>
      </c>
      <c r="AC460" s="175">
        <f t="shared" si="619"/>
        <v>1</v>
      </c>
    </row>
    <row r="461" spans="2:29" ht="15.75" hidden="1" x14ac:dyDescent="0.2">
      <c r="B461" s="81" t="s">
        <v>1450</v>
      </c>
      <c r="C461" s="79" t="s">
        <v>1451</v>
      </c>
      <c r="D461" s="146">
        <f>+D462+D464+D468+D471+D477+D482+D487+D490</f>
        <v>0</v>
      </c>
      <c r="E461" s="187">
        <f>SUM('ADICIONES  2021'!C461:I461)</f>
        <v>37711694342.109993</v>
      </c>
      <c r="F461" s="146">
        <f>+F462+F464+F468+F471+F477+F482+F487+F490</f>
        <v>0</v>
      </c>
      <c r="G461" s="146">
        <f>+G462+G464+G468+G471+G477+G482+G487+G490</f>
        <v>0</v>
      </c>
      <c r="H461" s="146">
        <f>+H462+H464+H468+H471+H477+H482+H487+H490</f>
        <v>0</v>
      </c>
      <c r="I461" s="146">
        <f>+I462+I464+I468+I471+I477+I482+I487+I490</f>
        <v>0</v>
      </c>
      <c r="J461" s="146">
        <f>+J462+J464+J468+J471+J477+J482+J487+J490</f>
        <v>0</v>
      </c>
      <c r="K461" s="128">
        <f t="shared" si="645"/>
        <v>37711694342.109993</v>
      </c>
      <c r="L461" s="146">
        <f t="shared" ref="L461:Q461" si="689">+L462+L464+L468+L471+L477+L482+L487+L490</f>
        <v>0</v>
      </c>
      <c r="M461" s="146">
        <f t="shared" si="689"/>
        <v>0</v>
      </c>
      <c r="N461" s="146">
        <f t="shared" si="689"/>
        <v>0</v>
      </c>
      <c r="O461" s="146">
        <f t="shared" si="689"/>
        <v>0</v>
      </c>
      <c r="P461" s="146">
        <f t="shared" si="689"/>
        <v>37711694342.109993</v>
      </c>
      <c r="Q461" s="411">
        <f t="shared" si="689"/>
        <v>0</v>
      </c>
      <c r="R461" s="128">
        <f t="shared" si="647"/>
        <v>37711694342.109993</v>
      </c>
      <c r="S461" s="146">
        <f t="shared" ref="S461:Z461" si="690">+S462+S464+S468+S471+S477+S482+S487+S490</f>
        <v>0</v>
      </c>
      <c r="T461" s="146">
        <f t="shared" si="690"/>
        <v>0</v>
      </c>
      <c r="U461" s="146">
        <f t="shared" si="690"/>
        <v>0</v>
      </c>
      <c r="V461" s="146">
        <f t="shared" si="690"/>
        <v>0</v>
      </c>
      <c r="W461" s="146">
        <f t="shared" si="690"/>
        <v>0</v>
      </c>
      <c r="X461" s="146">
        <f t="shared" si="690"/>
        <v>0</v>
      </c>
      <c r="Y461" s="146">
        <f t="shared" si="690"/>
        <v>0</v>
      </c>
      <c r="Z461" s="146">
        <f t="shared" si="690"/>
        <v>0</v>
      </c>
      <c r="AA461" s="128">
        <f t="shared" si="686"/>
        <v>0</v>
      </c>
      <c r="AB461" s="128">
        <f t="shared" si="649"/>
        <v>37711694342.109993</v>
      </c>
      <c r="AC461" s="175">
        <f t="shared" si="619"/>
        <v>1</v>
      </c>
    </row>
    <row r="462" spans="2:29" ht="31.5" hidden="1" x14ac:dyDescent="0.2">
      <c r="B462" s="81" t="s">
        <v>1452</v>
      </c>
      <c r="C462" s="79" t="s">
        <v>1453</v>
      </c>
      <c r="D462" s="146">
        <f>+D463</f>
        <v>0</v>
      </c>
      <c r="E462" s="187">
        <f>SUM('ADICIONES  2021'!C462:I462)</f>
        <v>1027049896.25</v>
      </c>
      <c r="F462" s="146">
        <f>+F463</f>
        <v>0</v>
      </c>
      <c r="G462" s="146">
        <f>+G463</f>
        <v>0</v>
      </c>
      <c r="H462" s="146">
        <f>+H463</f>
        <v>0</v>
      </c>
      <c r="I462" s="146">
        <f>+I463</f>
        <v>0</v>
      </c>
      <c r="J462" s="146">
        <f>+J463</f>
        <v>0</v>
      </c>
      <c r="K462" s="128">
        <f t="shared" si="645"/>
        <v>1027049896.25</v>
      </c>
      <c r="L462" s="146">
        <f t="shared" ref="L462:Q462" si="691">+L463</f>
        <v>0</v>
      </c>
      <c r="M462" s="146">
        <f t="shared" si="691"/>
        <v>0</v>
      </c>
      <c r="N462" s="146">
        <f t="shared" si="691"/>
        <v>0</v>
      </c>
      <c r="O462" s="146">
        <f t="shared" si="691"/>
        <v>0</v>
      </c>
      <c r="P462" s="146">
        <f t="shared" si="691"/>
        <v>1027049896.25</v>
      </c>
      <c r="Q462" s="411">
        <f t="shared" si="691"/>
        <v>0</v>
      </c>
      <c r="R462" s="128">
        <f t="shared" si="647"/>
        <v>1027049896.25</v>
      </c>
      <c r="S462" s="146">
        <f t="shared" ref="S462:Z462" si="692">+S463</f>
        <v>0</v>
      </c>
      <c r="T462" s="146">
        <f t="shared" si="692"/>
        <v>0</v>
      </c>
      <c r="U462" s="146">
        <f t="shared" si="692"/>
        <v>0</v>
      </c>
      <c r="V462" s="146">
        <f t="shared" si="692"/>
        <v>0</v>
      </c>
      <c r="W462" s="146">
        <f t="shared" si="692"/>
        <v>0</v>
      </c>
      <c r="X462" s="146">
        <f t="shared" si="692"/>
        <v>0</v>
      </c>
      <c r="Y462" s="146">
        <f t="shared" si="692"/>
        <v>0</v>
      </c>
      <c r="Z462" s="146">
        <f t="shared" si="692"/>
        <v>0</v>
      </c>
      <c r="AA462" s="128">
        <f t="shared" si="686"/>
        <v>0</v>
      </c>
      <c r="AB462" s="128">
        <f t="shared" si="649"/>
        <v>1027049896.25</v>
      </c>
      <c r="AC462" s="175">
        <f t="shared" si="619"/>
        <v>1</v>
      </c>
    </row>
    <row r="463" spans="2:29" ht="14.25" hidden="1" x14ac:dyDescent="0.2">
      <c r="B463" s="76" t="s">
        <v>1454</v>
      </c>
      <c r="C463" s="77" t="s">
        <v>1455</v>
      </c>
      <c r="D463" s="41"/>
      <c r="E463" s="188">
        <f>SUM('ADICIONES  2021'!C463:I463)</f>
        <v>1027049896.25</v>
      </c>
      <c r="F463" s="41"/>
      <c r="G463" s="41"/>
      <c r="H463" s="41"/>
      <c r="I463" s="41"/>
      <c r="J463" s="41"/>
      <c r="K463" s="128">
        <f t="shared" si="645"/>
        <v>1027049896.25</v>
      </c>
      <c r="L463" s="41"/>
      <c r="M463" s="41"/>
      <c r="N463" s="41"/>
      <c r="O463" s="41"/>
      <c r="P463" s="41">
        <v>1027049896.25</v>
      </c>
      <c r="Q463" s="409"/>
      <c r="R463" s="128">
        <f t="shared" si="647"/>
        <v>1027049896.25</v>
      </c>
      <c r="S463" s="41"/>
      <c r="T463" s="41"/>
      <c r="U463" s="41"/>
      <c r="V463" s="41"/>
      <c r="W463" s="41"/>
      <c r="X463" s="41"/>
      <c r="Y463" s="41"/>
      <c r="Z463" s="41"/>
      <c r="AA463" s="128">
        <f t="shared" si="686"/>
        <v>0</v>
      </c>
      <c r="AB463" s="128">
        <f t="shared" si="649"/>
        <v>1027049896.25</v>
      </c>
      <c r="AC463" s="175">
        <f t="shared" si="619"/>
        <v>1</v>
      </c>
    </row>
    <row r="464" spans="2:29" ht="31.5" hidden="1" x14ac:dyDescent="0.2">
      <c r="B464" s="81" t="s">
        <v>1456</v>
      </c>
      <c r="C464" s="79" t="s">
        <v>1457</v>
      </c>
      <c r="D464" s="146">
        <f>SUM(D465:D467)</f>
        <v>0</v>
      </c>
      <c r="E464" s="187">
        <f>SUM('ADICIONES  2021'!C464:I464)</f>
        <v>8110346950.25</v>
      </c>
      <c r="F464" s="146">
        <f>SUM(F465:F467)</f>
        <v>0</v>
      </c>
      <c r="G464" s="146">
        <f>SUM(G465:G467)</f>
        <v>0</v>
      </c>
      <c r="H464" s="146">
        <f>SUM(H465:H467)</f>
        <v>0</v>
      </c>
      <c r="I464" s="146">
        <f>SUM(I465:I467)</f>
        <v>0</v>
      </c>
      <c r="J464" s="146">
        <f>SUM(J465:J467)</f>
        <v>0</v>
      </c>
      <c r="K464" s="128">
        <f t="shared" si="645"/>
        <v>8110346950.25</v>
      </c>
      <c r="L464" s="146">
        <f t="shared" ref="L464:Q464" si="693">SUM(L465:L467)</f>
        <v>0</v>
      </c>
      <c r="M464" s="146">
        <f t="shared" si="693"/>
        <v>0</v>
      </c>
      <c r="N464" s="146">
        <f t="shared" si="693"/>
        <v>0</v>
      </c>
      <c r="O464" s="146">
        <f t="shared" si="693"/>
        <v>0</v>
      </c>
      <c r="P464" s="146">
        <f t="shared" si="693"/>
        <v>8110346950.25</v>
      </c>
      <c r="Q464" s="411">
        <f t="shared" si="693"/>
        <v>0</v>
      </c>
      <c r="R464" s="128">
        <f t="shared" si="647"/>
        <v>8110346950.25</v>
      </c>
      <c r="S464" s="146">
        <f t="shared" ref="S464:Z464" si="694">SUM(S465:S467)</f>
        <v>0</v>
      </c>
      <c r="T464" s="146">
        <f t="shared" si="694"/>
        <v>0</v>
      </c>
      <c r="U464" s="146">
        <f t="shared" si="694"/>
        <v>0</v>
      </c>
      <c r="V464" s="146">
        <f t="shared" si="694"/>
        <v>0</v>
      </c>
      <c r="W464" s="146">
        <f t="shared" si="694"/>
        <v>0</v>
      </c>
      <c r="X464" s="146">
        <f t="shared" si="694"/>
        <v>0</v>
      </c>
      <c r="Y464" s="146">
        <f t="shared" si="694"/>
        <v>0</v>
      </c>
      <c r="Z464" s="146">
        <f t="shared" si="694"/>
        <v>0</v>
      </c>
      <c r="AA464" s="128">
        <f t="shared" si="686"/>
        <v>0</v>
      </c>
      <c r="AB464" s="128">
        <f t="shared" si="649"/>
        <v>8110346950.25</v>
      </c>
      <c r="AC464" s="175">
        <f t="shared" si="619"/>
        <v>1</v>
      </c>
    </row>
    <row r="465" spans="2:29" ht="28.5" hidden="1" x14ac:dyDescent="0.2">
      <c r="B465" s="76" t="s">
        <v>1458</v>
      </c>
      <c r="C465" s="77" t="s">
        <v>1459</v>
      </c>
      <c r="D465" s="41"/>
      <c r="E465" s="188">
        <f>SUM('ADICIONES  2021'!C465:I465)</f>
        <v>1319548135.48</v>
      </c>
      <c r="F465" s="41"/>
      <c r="G465" s="41"/>
      <c r="H465" s="41"/>
      <c r="I465" s="41"/>
      <c r="J465" s="41"/>
      <c r="K465" s="128">
        <f t="shared" si="645"/>
        <v>1319548135.48</v>
      </c>
      <c r="L465" s="41"/>
      <c r="M465" s="41"/>
      <c r="N465" s="41"/>
      <c r="O465" s="41"/>
      <c r="P465" s="41">
        <v>1319548135.48</v>
      </c>
      <c r="Q465" s="409"/>
      <c r="R465" s="128">
        <f t="shared" si="647"/>
        <v>1319548135.48</v>
      </c>
      <c r="S465" s="41"/>
      <c r="T465" s="41"/>
      <c r="U465" s="41"/>
      <c r="V465" s="41"/>
      <c r="W465" s="41"/>
      <c r="X465" s="41"/>
      <c r="Y465" s="41"/>
      <c r="Z465" s="41"/>
      <c r="AA465" s="128">
        <f t="shared" si="686"/>
        <v>0</v>
      </c>
      <c r="AB465" s="128">
        <f t="shared" si="649"/>
        <v>1319548135.48</v>
      </c>
      <c r="AC465" s="175">
        <f t="shared" si="619"/>
        <v>1</v>
      </c>
    </row>
    <row r="466" spans="2:29" ht="28.5" hidden="1" x14ac:dyDescent="0.2">
      <c r="B466" s="76" t="s">
        <v>1460</v>
      </c>
      <c r="C466" s="77" t="s">
        <v>1461</v>
      </c>
      <c r="D466" s="41"/>
      <c r="E466" s="188">
        <f>SUM('ADICIONES  2021'!C466:I466)</f>
        <v>5006060287.7700005</v>
      </c>
      <c r="F466" s="41"/>
      <c r="G466" s="41"/>
      <c r="H466" s="41"/>
      <c r="I466" s="41"/>
      <c r="J466" s="41"/>
      <c r="K466" s="128">
        <f t="shared" si="645"/>
        <v>5006060287.7700005</v>
      </c>
      <c r="L466" s="41"/>
      <c r="M466" s="41"/>
      <c r="N466" s="41"/>
      <c r="O466" s="41"/>
      <c r="P466" s="41">
        <v>5006060287.7700005</v>
      </c>
      <c r="Q466" s="409"/>
      <c r="R466" s="128">
        <f t="shared" si="647"/>
        <v>5006060287.7700005</v>
      </c>
      <c r="S466" s="41"/>
      <c r="T466" s="41"/>
      <c r="U466" s="41"/>
      <c r="V466" s="41"/>
      <c r="W466" s="41"/>
      <c r="X466" s="41"/>
      <c r="Y466" s="41"/>
      <c r="Z466" s="41"/>
      <c r="AA466" s="128">
        <f t="shared" si="686"/>
        <v>0</v>
      </c>
      <c r="AB466" s="128">
        <f t="shared" si="649"/>
        <v>5006060287.7700005</v>
      </c>
      <c r="AC466" s="175">
        <f t="shared" si="619"/>
        <v>1</v>
      </c>
    </row>
    <row r="467" spans="2:29" ht="14.25" hidden="1" x14ac:dyDescent="0.2">
      <c r="B467" s="76" t="s">
        <v>1462</v>
      </c>
      <c r="C467" s="77" t="s">
        <v>1463</v>
      </c>
      <c r="D467" s="41"/>
      <c r="E467" s="188">
        <f>SUM('ADICIONES  2021'!C467:I467)</f>
        <v>1784738527</v>
      </c>
      <c r="F467" s="41"/>
      <c r="G467" s="41"/>
      <c r="H467" s="41"/>
      <c r="I467" s="41"/>
      <c r="J467" s="41"/>
      <c r="K467" s="128">
        <f t="shared" si="645"/>
        <v>1784738527</v>
      </c>
      <c r="L467" s="41"/>
      <c r="M467" s="41"/>
      <c r="N467" s="41"/>
      <c r="O467" s="41"/>
      <c r="P467" s="41">
        <v>1784738527</v>
      </c>
      <c r="Q467" s="409"/>
      <c r="R467" s="128">
        <f t="shared" si="647"/>
        <v>1784738527</v>
      </c>
      <c r="S467" s="41"/>
      <c r="T467" s="41"/>
      <c r="U467" s="41"/>
      <c r="V467" s="41"/>
      <c r="W467" s="41"/>
      <c r="X467" s="41"/>
      <c r="Y467" s="41"/>
      <c r="Z467" s="41"/>
      <c r="AA467" s="128">
        <f t="shared" si="686"/>
        <v>0</v>
      </c>
      <c r="AB467" s="128">
        <f t="shared" si="649"/>
        <v>1784738527</v>
      </c>
      <c r="AC467" s="175">
        <f t="shared" si="619"/>
        <v>1</v>
      </c>
    </row>
    <row r="468" spans="2:29" ht="15.75" hidden="1" x14ac:dyDescent="0.2">
      <c r="B468" s="81" t="s">
        <v>1464</v>
      </c>
      <c r="C468" s="79" t="s">
        <v>1465</v>
      </c>
      <c r="D468" s="146">
        <f>SUM(D469:D470)</f>
        <v>0</v>
      </c>
      <c r="E468" s="187">
        <f>SUM('ADICIONES  2021'!C468:I468)</f>
        <v>6021063253.3999996</v>
      </c>
      <c r="F468" s="146">
        <f>SUM(F469:F470)</f>
        <v>0</v>
      </c>
      <c r="G468" s="146">
        <f>SUM(G469:G470)</f>
        <v>0</v>
      </c>
      <c r="H468" s="146">
        <f>SUM(H469:H470)</f>
        <v>0</v>
      </c>
      <c r="I468" s="146">
        <f>SUM(I469:I470)</f>
        <v>0</v>
      </c>
      <c r="J468" s="146">
        <f>SUM(J469:J470)</f>
        <v>0</v>
      </c>
      <c r="K468" s="128">
        <f t="shared" si="645"/>
        <v>6021063253.3999996</v>
      </c>
      <c r="L468" s="146">
        <f t="shared" ref="L468:Q468" si="695">SUM(L469:L470)</f>
        <v>0</v>
      </c>
      <c r="M468" s="146">
        <f t="shared" si="695"/>
        <v>0</v>
      </c>
      <c r="N468" s="146">
        <f t="shared" si="695"/>
        <v>0</v>
      </c>
      <c r="O468" s="146">
        <f t="shared" si="695"/>
        <v>0</v>
      </c>
      <c r="P468" s="146">
        <f t="shared" si="695"/>
        <v>6021063253.3999996</v>
      </c>
      <c r="Q468" s="411">
        <f t="shared" si="695"/>
        <v>0</v>
      </c>
      <c r="R468" s="128">
        <f t="shared" si="647"/>
        <v>6021063253.3999996</v>
      </c>
      <c r="S468" s="146">
        <f t="shared" ref="S468:Z468" si="696">SUM(S469:S470)</f>
        <v>0</v>
      </c>
      <c r="T468" s="146">
        <f t="shared" si="696"/>
        <v>0</v>
      </c>
      <c r="U468" s="146">
        <f t="shared" si="696"/>
        <v>0</v>
      </c>
      <c r="V468" s="146">
        <f t="shared" si="696"/>
        <v>0</v>
      </c>
      <c r="W468" s="146">
        <f t="shared" si="696"/>
        <v>0</v>
      </c>
      <c r="X468" s="146">
        <f t="shared" si="696"/>
        <v>0</v>
      </c>
      <c r="Y468" s="146">
        <f t="shared" si="696"/>
        <v>0</v>
      </c>
      <c r="Z468" s="146">
        <f t="shared" si="696"/>
        <v>0</v>
      </c>
      <c r="AA468" s="128">
        <f t="shared" si="686"/>
        <v>0</v>
      </c>
      <c r="AB468" s="128">
        <f t="shared" si="649"/>
        <v>6021063253.3999996</v>
      </c>
      <c r="AC468" s="175">
        <f t="shared" si="619"/>
        <v>1</v>
      </c>
    </row>
    <row r="469" spans="2:29" ht="14.25" hidden="1" x14ac:dyDescent="0.2">
      <c r="B469" s="76" t="s">
        <v>1466</v>
      </c>
      <c r="C469" s="77" t="s">
        <v>1467</v>
      </c>
      <c r="D469" s="41"/>
      <c r="E469" s="188">
        <f>SUM('ADICIONES  2021'!C469:I469)</f>
        <v>3403959283</v>
      </c>
      <c r="F469" s="41"/>
      <c r="G469" s="41"/>
      <c r="H469" s="41"/>
      <c r="I469" s="41"/>
      <c r="J469" s="41"/>
      <c r="K469" s="128">
        <f t="shared" si="645"/>
        <v>3403959283</v>
      </c>
      <c r="L469" s="41"/>
      <c r="M469" s="41"/>
      <c r="N469" s="41"/>
      <c r="O469" s="41"/>
      <c r="P469" s="41">
        <v>3403959283</v>
      </c>
      <c r="Q469" s="409"/>
      <c r="R469" s="128">
        <f t="shared" si="647"/>
        <v>3403959283</v>
      </c>
      <c r="S469" s="41"/>
      <c r="T469" s="41"/>
      <c r="U469" s="41"/>
      <c r="V469" s="41"/>
      <c r="W469" s="41"/>
      <c r="X469" s="41"/>
      <c r="Y469" s="41"/>
      <c r="Z469" s="41"/>
      <c r="AA469" s="128">
        <f t="shared" si="686"/>
        <v>0</v>
      </c>
      <c r="AB469" s="128">
        <f t="shared" si="649"/>
        <v>3403959283</v>
      </c>
      <c r="AC469" s="175">
        <f t="shared" si="619"/>
        <v>1</v>
      </c>
    </row>
    <row r="470" spans="2:29" ht="14.25" hidden="1" x14ac:dyDescent="0.2">
      <c r="B470" s="76" t="s">
        <v>1468</v>
      </c>
      <c r="C470" s="77" t="s">
        <v>1469</v>
      </c>
      <c r="D470" s="41"/>
      <c r="E470" s="188">
        <f>SUM('ADICIONES  2021'!C470:I470)</f>
        <v>2617103970.4000001</v>
      </c>
      <c r="F470" s="41"/>
      <c r="G470" s="41"/>
      <c r="H470" s="41"/>
      <c r="I470" s="41"/>
      <c r="J470" s="41"/>
      <c r="K470" s="128">
        <f t="shared" si="645"/>
        <v>2617103970.4000001</v>
      </c>
      <c r="L470" s="41"/>
      <c r="M470" s="41"/>
      <c r="N470" s="41"/>
      <c r="O470" s="41"/>
      <c r="P470" s="41">
        <v>2617103970.4000001</v>
      </c>
      <c r="Q470" s="409"/>
      <c r="R470" s="128">
        <f t="shared" si="647"/>
        <v>2617103970.4000001</v>
      </c>
      <c r="S470" s="41"/>
      <c r="T470" s="41"/>
      <c r="U470" s="41"/>
      <c r="V470" s="41"/>
      <c r="W470" s="41"/>
      <c r="X470" s="41"/>
      <c r="Y470" s="41"/>
      <c r="Z470" s="41"/>
      <c r="AA470" s="128">
        <f t="shared" si="686"/>
        <v>0</v>
      </c>
      <c r="AB470" s="128">
        <f t="shared" si="649"/>
        <v>2617103970.4000001</v>
      </c>
      <c r="AC470" s="175">
        <f t="shared" si="619"/>
        <v>1</v>
      </c>
    </row>
    <row r="471" spans="2:29" ht="30" hidden="1" x14ac:dyDescent="0.2">
      <c r="B471" s="81" t="s">
        <v>1470</v>
      </c>
      <c r="C471" s="194" t="s">
        <v>1471</v>
      </c>
      <c r="D471" s="146">
        <f>SUM(D472:D476)</f>
        <v>0</v>
      </c>
      <c r="E471" s="187">
        <f>SUM('ADICIONES  2021'!C471:I471)</f>
        <v>5392091029.4700003</v>
      </c>
      <c r="F471" s="146">
        <f>SUM(F472:F476)</f>
        <v>0</v>
      </c>
      <c r="G471" s="146">
        <f>SUM(G472:G476)</f>
        <v>0</v>
      </c>
      <c r="H471" s="146">
        <f>SUM(H472:H476)</f>
        <v>0</v>
      </c>
      <c r="I471" s="146">
        <f>SUM(I472:I476)</f>
        <v>0</v>
      </c>
      <c r="J471" s="146">
        <f>SUM(J472:J476)</f>
        <v>0</v>
      </c>
      <c r="K471" s="128">
        <f t="shared" si="645"/>
        <v>5392091029.4700003</v>
      </c>
      <c r="L471" s="146">
        <f t="shared" ref="L471:Q471" si="697">SUM(L472:L476)</f>
        <v>0</v>
      </c>
      <c r="M471" s="146">
        <f t="shared" si="697"/>
        <v>0</v>
      </c>
      <c r="N471" s="146">
        <f t="shared" si="697"/>
        <v>0</v>
      </c>
      <c r="O471" s="146">
        <f t="shared" si="697"/>
        <v>0</v>
      </c>
      <c r="P471" s="146">
        <f t="shared" si="697"/>
        <v>5392091029.4700003</v>
      </c>
      <c r="Q471" s="411">
        <f t="shared" si="697"/>
        <v>0</v>
      </c>
      <c r="R471" s="128">
        <f t="shared" si="647"/>
        <v>5392091029.4700003</v>
      </c>
      <c r="S471" s="146">
        <f t="shared" ref="S471:Z471" si="698">SUM(S472:S476)</f>
        <v>0</v>
      </c>
      <c r="T471" s="146">
        <f t="shared" si="698"/>
        <v>0</v>
      </c>
      <c r="U471" s="146">
        <f t="shared" si="698"/>
        <v>0</v>
      </c>
      <c r="V471" s="146">
        <f t="shared" si="698"/>
        <v>0</v>
      </c>
      <c r="W471" s="146">
        <f t="shared" si="698"/>
        <v>0</v>
      </c>
      <c r="X471" s="146">
        <f t="shared" si="698"/>
        <v>0</v>
      </c>
      <c r="Y471" s="146">
        <f t="shared" si="698"/>
        <v>0</v>
      </c>
      <c r="Z471" s="146">
        <f t="shared" si="698"/>
        <v>0</v>
      </c>
      <c r="AA471" s="128">
        <f t="shared" si="686"/>
        <v>0</v>
      </c>
      <c r="AB471" s="128">
        <f t="shared" si="649"/>
        <v>5392091029.4700003</v>
      </c>
      <c r="AC471" s="175">
        <f t="shared" si="619"/>
        <v>1</v>
      </c>
    </row>
    <row r="472" spans="2:29" ht="14.25" hidden="1" x14ac:dyDescent="0.2">
      <c r="B472" s="76" t="s">
        <v>1472</v>
      </c>
      <c r="C472" s="77" t="s">
        <v>1473</v>
      </c>
      <c r="D472" s="41"/>
      <c r="E472" s="188">
        <f>SUM('ADICIONES  2021'!C472:I472)</f>
        <v>3243305814.75</v>
      </c>
      <c r="F472" s="41"/>
      <c r="G472" s="41"/>
      <c r="H472" s="41"/>
      <c r="I472" s="41"/>
      <c r="J472" s="41"/>
      <c r="K472" s="128">
        <f t="shared" si="645"/>
        <v>3243305814.75</v>
      </c>
      <c r="L472" s="41"/>
      <c r="M472" s="41"/>
      <c r="N472" s="41"/>
      <c r="O472" s="41"/>
      <c r="P472" s="41">
        <v>3243305814.75</v>
      </c>
      <c r="Q472" s="409"/>
      <c r="R472" s="128">
        <f t="shared" si="647"/>
        <v>3243305814.75</v>
      </c>
      <c r="S472" s="41"/>
      <c r="T472" s="41"/>
      <c r="U472" s="41"/>
      <c r="V472" s="41"/>
      <c r="W472" s="41"/>
      <c r="X472" s="41"/>
      <c r="Y472" s="41"/>
      <c r="Z472" s="41"/>
      <c r="AA472" s="128">
        <f t="shared" si="686"/>
        <v>0</v>
      </c>
      <c r="AB472" s="128">
        <f t="shared" si="649"/>
        <v>3243305814.75</v>
      </c>
      <c r="AC472" s="175">
        <f t="shared" si="619"/>
        <v>1</v>
      </c>
    </row>
    <row r="473" spans="2:29" ht="14.25" hidden="1" x14ac:dyDescent="0.2">
      <c r="B473" s="76" t="s">
        <v>1474</v>
      </c>
      <c r="C473" s="77" t="s">
        <v>1475</v>
      </c>
      <c r="D473" s="41"/>
      <c r="E473" s="188">
        <f>SUM('ADICIONES  2021'!C473:I473)</f>
        <v>518928930.36000001</v>
      </c>
      <c r="F473" s="41"/>
      <c r="G473" s="41"/>
      <c r="H473" s="41"/>
      <c r="I473" s="41"/>
      <c r="J473" s="41"/>
      <c r="K473" s="128">
        <f t="shared" si="645"/>
        <v>518928930.36000001</v>
      </c>
      <c r="L473" s="41"/>
      <c r="M473" s="41"/>
      <c r="N473" s="41"/>
      <c r="O473" s="41"/>
      <c r="P473" s="41">
        <v>518928930.36000001</v>
      </c>
      <c r="Q473" s="409"/>
      <c r="R473" s="128">
        <f t="shared" si="647"/>
        <v>518928930.36000001</v>
      </c>
      <c r="S473" s="41"/>
      <c r="T473" s="41"/>
      <c r="U473" s="41"/>
      <c r="V473" s="41"/>
      <c r="W473" s="41"/>
      <c r="X473" s="41"/>
      <c r="Y473" s="41"/>
      <c r="Z473" s="41"/>
      <c r="AA473" s="128">
        <f t="shared" si="686"/>
        <v>0</v>
      </c>
      <c r="AB473" s="128">
        <f t="shared" si="649"/>
        <v>518928930.36000001</v>
      </c>
      <c r="AC473" s="175">
        <f t="shared" si="619"/>
        <v>1</v>
      </c>
    </row>
    <row r="474" spans="2:29" ht="14.25" hidden="1" x14ac:dyDescent="0.2">
      <c r="B474" s="76" t="s">
        <v>1476</v>
      </c>
      <c r="C474" s="77" t="s">
        <v>1477</v>
      </c>
      <c r="D474" s="41"/>
      <c r="E474" s="188">
        <f>SUM('ADICIONES  2021'!C474:I474)</f>
        <v>346052620.24000001</v>
      </c>
      <c r="F474" s="41"/>
      <c r="G474" s="41"/>
      <c r="H474" s="41"/>
      <c r="I474" s="41"/>
      <c r="J474" s="41"/>
      <c r="K474" s="128">
        <f t="shared" si="645"/>
        <v>346052620.24000001</v>
      </c>
      <c r="L474" s="41"/>
      <c r="M474" s="41"/>
      <c r="N474" s="41"/>
      <c r="O474" s="41"/>
      <c r="P474" s="41">
        <v>346052620.24000001</v>
      </c>
      <c r="Q474" s="409"/>
      <c r="R474" s="128">
        <f t="shared" si="647"/>
        <v>346052620.24000001</v>
      </c>
      <c r="S474" s="41"/>
      <c r="T474" s="41"/>
      <c r="U474" s="41"/>
      <c r="V474" s="41"/>
      <c r="W474" s="41"/>
      <c r="X474" s="41"/>
      <c r="Y474" s="41"/>
      <c r="Z474" s="41"/>
      <c r="AA474" s="128">
        <f t="shared" si="686"/>
        <v>0</v>
      </c>
      <c r="AB474" s="128">
        <f t="shared" si="649"/>
        <v>346052620.24000001</v>
      </c>
      <c r="AC474" s="175">
        <f t="shared" si="619"/>
        <v>1</v>
      </c>
    </row>
    <row r="475" spans="2:29" ht="28.5" hidden="1" x14ac:dyDescent="0.2">
      <c r="B475" s="76" t="s">
        <v>1478</v>
      </c>
      <c r="C475" s="77" t="s">
        <v>1479</v>
      </c>
      <c r="D475" s="41"/>
      <c r="E475" s="188">
        <f>SUM('ADICIONES  2021'!C475:I475)</f>
        <v>790282198.47000003</v>
      </c>
      <c r="F475" s="41"/>
      <c r="G475" s="41"/>
      <c r="H475" s="41"/>
      <c r="I475" s="41"/>
      <c r="J475" s="41"/>
      <c r="K475" s="128">
        <f t="shared" si="645"/>
        <v>790282198.47000003</v>
      </c>
      <c r="L475" s="41"/>
      <c r="M475" s="41"/>
      <c r="N475" s="41"/>
      <c r="O475" s="41"/>
      <c r="P475" s="41">
        <v>790282198.47000003</v>
      </c>
      <c r="Q475" s="409"/>
      <c r="R475" s="128">
        <f t="shared" si="647"/>
        <v>790282198.47000003</v>
      </c>
      <c r="S475" s="41"/>
      <c r="T475" s="41"/>
      <c r="U475" s="41"/>
      <c r="V475" s="41"/>
      <c r="W475" s="41"/>
      <c r="X475" s="41"/>
      <c r="Y475" s="41"/>
      <c r="Z475" s="41"/>
      <c r="AA475" s="128">
        <f t="shared" si="686"/>
        <v>0</v>
      </c>
      <c r="AB475" s="128">
        <f t="shared" si="649"/>
        <v>790282198.47000003</v>
      </c>
      <c r="AC475" s="175">
        <f t="shared" si="619"/>
        <v>1</v>
      </c>
    </row>
    <row r="476" spans="2:29" ht="28.5" hidden="1" x14ac:dyDescent="0.2">
      <c r="B476" s="76" t="s">
        <v>1480</v>
      </c>
      <c r="C476" s="77" t="s">
        <v>1481</v>
      </c>
      <c r="D476" s="41"/>
      <c r="E476" s="188">
        <f>SUM('ADICIONES  2021'!C476:I476)</f>
        <v>493521465.64999998</v>
      </c>
      <c r="F476" s="41"/>
      <c r="G476" s="41"/>
      <c r="H476" s="41"/>
      <c r="I476" s="41"/>
      <c r="J476" s="41"/>
      <c r="K476" s="128">
        <f t="shared" si="645"/>
        <v>493521465.64999998</v>
      </c>
      <c r="L476" s="41"/>
      <c r="M476" s="41"/>
      <c r="N476" s="41"/>
      <c r="O476" s="41"/>
      <c r="P476" s="41">
        <v>493521465.64999998</v>
      </c>
      <c r="Q476" s="409"/>
      <c r="R476" s="128">
        <f t="shared" si="647"/>
        <v>493521465.64999998</v>
      </c>
      <c r="S476" s="41"/>
      <c r="T476" s="41"/>
      <c r="U476" s="41"/>
      <c r="V476" s="41"/>
      <c r="W476" s="41"/>
      <c r="X476" s="41"/>
      <c r="Y476" s="41"/>
      <c r="Z476" s="41"/>
      <c r="AA476" s="128">
        <f t="shared" si="686"/>
        <v>0</v>
      </c>
      <c r="AB476" s="128">
        <f t="shared" si="649"/>
        <v>493521465.64999998</v>
      </c>
      <c r="AC476" s="175">
        <f t="shared" si="619"/>
        <v>1</v>
      </c>
    </row>
    <row r="477" spans="2:29" ht="31.5" hidden="1" x14ac:dyDescent="0.2">
      <c r="B477" s="81" t="s">
        <v>1482</v>
      </c>
      <c r="C477" s="79" t="s">
        <v>1483</v>
      </c>
      <c r="D477" s="146">
        <f>SUM(D478:D481)</f>
        <v>0</v>
      </c>
      <c r="E477" s="187">
        <f>SUM('ADICIONES  2021'!C477:I477)</f>
        <v>8438554129.0799999</v>
      </c>
      <c r="F477" s="146">
        <f>SUM(F478:F481)</f>
        <v>0</v>
      </c>
      <c r="G477" s="146">
        <f>SUM(G478:G481)</f>
        <v>0</v>
      </c>
      <c r="H477" s="146">
        <f>SUM(H478:H481)</f>
        <v>0</v>
      </c>
      <c r="I477" s="146">
        <f>SUM(I478:I481)</f>
        <v>0</v>
      </c>
      <c r="J477" s="146">
        <f>SUM(J478:J481)</f>
        <v>0</v>
      </c>
      <c r="K477" s="128">
        <f t="shared" si="645"/>
        <v>8438554129.0799999</v>
      </c>
      <c r="L477" s="146">
        <f t="shared" ref="L477:Q477" si="699">SUM(L478:L481)</f>
        <v>0</v>
      </c>
      <c r="M477" s="146">
        <f t="shared" si="699"/>
        <v>0</v>
      </c>
      <c r="N477" s="146">
        <f t="shared" si="699"/>
        <v>0</v>
      </c>
      <c r="O477" s="146">
        <f t="shared" si="699"/>
        <v>0</v>
      </c>
      <c r="P477" s="146">
        <f t="shared" si="699"/>
        <v>8438554129.0799999</v>
      </c>
      <c r="Q477" s="411">
        <f t="shared" si="699"/>
        <v>0</v>
      </c>
      <c r="R477" s="128">
        <f t="shared" si="647"/>
        <v>8438554129.0799999</v>
      </c>
      <c r="S477" s="146">
        <f t="shared" ref="S477:Z477" si="700">SUM(S478:S481)</f>
        <v>0</v>
      </c>
      <c r="T477" s="146">
        <f t="shared" si="700"/>
        <v>0</v>
      </c>
      <c r="U477" s="146">
        <f t="shared" si="700"/>
        <v>0</v>
      </c>
      <c r="V477" s="146">
        <f t="shared" si="700"/>
        <v>0</v>
      </c>
      <c r="W477" s="146">
        <f t="shared" si="700"/>
        <v>0</v>
      </c>
      <c r="X477" s="146">
        <f t="shared" si="700"/>
        <v>0</v>
      </c>
      <c r="Y477" s="146">
        <f t="shared" si="700"/>
        <v>0</v>
      </c>
      <c r="Z477" s="146">
        <f t="shared" si="700"/>
        <v>0</v>
      </c>
      <c r="AA477" s="128">
        <f t="shared" si="686"/>
        <v>0</v>
      </c>
      <c r="AB477" s="128">
        <f t="shared" si="649"/>
        <v>8438554129.0799999</v>
      </c>
      <c r="AC477" s="175">
        <f t="shared" si="619"/>
        <v>1</v>
      </c>
    </row>
    <row r="478" spans="2:29" ht="28.5" hidden="1" x14ac:dyDescent="0.2">
      <c r="B478" s="76" t="s">
        <v>1484</v>
      </c>
      <c r="C478" s="77" t="s">
        <v>1485</v>
      </c>
      <c r="D478" s="41"/>
      <c r="E478" s="188">
        <f>SUM('ADICIONES  2021'!C478:I478)</f>
        <v>2671945846.21</v>
      </c>
      <c r="F478" s="41"/>
      <c r="G478" s="41"/>
      <c r="H478" s="41"/>
      <c r="I478" s="41"/>
      <c r="J478" s="41"/>
      <c r="K478" s="128">
        <f t="shared" si="645"/>
        <v>2671945846.21</v>
      </c>
      <c r="L478" s="41"/>
      <c r="M478" s="41"/>
      <c r="N478" s="41"/>
      <c r="O478" s="41"/>
      <c r="P478" s="41">
        <v>2671945846.21</v>
      </c>
      <c r="Q478" s="409"/>
      <c r="R478" s="128">
        <f t="shared" si="647"/>
        <v>2671945846.21</v>
      </c>
      <c r="S478" s="41"/>
      <c r="T478" s="41"/>
      <c r="U478" s="41"/>
      <c r="V478" s="41"/>
      <c r="W478" s="41"/>
      <c r="X478" s="41"/>
      <c r="Y478" s="41"/>
      <c r="Z478" s="41"/>
      <c r="AA478" s="128">
        <f t="shared" si="686"/>
        <v>0</v>
      </c>
      <c r="AB478" s="128">
        <f t="shared" si="649"/>
        <v>2671945846.21</v>
      </c>
      <c r="AC478" s="175">
        <f t="shared" si="619"/>
        <v>1</v>
      </c>
    </row>
    <row r="479" spans="2:29" ht="28.5" hidden="1" x14ac:dyDescent="0.2">
      <c r="B479" s="76" t="s">
        <v>1486</v>
      </c>
      <c r="C479" s="77" t="s">
        <v>1487</v>
      </c>
      <c r="D479" s="41"/>
      <c r="E479" s="188">
        <f>SUM('ADICIONES  2021'!C479:I479)</f>
        <v>2934254218.5999999</v>
      </c>
      <c r="F479" s="41"/>
      <c r="G479" s="41"/>
      <c r="H479" s="41"/>
      <c r="I479" s="41"/>
      <c r="J479" s="41"/>
      <c r="K479" s="128">
        <f t="shared" si="645"/>
        <v>2934254218.5999999</v>
      </c>
      <c r="L479" s="41"/>
      <c r="M479" s="41"/>
      <c r="N479" s="41"/>
      <c r="O479" s="41"/>
      <c r="P479" s="41">
        <v>2934254218.5999999</v>
      </c>
      <c r="Q479" s="409"/>
      <c r="R479" s="128">
        <f t="shared" si="647"/>
        <v>2934254218.5999999</v>
      </c>
      <c r="S479" s="41"/>
      <c r="T479" s="41"/>
      <c r="U479" s="41"/>
      <c r="V479" s="41"/>
      <c r="W479" s="41"/>
      <c r="X479" s="41"/>
      <c r="Y479" s="41"/>
      <c r="Z479" s="41"/>
      <c r="AA479" s="128">
        <f t="shared" si="686"/>
        <v>0</v>
      </c>
      <c r="AB479" s="128">
        <f t="shared" si="649"/>
        <v>2934254218.5999999</v>
      </c>
      <c r="AC479" s="175">
        <f t="shared" si="619"/>
        <v>1</v>
      </c>
    </row>
    <row r="480" spans="2:29" ht="14.25" hidden="1" x14ac:dyDescent="0.2">
      <c r="B480" s="76" t="s">
        <v>1488</v>
      </c>
      <c r="C480" s="77" t="s">
        <v>1489</v>
      </c>
      <c r="D480" s="41"/>
      <c r="E480" s="188">
        <f>SUM('ADICIONES  2021'!C480:I480)</f>
        <v>61272454.5</v>
      </c>
      <c r="F480" s="41"/>
      <c r="G480" s="41"/>
      <c r="H480" s="41"/>
      <c r="I480" s="41"/>
      <c r="J480" s="41"/>
      <c r="K480" s="128">
        <f t="shared" si="645"/>
        <v>61272454.5</v>
      </c>
      <c r="L480" s="41"/>
      <c r="M480" s="41"/>
      <c r="N480" s="41"/>
      <c r="O480" s="41"/>
      <c r="P480" s="41">
        <v>61272454.5</v>
      </c>
      <c r="Q480" s="409"/>
      <c r="R480" s="128">
        <f t="shared" si="647"/>
        <v>61272454.5</v>
      </c>
      <c r="S480" s="41"/>
      <c r="T480" s="41"/>
      <c r="U480" s="41"/>
      <c r="V480" s="41"/>
      <c r="W480" s="41"/>
      <c r="X480" s="41"/>
      <c r="Y480" s="41"/>
      <c r="Z480" s="41"/>
      <c r="AA480" s="128">
        <f t="shared" ref="AA480:AA543" si="701">SUM(S480:Z480)</f>
        <v>0</v>
      </c>
      <c r="AB480" s="128">
        <f t="shared" si="649"/>
        <v>61272454.5</v>
      </c>
      <c r="AC480" s="175">
        <f t="shared" si="619"/>
        <v>1</v>
      </c>
    </row>
    <row r="481" spans="2:29" ht="14.25" hidden="1" x14ac:dyDescent="0.2">
      <c r="B481" s="76" t="s">
        <v>1490</v>
      </c>
      <c r="C481" s="77" t="s">
        <v>1491</v>
      </c>
      <c r="D481" s="41"/>
      <c r="E481" s="188">
        <f>SUM('ADICIONES  2021'!C481:I481)</f>
        <v>2771081609.77</v>
      </c>
      <c r="F481" s="41"/>
      <c r="G481" s="41"/>
      <c r="H481" s="41"/>
      <c r="I481" s="41"/>
      <c r="J481" s="41"/>
      <c r="K481" s="128">
        <f t="shared" si="645"/>
        <v>2771081609.77</v>
      </c>
      <c r="L481" s="41"/>
      <c r="M481" s="41"/>
      <c r="N481" s="41"/>
      <c r="O481" s="41"/>
      <c r="P481" s="41">
        <v>2771081609.77</v>
      </c>
      <c r="Q481" s="409"/>
      <c r="R481" s="128">
        <f t="shared" si="647"/>
        <v>2771081609.77</v>
      </c>
      <c r="S481" s="41"/>
      <c r="T481" s="41"/>
      <c r="U481" s="41"/>
      <c r="V481" s="41"/>
      <c r="W481" s="41"/>
      <c r="X481" s="41"/>
      <c r="Y481" s="41"/>
      <c r="Z481" s="41"/>
      <c r="AA481" s="128">
        <f t="shared" si="701"/>
        <v>0</v>
      </c>
      <c r="AB481" s="128">
        <f t="shared" si="649"/>
        <v>2771081609.77</v>
      </c>
      <c r="AC481" s="175">
        <f t="shared" si="619"/>
        <v>1</v>
      </c>
    </row>
    <row r="482" spans="2:29" ht="15.75" hidden="1" x14ac:dyDescent="0.2">
      <c r="B482" s="81" t="s">
        <v>1492</v>
      </c>
      <c r="C482" s="79" t="s">
        <v>1493</v>
      </c>
      <c r="D482" s="146">
        <f>SUM(D483:D486)</f>
        <v>0</v>
      </c>
      <c r="E482" s="187">
        <f>SUM('ADICIONES  2021'!C482:I482)</f>
        <v>6120619248.2299995</v>
      </c>
      <c r="F482" s="146">
        <f>SUM(F483:F486)</f>
        <v>0</v>
      </c>
      <c r="G482" s="146">
        <f>SUM(G483:G486)</f>
        <v>0</v>
      </c>
      <c r="H482" s="146">
        <f>SUM(H483:H486)</f>
        <v>0</v>
      </c>
      <c r="I482" s="146">
        <f>SUM(I483:I486)</f>
        <v>0</v>
      </c>
      <c r="J482" s="146">
        <f>SUM(J483:J486)</f>
        <v>0</v>
      </c>
      <c r="K482" s="128">
        <f t="shared" si="645"/>
        <v>6120619248.2299995</v>
      </c>
      <c r="L482" s="146">
        <f t="shared" ref="L482:Q482" si="702">SUM(L483:L486)</f>
        <v>0</v>
      </c>
      <c r="M482" s="146">
        <f t="shared" si="702"/>
        <v>0</v>
      </c>
      <c r="N482" s="146">
        <f t="shared" si="702"/>
        <v>0</v>
      </c>
      <c r="O482" s="146">
        <f t="shared" si="702"/>
        <v>0</v>
      </c>
      <c r="P482" s="146">
        <f t="shared" si="702"/>
        <v>6120619248.2299995</v>
      </c>
      <c r="Q482" s="411">
        <f t="shared" si="702"/>
        <v>0</v>
      </c>
      <c r="R482" s="128">
        <f t="shared" si="647"/>
        <v>6120619248.2299995</v>
      </c>
      <c r="S482" s="146">
        <f t="shared" ref="S482:Z482" si="703">SUM(S483:S486)</f>
        <v>0</v>
      </c>
      <c r="T482" s="146">
        <f t="shared" si="703"/>
        <v>0</v>
      </c>
      <c r="U482" s="146">
        <f t="shared" si="703"/>
        <v>0</v>
      </c>
      <c r="V482" s="146">
        <f t="shared" si="703"/>
        <v>0</v>
      </c>
      <c r="W482" s="146">
        <f t="shared" si="703"/>
        <v>0</v>
      </c>
      <c r="X482" s="146">
        <f t="shared" si="703"/>
        <v>0</v>
      </c>
      <c r="Y482" s="146">
        <f t="shared" si="703"/>
        <v>0</v>
      </c>
      <c r="Z482" s="146">
        <f t="shared" si="703"/>
        <v>0</v>
      </c>
      <c r="AA482" s="128">
        <f t="shared" si="701"/>
        <v>0</v>
      </c>
      <c r="AB482" s="128">
        <f t="shared" si="649"/>
        <v>6120619248.2299995</v>
      </c>
      <c r="AC482" s="175">
        <f t="shared" si="619"/>
        <v>1</v>
      </c>
    </row>
    <row r="483" spans="2:29" ht="14.25" hidden="1" x14ac:dyDescent="0.2">
      <c r="B483" s="76" t="s">
        <v>1494</v>
      </c>
      <c r="C483" s="77" t="s">
        <v>1495</v>
      </c>
      <c r="D483" s="41"/>
      <c r="E483" s="188">
        <f>SUM('ADICIONES  2021'!C483:I483)</f>
        <v>391955142.67000002</v>
      </c>
      <c r="F483" s="41"/>
      <c r="G483" s="41"/>
      <c r="H483" s="41"/>
      <c r="I483" s="41"/>
      <c r="J483" s="41"/>
      <c r="K483" s="128">
        <f t="shared" si="645"/>
        <v>391955142.67000002</v>
      </c>
      <c r="L483" s="41"/>
      <c r="M483" s="41"/>
      <c r="N483" s="41"/>
      <c r="O483" s="41"/>
      <c r="P483" s="41">
        <v>391955142.67000002</v>
      </c>
      <c r="Q483" s="409"/>
      <c r="R483" s="128">
        <f t="shared" si="647"/>
        <v>391955142.67000002</v>
      </c>
      <c r="S483" s="41"/>
      <c r="T483" s="41"/>
      <c r="U483" s="41"/>
      <c r="V483" s="41"/>
      <c r="W483" s="41"/>
      <c r="X483" s="41"/>
      <c r="Y483" s="41"/>
      <c r="Z483" s="41"/>
      <c r="AA483" s="128">
        <f t="shared" si="701"/>
        <v>0</v>
      </c>
      <c r="AB483" s="128">
        <f t="shared" si="649"/>
        <v>391955142.67000002</v>
      </c>
      <c r="AC483" s="175">
        <f t="shared" si="619"/>
        <v>1</v>
      </c>
    </row>
    <row r="484" spans="2:29" ht="14.25" hidden="1" x14ac:dyDescent="0.2">
      <c r="B484" s="76" t="s">
        <v>1496</v>
      </c>
      <c r="C484" s="77" t="s">
        <v>1497</v>
      </c>
      <c r="D484" s="41"/>
      <c r="E484" s="188">
        <f>SUM('ADICIONES  2021'!C484:I484)</f>
        <v>469938850.06999999</v>
      </c>
      <c r="F484" s="41"/>
      <c r="G484" s="41"/>
      <c r="H484" s="41"/>
      <c r="I484" s="41"/>
      <c r="J484" s="41"/>
      <c r="K484" s="128">
        <f t="shared" si="645"/>
        <v>469938850.06999999</v>
      </c>
      <c r="L484" s="41"/>
      <c r="M484" s="41"/>
      <c r="N484" s="41"/>
      <c r="O484" s="41"/>
      <c r="P484" s="41">
        <v>469938850.06999999</v>
      </c>
      <c r="Q484" s="409"/>
      <c r="R484" s="128">
        <f t="shared" si="647"/>
        <v>469938850.06999999</v>
      </c>
      <c r="S484" s="41"/>
      <c r="T484" s="41"/>
      <c r="U484" s="41"/>
      <c r="V484" s="41"/>
      <c r="W484" s="41"/>
      <c r="X484" s="41"/>
      <c r="Y484" s="41"/>
      <c r="Z484" s="41"/>
      <c r="AA484" s="128">
        <f t="shared" si="701"/>
        <v>0</v>
      </c>
      <c r="AB484" s="128">
        <f t="shared" si="649"/>
        <v>469938850.06999999</v>
      </c>
      <c r="AC484" s="175">
        <f t="shared" si="619"/>
        <v>1</v>
      </c>
    </row>
    <row r="485" spans="2:29" ht="28.5" hidden="1" x14ac:dyDescent="0.2">
      <c r="B485" s="76" t="s">
        <v>1498</v>
      </c>
      <c r="C485" s="77" t="s">
        <v>1499</v>
      </c>
      <c r="D485" s="41"/>
      <c r="E485" s="188">
        <f>SUM('ADICIONES  2021'!C485:I485)</f>
        <v>4878475057.2299995</v>
      </c>
      <c r="F485" s="41"/>
      <c r="G485" s="41"/>
      <c r="H485" s="41"/>
      <c r="I485" s="41"/>
      <c r="J485" s="41"/>
      <c r="K485" s="128">
        <f t="shared" si="645"/>
        <v>4878475057.2299995</v>
      </c>
      <c r="L485" s="41"/>
      <c r="M485" s="41"/>
      <c r="N485" s="41"/>
      <c r="O485" s="41"/>
      <c r="P485" s="41">
        <v>4878475057.2299995</v>
      </c>
      <c r="Q485" s="409"/>
      <c r="R485" s="128">
        <f t="shared" si="647"/>
        <v>4878475057.2299995</v>
      </c>
      <c r="S485" s="41"/>
      <c r="T485" s="41"/>
      <c r="U485" s="41"/>
      <c r="V485" s="41"/>
      <c r="W485" s="41"/>
      <c r="X485" s="41"/>
      <c r="Y485" s="41"/>
      <c r="Z485" s="41"/>
      <c r="AA485" s="128">
        <f t="shared" si="701"/>
        <v>0</v>
      </c>
      <c r="AB485" s="128">
        <f t="shared" si="649"/>
        <v>4878475057.2299995</v>
      </c>
      <c r="AC485" s="175">
        <f t="shared" si="619"/>
        <v>1</v>
      </c>
    </row>
    <row r="486" spans="2:29" ht="28.5" hidden="1" x14ac:dyDescent="0.2">
      <c r="B486" s="76" t="s">
        <v>1500</v>
      </c>
      <c r="C486" s="77" t="s">
        <v>1501</v>
      </c>
      <c r="D486" s="41"/>
      <c r="E486" s="188">
        <f>SUM('ADICIONES  2021'!C486:I486)</f>
        <v>380250198.25999999</v>
      </c>
      <c r="F486" s="41"/>
      <c r="G486" s="41"/>
      <c r="H486" s="41"/>
      <c r="I486" s="41"/>
      <c r="J486" s="41"/>
      <c r="K486" s="128">
        <f t="shared" si="645"/>
        <v>380250198.25999999</v>
      </c>
      <c r="L486" s="41"/>
      <c r="M486" s="41"/>
      <c r="N486" s="41"/>
      <c r="O486" s="41"/>
      <c r="P486" s="41">
        <v>380250198.25999999</v>
      </c>
      <c r="Q486" s="409"/>
      <c r="R486" s="128">
        <f t="shared" si="647"/>
        <v>380250198.25999999</v>
      </c>
      <c r="S486" s="41"/>
      <c r="T486" s="41"/>
      <c r="U486" s="41"/>
      <c r="V486" s="41"/>
      <c r="W486" s="41"/>
      <c r="X486" s="41"/>
      <c r="Y486" s="41"/>
      <c r="Z486" s="41"/>
      <c r="AA486" s="128">
        <f t="shared" si="701"/>
        <v>0</v>
      </c>
      <c r="AB486" s="128">
        <f t="shared" si="649"/>
        <v>380250198.25999999</v>
      </c>
      <c r="AC486" s="175">
        <f t="shared" si="619"/>
        <v>1</v>
      </c>
    </row>
    <row r="487" spans="2:29" ht="15.75" hidden="1" x14ac:dyDescent="0.2">
      <c r="B487" s="81" t="s">
        <v>1502</v>
      </c>
      <c r="C487" s="79" t="s">
        <v>1503</v>
      </c>
      <c r="D487" s="146">
        <f>SUM(D488:D489)</f>
        <v>0</v>
      </c>
      <c r="E487" s="187">
        <f>SUM('ADICIONES  2021'!C487:I487)</f>
        <v>27300121.359999999</v>
      </c>
      <c r="F487" s="146">
        <f>SUM(F488:F489)</f>
        <v>0</v>
      </c>
      <c r="G487" s="146">
        <f>SUM(G488:G489)</f>
        <v>0</v>
      </c>
      <c r="H487" s="146">
        <f>SUM(H488:H489)</f>
        <v>0</v>
      </c>
      <c r="I487" s="146">
        <f>SUM(I488:I489)</f>
        <v>0</v>
      </c>
      <c r="J487" s="146">
        <f>SUM(J488:J489)</f>
        <v>0</v>
      </c>
      <c r="K487" s="128">
        <f t="shared" si="645"/>
        <v>27300121.359999999</v>
      </c>
      <c r="L487" s="146">
        <f t="shared" ref="L487:Q487" si="704">SUM(L488:L489)</f>
        <v>0</v>
      </c>
      <c r="M487" s="146">
        <f t="shared" si="704"/>
        <v>0</v>
      </c>
      <c r="N487" s="146">
        <f t="shared" si="704"/>
        <v>0</v>
      </c>
      <c r="O487" s="146">
        <f t="shared" si="704"/>
        <v>0</v>
      </c>
      <c r="P487" s="146">
        <f t="shared" si="704"/>
        <v>27300121.359999999</v>
      </c>
      <c r="Q487" s="411">
        <f t="shared" si="704"/>
        <v>0</v>
      </c>
      <c r="R487" s="128">
        <f t="shared" si="647"/>
        <v>27300121.359999999</v>
      </c>
      <c r="S487" s="146">
        <f t="shared" ref="S487:Z487" si="705">SUM(S488:S489)</f>
        <v>0</v>
      </c>
      <c r="T487" s="146">
        <f t="shared" si="705"/>
        <v>0</v>
      </c>
      <c r="U487" s="146">
        <f t="shared" si="705"/>
        <v>0</v>
      </c>
      <c r="V487" s="146">
        <f t="shared" si="705"/>
        <v>0</v>
      </c>
      <c r="W487" s="146">
        <f t="shared" si="705"/>
        <v>0</v>
      </c>
      <c r="X487" s="146">
        <f t="shared" si="705"/>
        <v>0</v>
      </c>
      <c r="Y487" s="146">
        <f t="shared" si="705"/>
        <v>0</v>
      </c>
      <c r="Z487" s="146">
        <f t="shared" si="705"/>
        <v>0</v>
      </c>
      <c r="AA487" s="128">
        <f t="shared" si="701"/>
        <v>0</v>
      </c>
      <c r="AB487" s="128">
        <f t="shared" si="649"/>
        <v>27300121.359999999</v>
      </c>
      <c r="AC487" s="175">
        <f t="shared" si="619"/>
        <v>1</v>
      </c>
    </row>
    <row r="488" spans="2:29" ht="14.25" hidden="1" x14ac:dyDescent="0.2">
      <c r="B488" s="76" t="s">
        <v>1504</v>
      </c>
      <c r="C488" s="77" t="s">
        <v>1503</v>
      </c>
      <c r="D488" s="41"/>
      <c r="E488" s="188">
        <f>SUM('ADICIONES  2021'!C488:I488)</f>
        <v>2505946</v>
      </c>
      <c r="F488" s="41"/>
      <c r="G488" s="41"/>
      <c r="H488" s="41"/>
      <c r="I488" s="41"/>
      <c r="J488" s="41"/>
      <c r="K488" s="128">
        <f t="shared" si="645"/>
        <v>2505946</v>
      </c>
      <c r="L488" s="41"/>
      <c r="M488" s="41"/>
      <c r="N488" s="41"/>
      <c r="O488" s="41"/>
      <c r="P488" s="41">
        <v>2505946</v>
      </c>
      <c r="Q488" s="409"/>
      <c r="R488" s="128">
        <f t="shared" si="647"/>
        <v>2505946</v>
      </c>
      <c r="S488" s="41"/>
      <c r="T488" s="41"/>
      <c r="U488" s="41"/>
      <c r="V488" s="41"/>
      <c r="W488" s="41"/>
      <c r="X488" s="41"/>
      <c r="Y488" s="41"/>
      <c r="Z488" s="41"/>
      <c r="AA488" s="128">
        <f t="shared" si="701"/>
        <v>0</v>
      </c>
      <c r="AB488" s="128">
        <f t="shared" si="649"/>
        <v>2505946</v>
      </c>
      <c r="AC488" s="175">
        <f t="shared" si="619"/>
        <v>1</v>
      </c>
    </row>
    <row r="489" spans="2:29" ht="14.25" hidden="1" x14ac:dyDescent="0.2">
      <c r="B489" s="76" t="s">
        <v>1505</v>
      </c>
      <c r="C489" s="77" t="s">
        <v>1506</v>
      </c>
      <c r="D489" s="41"/>
      <c r="E489" s="188">
        <f>SUM('ADICIONES  2021'!C489:I489)</f>
        <v>24794175.359999999</v>
      </c>
      <c r="F489" s="41"/>
      <c r="G489" s="41"/>
      <c r="H489" s="41"/>
      <c r="I489" s="41"/>
      <c r="J489" s="41"/>
      <c r="K489" s="128">
        <f t="shared" si="645"/>
        <v>24794175.359999999</v>
      </c>
      <c r="L489" s="41"/>
      <c r="M489" s="41"/>
      <c r="N489" s="41"/>
      <c r="O489" s="41"/>
      <c r="P489" s="41">
        <v>24794175.359999999</v>
      </c>
      <c r="Q489" s="409"/>
      <c r="R489" s="128">
        <f t="shared" si="647"/>
        <v>24794175.359999999</v>
      </c>
      <c r="S489" s="41"/>
      <c r="T489" s="41"/>
      <c r="U489" s="41"/>
      <c r="V489" s="41"/>
      <c r="W489" s="41"/>
      <c r="X489" s="41"/>
      <c r="Y489" s="41"/>
      <c r="Z489" s="41"/>
      <c r="AA489" s="128">
        <f t="shared" si="701"/>
        <v>0</v>
      </c>
      <c r="AB489" s="128">
        <f t="shared" si="649"/>
        <v>24794175.359999999</v>
      </c>
      <c r="AC489" s="175">
        <f t="shared" si="619"/>
        <v>1</v>
      </c>
    </row>
    <row r="490" spans="2:29" ht="15.75" hidden="1" x14ac:dyDescent="0.2">
      <c r="B490" s="81" t="s">
        <v>1507</v>
      </c>
      <c r="C490" s="79" t="s">
        <v>1508</v>
      </c>
      <c r="D490" s="146">
        <f>SUM(D491:D492)</f>
        <v>0</v>
      </c>
      <c r="E490" s="187">
        <f>SUM('ADICIONES  2021'!C490:I490)</f>
        <v>2574669714.0699997</v>
      </c>
      <c r="F490" s="146">
        <f>SUM(F491:F492)</f>
        <v>0</v>
      </c>
      <c r="G490" s="146">
        <f>SUM(G491:G492)</f>
        <v>0</v>
      </c>
      <c r="H490" s="146">
        <f>SUM(H491:H492)</f>
        <v>0</v>
      </c>
      <c r="I490" s="146">
        <f>SUM(I491:I492)</f>
        <v>0</v>
      </c>
      <c r="J490" s="146">
        <f>SUM(J491:J492)</f>
        <v>0</v>
      </c>
      <c r="K490" s="128">
        <f t="shared" si="645"/>
        <v>2574669714.0699997</v>
      </c>
      <c r="L490" s="146">
        <f t="shared" ref="L490:Q490" si="706">SUM(L491:L492)</f>
        <v>0</v>
      </c>
      <c r="M490" s="146">
        <f t="shared" si="706"/>
        <v>0</v>
      </c>
      <c r="N490" s="146">
        <f t="shared" si="706"/>
        <v>0</v>
      </c>
      <c r="O490" s="146">
        <f t="shared" si="706"/>
        <v>0</v>
      </c>
      <c r="P490" s="146">
        <f t="shared" si="706"/>
        <v>2574669714.0699997</v>
      </c>
      <c r="Q490" s="411">
        <f t="shared" si="706"/>
        <v>0</v>
      </c>
      <c r="R490" s="128">
        <f t="shared" si="647"/>
        <v>2574669714.0699997</v>
      </c>
      <c r="S490" s="146">
        <f t="shared" ref="S490:Z490" si="707">SUM(S491:S492)</f>
        <v>0</v>
      </c>
      <c r="T490" s="146">
        <f t="shared" si="707"/>
        <v>0</v>
      </c>
      <c r="U490" s="146">
        <f t="shared" si="707"/>
        <v>0</v>
      </c>
      <c r="V490" s="146">
        <f t="shared" si="707"/>
        <v>0</v>
      </c>
      <c r="W490" s="146">
        <f t="shared" si="707"/>
        <v>0</v>
      </c>
      <c r="X490" s="146">
        <f t="shared" si="707"/>
        <v>0</v>
      </c>
      <c r="Y490" s="146">
        <f t="shared" si="707"/>
        <v>0</v>
      </c>
      <c r="Z490" s="146">
        <f t="shared" si="707"/>
        <v>0</v>
      </c>
      <c r="AA490" s="128">
        <f t="shared" si="701"/>
        <v>0</v>
      </c>
      <c r="AB490" s="128">
        <f t="shared" si="649"/>
        <v>2574669714.0699997</v>
      </c>
      <c r="AC490" s="175">
        <f t="shared" si="619"/>
        <v>1</v>
      </c>
    </row>
    <row r="491" spans="2:29" ht="14.25" hidden="1" x14ac:dyDescent="0.2">
      <c r="B491" s="76" t="s">
        <v>1509</v>
      </c>
      <c r="C491" s="77" t="s">
        <v>1508</v>
      </c>
      <c r="D491" s="41"/>
      <c r="E491" s="188">
        <f>SUM('ADICIONES  2021'!C491:I491)</f>
        <v>1979873863.0699999</v>
      </c>
      <c r="F491" s="41"/>
      <c r="G491" s="41"/>
      <c r="H491" s="41"/>
      <c r="I491" s="41"/>
      <c r="J491" s="41"/>
      <c r="K491" s="128">
        <f t="shared" si="645"/>
        <v>1979873863.0699999</v>
      </c>
      <c r="L491" s="41"/>
      <c r="M491" s="41"/>
      <c r="N491" s="41"/>
      <c r="O491" s="41"/>
      <c r="P491" s="41">
        <v>1979873863.0699999</v>
      </c>
      <c r="Q491" s="409"/>
      <c r="R491" s="128">
        <f t="shared" si="647"/>
        <v>1979873863.0699999</v>
      </c>
      <c r="S491" s="41"/>
      <c r="T491" s="41"/>
      <c r="U491" s="41"/>
      <c r="V491" s="41"/>
      <c r="W491" s="41"/>
      <c r="X491" s="41"/>
      <c r="Y491" s="41"/>
      <c r="Z491" s="41"/>
      <c r="AA491" s="128">
        <f t="shared" si="701"/>
        <v>0</v>
      </c>
      <c r="AB491" s="128">
        <f t="shared" si="649"/>
        <v>1979873863.0699999</v>
      </c>
      <c r="AC491" s="175">
        <f t="shared" si="619"/>
        <v>1</v>
      </c>
    </row>
    <row r="492" spans="2:29" ht="14.25" hidden="1" x14ac:dyDescent="0.2">
      <c r="B492" s="76" t="s">
        <v>1510</v>
      </c>
      <c r="C492" s="77" t="s">
        <v>1511</v>
      </c>
      <c r="D492" s="41"/>
      <c r="E492" s="188">
        <f>SUM('ADICIONES  2021'!C492:I492)</f>
        <v>594795851</v>
      </c>
      <c r="F492" s="41"/>
      <c r="G492" s="41"/>
      <c r="H492" s="41"/>
      <c r="I492" s="41"/>
      <c r="J492" s="41"/>
      <c r="K492" s="128">
        <f t="shared" si="645"/>
        <v>594795851</v>
      </c>
      <c r="L492" s="41"/>
      <c r="M492" s="41"/>
      <c r="N492" s="41"/>
      <c r="O492" s="41"/>
      <c r="P492" s="41">
        <v>594795851</v>
      </c>
      <c r="Q492" s="409"/>
      <c r="R492" s="128">
        <f t="shared" si="647"/>
        <v>594795851</v>
      </c>
      <c r="S492" s="41"/>
      <c r="T492" s="41"/>
      <c r="U492" s="41"/>
      <c r="V492" s="41"/>
      <c r="W492" s="41"/>
      <c r="X492" s="41"/>
      <c r="Y492" s="41"/>
      <c r="Z492" s="41"/>
      <c r="AA492" s="128">
        <f t="shared" si="701"/>
        <v>0</v>
      </c>
      <c r="AB492" s="128">
        <f t="shared" si="649"/>
        <v>594795851</v>
      </c>
      <c r="AC492" s="175">
        <f t="shared" si="619"/>
        <v>1</v>
      </c>
    </row>
    <row r="493" spans="2:29" ht="15.75" hidden="1" x14ac:dyDescent="0.2">
      <c r="B493" s="81" t="s">
        <v>1512</v>
      </c>
      <c r="C493" s="79" t="s">
        <v>1513</v>
      </c>
      <c r="D493" s="146">
        <f>+D494</f>
        <v>0</v>
      </c>
      <c r="E493" s="187">
        <f>SUM('ADICIONES  2021'!C493:I493)</f>
        <v>8931257.5099999998</v>
      </c>
      <c r="F493" s="146">
        <f>+F494</f>
        <v>0</v>
      </c>
      <c r="G493" s="146">
        <f>+G494</f>
        <v>0</v>
      </c>
      <c r="H493" s="146">
        <f>+H494</f>
        <v>0</v>
      </c>
      <c r="I493" s="146">
        <f>+I494</f>
        <v>0</v>
      </c>
      <c r="J493" s="146">
        <f>+J494</f>
        <v>0</v>
      </c>
      <c r="K493" s="128">
        <f t="shared" si="645"/>
        <v>8931257.5099999998</v>
      </c>
      <c r="L493" s="146">
        <f t="shared" ref="L493:Q493" si="708">+L494</f>
        <v>0</v>
      </c>
      <c r="M493" s="146">
        <f t="shared" si="708"/>
        <v>0</v>
      </c>
      <c r="N493" s="146">
        <f t="shared" si="708"/>
        <v>0</v>
      </c>
      <c r="O493" s="146">
        <f t="shared" si="708"/>
        <v>0</v>
      </c>
      <c r="P493" s="146">
        <f t="shared" si="708"/>
        <v>8931257.5099999998</v>
      </c>
      <c r="Q493" s="411">
        <f t="shared" si="708"/>
        <v>0</v>
      </c>
      <c r="R493" s="128">
        <f t="shared" si="647"/>
        <v>8931257.5099999998</v>
      </c>
      <c r="S493" s="146">
        <f t="shared" ref="S493:Z493" si="709">+S494</f>
        <v>0</v>
      </c>
      <c r="T493" s="146">
        <f t="shared" si="709"/>
        <v>0</v>
      </c>
      <c r="U493" s="146">
        <f t="shared" si="709"/>
        <v>0</v>
      </c>
      <c r="V493" s="146">
        <f t="shared" si="709"/>
        <v>0</v>
      </c>
      <c r="W493" s="146">
        <f t="shared" si="709"/>
        <v>0</v>
      </c>
      <c r="X493" s="146">
        <f t="shared" si="709"/>
        <v>0</v>
      </c>
      <c r="Y493" s="146">
        <f t="shared" si="709"/>
        <v>0</v>
      </c>
      <c r="Z493" s="146">
        <f t="shared" si="709"/>
        <v>0</v>
      </c>
      <c r="AA493" s="128">
        <f t="shared" si="701"/>
        <v>0</v>
      </c>
      <c r="AB493" s="128">
        <f t="shared" si="649"/>
        <v>8931257.5099999998</v>
      </c>
      <c r="AC493" s="175">
        <f t="shared" si="619"/>
        <v>1</v>
      </c>
    </row>
    <row r="494" spans="2:29" ht="14.25" hidden="1" x14ac:dyDescent="0.2">
      <c r="B494" s="76" t="s">
        <v>1514</v>
      </c>
      <c r="C494" s="77" t="s">
        <v>1513</v>
      </c>
      <c r="D494" s="41"/>
      <c r="E494" s="188">
        <f>SUM('ADICIONES  2021'!C494:I494)</f>
        <v>8931257.5099999998</v>
      </c>
      <c r="F494" s="41"/>
      <c r="G494" s="41"/>
      <c r="H494" s="41"/>
      <c r="I494" s="41"/>
      <c r="J494" s="41"/>
      <c r="K494" s="128">
        <f t="shared" si="645"/>
        <v>8931257.5099999998</v>
      </c>
      <c r="L494" s="41"/>
      <c r="M494" s="41"/>
      <c r="N494" s="41"/>
      <c r="O494" s="41"/>
      <c r="P494" s="41">
        <v>8931257.5099999998</v>
      </c>
      <c r="Q494" s="409"/>
      <c r="R494" s="128">
        <f t="shared" si="647"/>
        <v>8931257.5099999998</v>
      </c>
      <c r="S494" s="41"/>
      <c r="T494" s="41"/>
      <c r="U494" s="41"/>
      <c r="V494" s="41"/>
      <c r="W494" s="41"/>
      <c r="X494" s="41"/>
      <c r="Y494" s="41"/>
      <c r="Z494" s="41"/>
      <c r="AA494" s="128">
        <f t="shared" si="701"/>
        <v>0</v>
      </c>
      <c r="AB494" s="128">
        <f t="shared" si="649"/>
        <v>8931257.5099999998</v>
      </c>
      <c r="AC494" s="175">
        <f t="shared" si="619"/>
        <v>1</v>
      </c>
    </row>
    <row r="495" spans="2:29" ht="15.75" hidden="1" x14ac:dyDescent="0.2">
      <c r="B495" s="81" t="s">
        <v>1515</v>
      </c>
      <c r="C495" s="79" t="s">
        <v>1516</v>
      </c>
      <c r="D495" s="146">
        <f>+D496</f>
        <v>0</v>
      </c>
      <c r="E495" s="187">
        <f>SUM('ADICIONES  2021'!C495:I495)</f>
        <v>500660949.22000003</v>
      </c>
      <c r="F495" s="146">
        <f>+F496</f>
        <v>0</v>
      </c>
      <c r="G495" s="146">
        <f>+G496</f>
        <v>0</v>
      </c>
      <c r="H495" s="146">
        <f>+H496</f>
        <v>0</v>
      </c>
      <c r="I495" s="146">
        <f>+I496</f>
        <v>0</v>
      </c>
      <c r="J495" s="146">
        <f>+J496</f>
        <v>0</v>
      </c>
      <c r="K495" s="128">
        <f t="shared" si="645"/>
        <v>500660949.22000003</v>
      </c>
      <c r="L495" s="146">
        <f t="shared" ref="L495:Q495" si="710">+L496</f>
        <v>0</v>
      </c>
      <c r="M495" s="146">
        <f t="shared" si="710"/>
        <v>0</v>
      </c>
      <c r="N495" s="146">
        <f t="shared" si="710"/>
        <v>0</v>
      </c>
      <c r="O495" s="146">
        <f t="shared" si="710"/>
        <v>0</v>
      </c>
      <c r="P495" s="146">
        <f t="shared" si="710"/>
        <v>500660949.22000003</v>
      </c>
      <c r="Q495" s="411">
        <f t="shared" si="710"/>
        <v>0</v>
      </c>
      <c r="R495" s="128">
        <f t="shared" si="647"/>
        <v>500660949.22000003</v>
      </c>
      <c r="S495" s="146">
        <f t="shared" ref="S495:Z495" si="711">+S496</f>
        <v>0</v>
      </c>
      <c r="T495" s="146">
        <f t="shared" si="711"/>
        <v>0</v>
      </c>
      <c r="U495" s="146">
        <f t="shared" si="711"/>
        <v>0</v>
      </c>
      <c r="V495" s="146">
        <f t="shared" si="711"/>
        <v>0</v>
      </c>
      <c r="W495" s="146">
        <f t="shared" si="711"/>
        <v>0</v>
      </c>
      <c r="X495" s="146">
        <f t="shared" si="711"/>
        <v>0</v>
      </c>
      <c r="Y495" s="146">
        <f t="shared" si="711"/>
        <v>0</v>
      </c>
      <c r="Z495" s="146">
        <f t="shared" si="711"/>
        <v>0</v>
      </c>
      <c r="AA495" s="128">
        <f t="shared" si="701"/>
        <v>0</v>
      </c>
      <c r="AB495" s="128">
        <f t="shared" si="649"/>
        <v>500660949.22000003</v>
      </c>
      <c r="AC495" s="175">
        <f t="shared" si="619"/>
        <v>1</v>
      </c>
    </row>
    <row r="496" spans="2:29" ht="14.25" hidden="1" x14ac:dyDescent="0.2">
      <c r="B496" s="76" t="s">
        <v>1517</v>
      </c>
      <c r="C496" s="77" t="s">
        <v>1516</v>
      </c>
      <c r="D496" s="41"/>
      <c r="E496" s="188">
        <f>SUM('ADICIONES  2021'!C496:I496)</f>
        <v>500660949.22000003</v>
      </c>
      <c r="F496" s="41"/>
      <c r="G496" s="41"/>
      <c r="H496" s="41"/>
      <c r="I496" s="41"/>
      <c r="J496" s="41"/>
      <c r="K496" s="128">
        <f t="shared" si="645"/>
        <v>500660949.22000003</v>
      </c>
      <c r="L496" s="41"/>
      <c r="M496" s="41"/>
      <c r="N496" s="41"/>
      <c r="O496" s="41"/>
      <c r="P496" s="41">
        <v>500660949.22000003</v>
      </c>
      <c r="Q496" s="409"/>
      <c r="R496" s="128">
        <f t="shared" si="647"/>
        <v>500660949.22000003</v>
      </c>
      <c r="S496" s="41"/>
      <c r="T496" s="41"/>
      <c r="U496" s="41"/>
      <c r="V496" s="41"/>
      <c r="W496" s="41"/>
      <c r="X496" s="41"/>
      <c r="Y496" s="41"/>
      <c r="Z496" s="41"/>
      <c r="AA496" s="128">
        <f t="shared" si="701"/>
        <v>0</v>
      </c>
      <c r="AB496" s="128">
        <f t="shared" si="649"/>
        <v>500660949.22000003</v>
      </c>
      <c r="AC496" s="175">
        <f t="shared" si="619"/>
        <v>1</v>
      </c>
    </row>
    <row r="497" spans="2:29" ht="15.75" hidden="1" x14ac:dyDescent="0.2">
      <c r="B497" s="81" t="s">
        <v>1518</v>
      </c>
      <c r="C497" s="79" t="s">
        <v>1519</v>
      </c>
      <c r="D497" s="146">
        <f>+D498</f>
        <v>0</v>
      </c>
      <c r="E497" s="187">
        <f>SUM('ADICIONES  2021'!C497:I497)</f>
        <v>298898995.22000003</v>
      </c>
      <c r="F497" s="146">
        <f>+F498</f>
        <v>0</v>
      </c>
      <c r="G497" s="146">
        <f>+G498</f>
        <v>0</v>
      </c>
      <c r="H497" s="146">
        <f>+H498</f>
        <v>0</v>
      </c>
      <c r="I497" s="146">
        <f>+I498</f>
        <v>0</v>
      </c>
      <c r="J497" s="146">
        <f>+J498</f>
        <v>0</v>
      </c>
      <c r="K497" s="128">
        <f t="shared" si="645"/>
        <v>298898995.22000003</v>
      </c>
      <c r="L497" s="146">
        <f t="shared" ref="L497:Q497" si="712">+L498</f>
        <v>0</v>
      </c>
      <c r="M497" s="146">
        <f t="shared" si="712"/>
        <v>0</v>
      </c>
      <c r="N497" s="146">
        <f t="shared" si="712"/>
        <v>0</v>
      </c>
      <c r="O497" s="146">
        <f t="shared" si="712"/>
        <v>0</v>
      </c>
      <c r="P497" s="146">
        <f t="shared" si="712"/>
        <v>298898995.22000003</v>
      </c>
      <c r="Q497" s="411">
        <f t="shared" si="712"/>
        <v>0</v>
      </c>
      <c r="R497" s="128">
        <f t="shared" si="647"/>
        <v>298898995.22000003</v>
      </c>
      <c r="S497" s="146">
        <f t="shared" ref="S497:Z497" si="713">+S498</f>
        <v>0</v>
      </c>
      <c r="T497" s="146">
        <f t="shared" si="713"/>
        <v>0</v>
      </c>
      <c r="U497" s="146">
        <f t="shared" si="713"/>
        <v>0</v>
      </c>
      <c r="V497" s="146">
        <f t="shared" si="713"/>
        <v>0</v>
      </c>
      <c r="W497" s="146">
        <f t="shared" si="713"/>
        <v>0</v>
      </c>
      <c r="X497" s="146">
        <f t="shared" si="713"/>
        <v>0</v>
      </c>
      <c r="Y497" s="146">
        <f t="shared" si="713"/>
        <v>0</v>
      </c>
      <c r="Z497" s="146">
        <f t="shared" si="713"/>
        <v>0</v>
      </c>
      <c r="AA497" s="128">
        <f t="shared" si="701"/>
        <v>0</v>
      </c>
      <c r="AB497" s="128">
        <f t="shared" si="649"/>
        <v>298898995.22000003</v>
      </c>
      <c r="AC497" s="175">
        <f t="shared" si="619"/>
        <v>1</v>
      </c>
    </row>
    <row r="498" spans="2:29" ht="14.25" hidden="1" x14ac:dyDescent="0.2">
      <c r="B498" s="76" t="s">
        <v>1520</v>
      </c>
      <c r="C498" s="77" t="s">
        <v>1519</v>
      </c>
      <c r="D498" s="41"/>
      <c r="E498" s="188">
        <f>SUM('ADICIONES  2021'!C498:I498)</f>
        <v>298898995.22000003</v>
      </c>
      <c r="F498" s="41"/>
      <c r="G498" s="41"/>
      <c r="H498" s="41"/>
      <c r="I498" s="41"/>
      <c r="J498" s="41"/>
      <c r="K498" s="128">
        <f t="shared" si="645"/>
        <v>298898995.22000003</v>
      </c>
      <c r="L498" s="41"/>
      <c r="M498" s="41"/>
      <c r="N498" s="41"/>
      <c r="O498" s="41"/>
      <c r="P498" s="41">
        <v>298898995.22000003</v>
      </c>
      <c r="Q498" s="409"/>
      <c r="R498" s="128">
        <f t="shared" si="647"/>
        <v>298898995.22000003</v>
      </c>
      <c r="S498" s="41"/>
      <c r="T498" s="41"/>
      <c r="U498" s="41"/>
      <c r="V498" s="41"/>
      <c r="W498" s="41"/>
      <c r="X498" s="41"/>
      <c r="Y498" s="41"/>
      <c r="Z498" s="41"/>
      <c r="AA498" s="128">
        <f t="shared" si="701"/>
        <v>0</v>
      </c>
      <c r="AB498" s="128">
        <f t="shared" si="649"/>
        <v>298898995.22000003</v>
      </c>
      <c r="AC498" s="175">
        <f t="shared" si="619"/>
        <v>1</v>
      </c>
    </row>
    <row r="499" spans="2:29" ht="15.75" hidden="1" x14ac:dyDescent="0.2">
      <c r="B499" s="81" t="s">
        <v>1521</v>
      </c>
      <c r="C499" s="79" t="s">
        <v>1522</v>
      </c>
      <c r="D499" s="146">
        <f>+D500</f>
        <v>0</v>
      </c>
      <c r="E499" s="187">
        <f>SUM('ADICIONES  2021'!C499:I499)</f>
        <v>6785621064.1300001</v>
      </c>
      <c r="F499" s="146">
        <f>+F500</f>
        <v>0</v>
      </c>
      <c r="G499" s="146">
        <f>+G500</f>
        <v>0</v>
      </c>
      <c r="H499" s="146">
        <f>+H500</f>
        <v>0</v>
      </c>
      <c r="I499" s="146">
        <f>+I500</f>
        <v>0</v>
      </c>
      <c r="J499" s="146">
        <f>+J500</f>
        <v>0</v>
      </c>
      <c r="K499" s="128">
        <f t="shared" si="645"/>
        <v>6785621064.1300001</v>
      </c>
      <c r="L499" s="146">
        <f t="shared" ref="L499:Q499" si="714">+L500</f>
        <v>0</v>
      </c>
      <c r="M499" s="146">
        <f t="shared" si="714"/>
        <v>0</v>
      </c>
      <c r="N499" s="146">
        <f t="shared" si="714"/>
        <v>0</v>
      </c>
      <c r="O499" s="146">
        <f t="shared" si="714"/>
        <v>0</v>
      </c>
      <c r="P499" s="146">
        <f t="shared" si="714"/>
        <v>6785621064.1300001</v>
      </c>
      <c r="Q499" s="411">
        <f t="shared" si="714"/>
        <v>0</v>
      </c>
      <c r="R499" s="128">
        <f t="shared" si="647"/>
        <v>6785621064.1300001</v>
      </c>
      <c r="S499" s="146">
        <f t="shared" ref="S499:Z499" si="715">+S500</f>
        <v>0</v>
      </c>
      <c r="T499" s="146">
        <f t="shared" si="715"/>
        <v>0</v>
      </c>
      <c r="U499" s="146">
        <f t="shared" si="715"/>
        <v>0</v>
      </c>
      <c r="V499" s="146">
        <f t="shared" si="715"/>
        <v>0</v>
      </c>
      <c r="W499" s="146">
        <f t="shared" si="715"/>
        <v>0</v>
      </c>
      <c r="X499" s="146">
        <f t="shared" si="715"/>
        <v>0</v>
      </c>
      <c r="Y499" s="146">
        <f t="shared" si="715"/>
        <v>0</v>
      </c>
      <c r="Z499" s="146">
        <f t="shared" si="715"/>
        <v>0</v>
      </c>
      <c r="AA499" s="128">
        <f t="shared" si="701"/>
        <v>0</v>
      </c>
      <c r="AB499" s="128">
        <f t="shared" si="649"/>
        <v>6785621064.1300001</v>
      </c>
      <c r="AC499" s="175">
        <f t="shared" si="619"/>
        <v>1</v>
      </c>
    </row>
    <row r="500" spans="2:29" ht="14.25" hidden="1" x14ac:dyDescent="0.2">
      <c r="B500" s="76" t="s">
        <v>1523</v>
      </c>
      <c r="C500" s="77" t="s">
        <v>1522</v>
      </c>
      <c r="D500" s="41"/>
      <c r="E500" s="188">
        <f>SUM('ADICIONES  2021'!C500:I500)</f>
        <v>6785621064.1300001</v>
      </c>
      <c r="F500" s="41"/>
      <c r="G500" s="41"/>
      <c r="H500" s="41"/>
      <c r="I500" s="41"/>
      <c r="J500" s="41"/>
      <c r="K500" s="128">
        <f t="shared" si="645"/>
        <v>6785621064.1300001</v>
      </c>
      <c r="L500" s="41"/>
      <c r="M500" s="41"/>
      <c r="N500" s="41"/>
      <c r="O500" s="41"/>
      <c r="P500" s="41">
        <v>6785621064.1300001</v>
      </c>
      <c r="Q500" s="409"/>
      <c r="R500" s="128">
        <f t="shared" si="647"/>
        <v>6785621064.1300001</v>
      </c>
      <c r="S500" s="41"/>
      <c r="T500" s="41"/>
      <c r="U500" s="41"/>
      <c r="V500" s="41"/>
      <c r="W500" s="41"/>
      <c r="X500" s="41"/>
      <c r="Y500" s="41"/>
      <c r="Z500" s="41"/>
      <c r="AA500" s="128">
        <f t="shared" si="701"/>
        <v>0</v>
      </c>
      <c r="AB500" s="128">
        <f t="shared" si="649"/>
        <v>6785621064.1300001</v>
      </c>
      <c r="AC500" s="175">
        <f t="shared" si="619"/>
        <v>1</v>
      </c>
    </row>
    <row r="501" spans="2:29" ht="15.75" hidden="1" x14ac:dyDescent="0.2">
      <c r="B501" s="81" t="s">
        <v>1524</v>
      </c>
      <c r="C501" s="79" t="s">
        <v>1525</v>
      </c>
      <c r="D501" s="146">
        <f>+D502</f>
        <v>0</v>
      </c>
      <c r="E501" s="187">
        <f>SUM('ADICIONES  2021'!C501:I501)</f>
        <v>1014585724</v>
      </c>
      <c r="F501" s="146">
        <f>+F502</f>
        <v>0</v>
      </c>
      <c r="G501" s="146">
        <f>+G502</f>
        <v>0</v>
      </c>
      <c r="H501" s="146">
        <f>+H502</f>
        <v>0</v>
      </c>
      <c r="I501" s="146">
        <f>+I502</f>
        <v>0</v>
      </c>
      <c r="J501" s="146">
        <f>+J502</f>
        <v>0</v>
      </c>
      <c r="K501" s="128">
        <f t="shared" si="645"/>
        <v>1014585724</v>
      </c>
      <c r="L501" s="146">
        <f t="shared" ref="L501:Q501" si="716">+L502</f>
        <v>0</v>
      </c>
      <c r="M501" s="146">
        <f t="shared" si="716"/>
        <v>0</v>
      </c>
      <c r="N501" s="146">
        <f t="shared" si="716"/>
        <v>0</v>
      </c>
      <c r="O501" s="146">
        <f t="shared" si="716"/>
        <v>0</v>
      </c>
      <c r="P501" s="146">
        <f t="shared" si="716"/>
        <v>1014585724</v>
      </c>
      <c r="Q501" s="411">
        <f t="shared" si="716"/>
        <v>0</v>
      </c>
      <c r="R501" s="128">
        <f t="shared" si="647"/>
        <v>1014585724</v>
      </c>
      <c r="S501" s="146">
        <f t="shared" ref="S501:Z501" si="717">+S502</f>
        <v>0</v>
      </c>
      <c r="T501" s="146">
        <f t="shared" si="717"/>
        <v>0</v>
      </c>
      <c r="U501" s="146">
        <f t="shared" si="717"/>
        <v>0</v>
      </c>
      <c r="V501" s="146">
        <f t="shared" si="717"/>
        <v>0</v>
      </c>
      <c r="W501" s="146">
        <f t="shared" si="717"/>
        <v>0</v>
      </c>
      <c r="X501" s="146">
        <f t="shared" si="717"/>
        <v>0</v>
      </c>
      <c r="Y501" s="146">
        <f t="shared" si="717"/>
        <v>0</v>
      </c>
      <c r="Z501" s="146">
        <f t="shared" si="717"/>
        <v>0</v>
      </c>
      <c r="AA501" s="128">
        <f t="shared" si="701"/>
        <v>0</v>
      </c>
      <c r="AB501" s="128">
        <f t="shared" si="649"/>
        <v>1014585724</v>
      </c>
      <c r="AC501" s="175">
        <f t="shared" si="619"/>
        <v>1</v>
      </c>
    </row>
    <row r="502" spans="2:29" ht="14.25" hidden="1" x14ac:dyDescent="0.2">
      <c r="B502" s="76" t="s">
        <v>1526</v>
      </c>
      <c r="C502" s="77" t="s">
        <v>1525</v>
      </c>
      <c r="D502" s="41"/>
      <c r="E502" s="188">
        <f>SUM('ADICIONES  2021'!C502:I502)</f>
        <v>1014585724</v>
      </c>
      <c r="F502" s="41"/>
      <c r="G502" s="41"/>
      <c r="H502" s="41"/>
      <c r="I502" s="41"/>
      <c r="J502" s="41"/>
      <c r="K502" s="128">
        <f t="shared" si="645"/>
        <v>1014585724</v>
      </c>
      <c r="L502" s="41"/>
      <c r="M502" s="41"/>
      <c r="N502" s="41"/>
      <c r="O502" s="41"/>
      <c r="P502" s="41">
        <v>1014585724</v>
      </c>
      <c r="Q502" s="409"/>
      <c r="R502" s="128">
        <f t="shared" si="647"/>
        <v>1014585724</v>
      </c>
      <c r="S502" s="41"/>
      <c r="T502" s="41"/>
      <c r="U502" s="41"/>
      <c r="V502" s="41"/>
      <c r="W502" s="41"/>
      <c r="X502" s="41"/>
      <c r="Y502" s="41"/>
      <c r="Z502" s="41"/>
      <c r="AA502" s="128">
        <f t="shared" si="701"/>
        <v>0</v>
      </c>
      <c r="AB502" s="128">
        <f t="shared" si="649"/>
        <v>1014585724</v>
      </c>
      <c r="AC502" s="175">
        <f t="shared" si="619"/>
        <v>1</v>
      </c>
    </row>
    <row r="503" spans="2:29" ht="15.75" hidden="1" x14ac:dyDescent="0.2">
      <c r="B503" s="81" t="s">
        <v>1527</v>
      </c>
      <c r="C503" s="79" t="s">
        <v>1528</v>
      </c>
      <c r="D503" s="146">
        <f>+D504</f>
        <v>0</v>
      </c>
      <c r="E503" s="187">
        <f>SUM('ADICIONES  2021'!C503:I503)</f>
        <v>1217590140.95</v>
      </c>
      <c r="F503" s="146">
        <f>+F504</f>
        <v>0</v>
      </c>
      <c r="G503" s="146">
        <f>+G504</f>
        <v>0</v>
      </c>
      <c r="H503" s="146">
        <f>+H504</f>
        <v>0</v>
      </c>
      <c r="I503" s="146">
        <f>+I504</f>
        <v>0</v>
      </c>
      <c r="J503" s="146">
        <f>+J504</f>
        <v>0</v>
      </c>
      <c r="K503" s="128">
        <f t="shared" si="645"/>
        <v>1217590140.95</v>
      </c>
      <c r="L503" s="146">
        <f t="shared" ref="L503:Q503" si="718">+L504</f>
        <v>0</v>
      </c>
      <c r="M503" s="146">
        <f t="shared" si="718"/>
        <v>0</v>
      </c>
      <c r="N503" s="146">
        <f t="shared" si="718"/>
        <v>0</v>
      </c>
      <c r="O503" s="146">
        <f t="shared" si="718"/>
        <v>0</v>
      </c>
      <c r="P503" s="146">
        <f t="shared" si="718"/>
        <v>1217590140.95</v>
      </c>
      <c r="Q503" s="411">
        <f t="shared" si="718"/>
        <v>0</v>
      </c>
      <c r="R503" s="128">
        <f t="shared" si="647"/>
        <v>1217590140.95</v>
      </c>
      <c r="S503" s="146">
        <f t="shared" ref="S503:Z503" si="719">+S504</f>
        <v>0</v>
      </c>
      <c r="T503" s="146">
        <f t="shared" si="719"/>
        <v>0</v>
      </c>
      <c r="U503" s="146">
        <f t="shared" si="719"/>
        <v>0</v>
      </c>
      <c r="V503" s="146">
        <f t="shared" si="719"/>
        <v>0</v>
      </c>
      <c r="W503" s="146">
        <f t="shared" si="719"/>
        <v>0</v>
      </c>
      <c r="X503" s="146">
        <f t="shared" si="719"/>
        <v>0</v>
      </c>
      <c r="Y503" s="146">
        <f t="shared" si="719"/>
        <v>0</v>
      </c>
      <c r="Z503" s="146">
        <f t="shared" si="719"/>
        <v>0</v>
      </c>
      <c r="AA503" s="128">
        <f t="shared" si="701"/>
        <v>0</v>
      </c>
      <c r="AB503" s="128">
        <f t="shared" si="649"/>
        <v>1217590140.95</v>
      </c>
      <c r="AC503" s="175">
        <f t="shared" si="619"/>
        <v>1</v>
      </c>
    </row>
    <row r="504" spans="2:29" ht="14.25" hidden="1" x14ac:dyDescent="0.2">
      <c r="B504" s="76" t="s">
        <v>1529</v>
      </c>
      <c r="C504" s="77" t="s">
        <v>1528</v>
      </c>
      <c r="D504" s="41"/>
      <c r="E504" s="188">
        <f>SUM('ADICIONES  2021'!C504:I504)</f>
        <v>1217590140.95</v>
      </c>
      <c r="F504" s="41"/>
      <c r="G504" s="41"/>
      <c r="H504" s="41"/>
      <c r="I504" s="41"/>
      <c r="J504" s="41"/>
      <c r="K504" s="128">
        <f t="shared" si="645"/>
        <v>1217590140.95</v>
      </c>
      <c r="L504" s="41"/>
      <c r="M504" s="41"/>
      <c r="N504" s="41"/>
      <c r="O504" s="41"/>
      <c r="P504" s="41">
        <v>1217590140.95</v>
      </c>
      <c r="Q504" s="409"/>
      <c r="R504" s="128">
        <f t="shared" si="647"/>
        <v>1217590140.95</v>
      </c>
      <c r="S504" s="41"/>
      <c r="T504" s="41"/>
      <c r="U504" s="41"/>
      <c r="V504" s="41"/>
      <c r="W504" s="41"/>
      <c r="X504" s="41"/>
      <c r="Y504" s="41"/>
      <c r="Z504" s="41"/>
      <c r="AA504" s="128">
        <f t="shared" si="701"/>
        <v>0</v>
      </c>
      <c r="AB504" s="128">
        <f t="shared" si="649"/>
        <v>1217590140.95</v>
      </c>
      <c r="AC504" s="175">
        <f t="shared" si="619"/>
        <v>1</v>
      </c>
    </row>
    <row r="505" spans="2:29" ht="15.75" hidden="1" x14ac:dyDescent="0.2">
      <c r="B505" s="81" t="s">
        <v>1530</v>
      </c>
      <c r="C505" s="79" t="s">
        <v>1531</v>
      </c>
      <c r="D505" s="146">
        <f>+D506</f>
        <v>0</v>
      </c>
      <c r="E505" s="187">
        <f>SUM('ADICIONES  2021'!C505:I505)</f>
        <v>9066503659.1900005</v>
      </c>
      <c r="F505" s="146">
        <f>+F506</f>
        <v>0</v>
      </c>
      <c r="G505" s="146">
        <f>+G506</f>
        <v>0</v>
      </c>
      <c r="H505" s="146">
        <f>+H506</f>
        <v>0</v>
      </c>
      <c r="I505" s="146">
        <f>+I506</f>
        <v>0</v>
      </c>
      <c r="J505" s="146">
        <f>+J506</f>
        <v>0</v>
      </c>
      <c r="K505" s="128">
        <f t="shared" si="645"/>
        <v>9066503659.1900005</v>
      </c>
      <c r="L505" s="146">
        <f t="shared" ref="L505:Q505" si="720">+L506</f>
        <v>0</v>
      </c>
      <c r="M505" s="146">
        <f t="shared" si="720"/>
        <v>0</v>
      </c>
      <c r="N505" s="146">
        <f t="shared" si="720"/>
        <v>0</v>
      </c>
      <c r="O505" s="146">
        <f t="shared" si="720"/>
        <v>0</v>
      </c>
      <c r="P505" s="146">
        <f t="shared" si="720"/>
        <v>9066503659.1900005</v>
      </c>
      <c r="Q505" s="411">
        <f t="shared" si="720"/>
        <v>0</v>
      </c>
      <c r="R505" s="128">
        <f t="shared" si="647"/>
        <v>9066503659.1900005</v>
      </c>
      <c r="S505" s="146">
        <f t="shared" ref="S505:Z505" si="721">+S506</f>
        <v>0</v>
      </c>
      <c r="T505" s="146">
        <f t="shared" si="721"/>
        <v>0</v>
      </c>
      <c r="U505" s="146">
        <f t="shared" si="721"/>
        <v>0</v>
      </c>
      <c r="V505" s="146">
        <f t="shared" si="721"/>
        <v>0</v>
      </c>
      <c r="W505" s="146">
        <f t="shared" si="721"/>
        <v>0</v>
      </c>
      <c r="X505" s="146">
        <f t="shared" si="721"/>
        <v>0</v>
      </c>
      <c r="Y505" s="146">
        <f t="shared" si="721"/>
        <v>0</v>
      </c>
      <c r="Z505" s="146">
        <f t="shared" si="721"/>
        <v>0</v>
      </c>
      <c r="AA505" s="128">
        <f t="shared" si="701"/>
        <v>0</v>
      </c>
      <c r="AB505" s="128">
        <f t="shared" si="649"/>
        <v>9066503659.1900005</v>
      </c>
      <c r="AC505" s="175">
        <f t="shared" si="619"/>
        <v>1</v>
      </c>
    </row>
    <row r="506" spans="2:29" ht="14.25" hidden="1" x14ac:dyDescent="0.2">
      <c r="B506" s="76" t="s">
        <v>1532</v>
      </c>
      <c r="C506" s="77" t="s">
        <v>1531</v>
      </c>
      <c r="D506" s="41"/>
      <c r="E506" s="188">
        <f>SUM('ADICIONES  2021'!C506:I506)</f>
        <v>9066503659.1900005</v>
      </c>
      <c r="F506" s="41"/>
      <c r="G506" s="41"/>
      <c r="H506" s="41"/>
      <c r="I506" s="41"/>
      <c r="J506" s="41"/>
      <c r="K506" s="128">
        <f t="shared" si="645"/>
        <v>9066503659.1900005</v>
      </c>
      <c r="L506" s="41"/>
      <c r="M506" s="41"/>
      <c r="N506" s="41"/>
      <c r="O506" s="41"/>
      <c r="P506" s="41">
        <v>9066503659.1900005</v>
      </c>
      <c r="Q506" s="409"/>
      <c r="R506" s="128">
        <f t="shared" si="647"/>
        <v>9066503659.1900005</v>
      </c>
      <c r="S506" s="41"/>
      <c r="T506" s="41"/>
      <c r="U506" s="41"/>
      <c r="V506" s="41"/>
      <c r="W506" s="41"/>
      <c r="X506" s="41"/>
      <c r="Y506" s="41"/>
      <c r="Z506" s="41"/>
      <c r="AA506" s="128">
        <f t="shared" si="701"/>
        <v>0</v>
      </c>
      <c r="AB506" s="128">
        <f t="shared" si="649"/>
        <v>9066503659.1900005</v>
      </c>
      <c r="AC506" s="175">
        <f t="shared" si="619"/>
        <v>1</v>
      </c>
    </row>
    <row r="507" spans="2:29" ht="15.75" hidden="1" x14ac:dyDescent="0.2">
      <c r="B507" s="81" t="s">
        <v>1533</v>
      </c>
      <c r="C507" s="79" t="s">
        <v>1534</v>
      </c>
      <c r="D507" s="146">
        <f>+D508</f>
        <v>0</v>
      </c>
      <c r="E507" s="187">
        <f>SUM('ADICIONES  2021'!C507:I507)</f>
        <v>4189115912</v>
      </c>
      <c r="F507" s="146">
        <f>+F508</f>
        <v>0</v>
      </c>
      <c r="G507" s="146">
        <f>+G508</f>
        <v>0</v>
      </c>
      <c r="H507" s="146">
        <f>+H508</f>
        <v>0</v>
      </c>
      <c r="I507" s="146">
        <f>+I508</f>
        <v>0</v>
      </c>
      <c r="J507" s="146">
        <f>+J508</f>
        <v>0</v>
      </c>
      <c r="K507" s="128">
        <f t="shared" si="645"/>
        <v>4189115912</v>
      </c>
      <c r="L507" s="146">
        <f t="shared" ref="L507:Q507" si="722">+L508</f>
        <v>0</v>
      </c>
      <c r="M507" s="146">
        <f t="shared" si="722"/>
        <v>0</v>
      </c>
      <c r="N507" s="146">
        <f t="shared" si="722"/>
        <v>0</v>
      </c>
      <c r="O507" s="146">
        <f t="shared" si="722"/>
        <v>0</v>
      </c>
      <c r="P507" s="146">
        <f t="shared" si="722"/>
        <v>4189115912</v>
      </c>
      <c r="Q507" s="411">
        <f t="shared" si="722"/>
        <v>0</v>
      </c>
      <c r="R507" s="128">
        <f t="shared" si="647"/>
        <v>4189115912</v>
      </c>
      <c r="S507" s="146">
        <f t="shared" ref="S507:Z507" si="723">+S508</f>
        <v>0</v>
      </c>
      <c r="T507" s="146">
        <f t="shared" si="723"/>
        <v>0</v>
      </c>
      <c r="U507" s="146">
        <f t="shared" si="723"/>
        <v>0</v>
      </c>
      <c r="V507" s="146">
        <f t="shared" si="723"/>
        <v>0</v>
      </c>
      <c r="W507" s="146">
        <f t="shared" si="723"/>
        <v>0</v>
      </c>
      <c r="X507" s="146">
        <f t="shared" si="723"/>
        <v>0</v>
      </c>
      <c r="Y507" s="146">
        <f t="shared" si="723"/>
        <v>0</v>
      </c>
      <c r="Z507" s="146">
        <f t="shared" si="723"/>
        <v>0</v>
      </c>
      <c r="AA507" s="128">
        <f t="shared" si="701"/>
        <v>0</v>
      </c>
      <c r="AB507" s="128">
        <f t="shared" si="649"/>
        <v>4189115912</v>
      </c>
      <c r="AC507" s="175">
        <f t="shared" si="619"/>
        <v>1</v>
      </c>
    </row>
    <row r="508" spans="2:29" ht="14.25" hidden="1" x14ac:dyDescent="0.2">
      <c r="B508" s="76" t="s">
        <v>1535</v>
      </c>
      <c r="C508" s="77" t="s">
        <v>1534</v>
      </c>
      <c r="D508" s="41"/>
      <c r="E508" s="188">
        <f>SUM('ADICIONES  2021'!C508:I508)</f>
        <v>4189115912</v>
      </c>
      <c r="F508" s="41"/>
      <c r="G508" s="41"/>
      <c r="H508" s="41"/>
      <c r="I508" s="41"/>
      <c r="J508" s="41"/>
      <c r="K508" s="128">
        <f t="shared" si="645"/>
        <v>4189115912</v>
      </c>
      <c r="L508" s="41"/>
      <c r="M508" s="41"/>
      <c r="N508" s="41"/>
      <c r="O508" s="41"/>
      <c r="P508" s="41">
        <v>4189115912</v>
      </c>
      <c r="Q508" s="409"/>
      <c r="R508" s="128">
        <f t="shared" si="647"/>
        <v>4189115912</v>
      </c>
      <c r="S508" s="41"/>
      <c r="T508" s="41"/>
      <c r="U508" s="41"/>
      <c r="V508" s="41"/>
      <c r="W508" s="41"/>
      <c r="X508" s="41"/>
      <c r="Y508" s="41"/>
      <c r="Z508" s="41"/>
      <c r="AA508" s="128">
        <f t="shared" si="701"/>
        <v>0</v>
      </c>
      <c r="AB508" s="128">
        <f t="shared" si="649"/>
        <v>4189115912</v>
      </c>
      <c r="AC508" s="175">
        <f t="shared" si="619"/>
        <v>1</v>
      </c>
    </row>
    <row r="509" spans="2:29" ht="47.25" hidden="1" x14ac:dyDescent="0.2">
      <c r="B509" s="81" t="s">
        <v>1536</v>
      </c>
      <c r="C509" s="79" t="s">
        <v>1537</v>
      </c>
      <c r="D509" s="146">
        <f>+D510</f>
        <v>0</v>
      </c>
      <c r="E509" s="187">
        <f>SUM('ADICIONES  2021'!C509:I509)</f>
        <v>3483193805.9099998</v>
      </c>
      <c r="F509" s="146">
        <f>+F510</f>
        <v>0</v>
      </c>
      <c r="G509" s="146">
        <f>+G510</f>
        <v>0</v>
      </c>
      <c r="H509" s="146">
        <f>+H510</f>
        <v>0</v>
      </c>
      <c r="I509" s="146">
        <f>+I510</f>
        <v>0</v>
      </c>
      <c r="J509" s="146">
        <f>+J510</f>
        <v>0</v>
      </c>
      <c r="K509" s="128">
        <f t="shared" si="645"/>
        <v>3483193805.9099998</v>
      </c>
      <c r="L509" s="146">
        <f t="shared" ref="L509:Q509" si="724">+L510</f>
        <v>0</v>
      </c>
      <c r="M509" s="146">
        <f t="shared" si="724"/>
        <v>0</v>
      </c>
      <c r="N509" s="146">
        <f t="shared" si="724"/>
        <v>0</v>
      </c>
      <c r="O509" s="146">
        <f t="shared" si="724"/>
        <v>0</v>
      </c>
      <c r="P509" s="146">
        <f t="shared" si="724"/>
        <v>3483193805.9099998</v>
      </c>
      <c r="Q509" s="411">
        <f t="shared" si="724"/>
        <v>0</v>
      </c>
      <c r="R509" s="128">
        <f t="shared" si="647"/>
        <v>3483193805.9099998</v>
      </c>
      <c r="S509" s="146">
        <f t="shared" ref="S509:Z509" si="725">+S510</f>
        <v>0</v>
      </c>
      <c r="T509" s="146">
        <f t="shared" si="725"/>
        <v>0</v>
      </c>
      <c r="U509" s="146">
        <f t="shared" si="725"/>
        <v>0</v>
      </c>
      <c r="V509" s="146">
        <f t="shared" si="725"/>
        <v>0</v>
      </c>
      <c r="W509" s="146">
        <f t="shared" si="725"/>
        <v>0</v>
      </c>
      <c r="X509" s="146">
        <f t="shared" si="725"/>
        <v>0</v>
      </c>
      <c r="Y509" s="146">
        <f t="shared" si="725"/>
        <v>0</v>
      </c>
      <c r="Z509" s="146">
        <f t="shared" si="725"/>
        <v>0</v>
      </c>
      <c r="AA509" s="128">
        <f t="shared" si="701"/>
        <v>0</v>
      </c>
      <c r="AB509" s="128">
        <f t="shared" si="649"/>
        <v>3483193805.9099998</v>
      </c>
      <c r="AC509" s="175">
        <f t="shared" si="619"/>
        <v>1</v>
      </c>
    </row>
    <row r="510" spans="2:29" ht="42.75" hidden="1" x14ac:dyDescent="0.2">
      <c r="B510" s="76" t="s">
        <v>1538</v>
      </c>
      <c r="C510" s="77" t="s">
        <v>1539</v>
      </c>
      <c r="D510" s="41"/>
      <c r="E510" s="188">
        <f>SUM('ADICIONES  2021'!C510:I510)</f>
        <v>3483193805.9099998</v>
      </c>
      <c r="F510" s="41"/>
      <c r="G510" s="41"/>
      <c r="H510" s="41"/>
      <c r="I510" s="41"/>
      <c r="J510" s="41"/>
      <c r="K510" s="128">
        <f t="shared" si="645"/>
        <v>3483193805.9099998</v>
      </c>
      <c r="L510" s="41"/>
      <c r="M510" s="41"/>
      <c r="N510" s="41"/>
      <c r="O510" s="41"/>
      <c r="P510" s="41">
        <v>3483193805.9099998</v>
      </c>
      <c r="Q510" s="409"/>
      <c r="R510" s="128">
        <f t="shared" si="647"/>
        <v>3483193805.9099998</v>
      </c>
      <c r="S510" s="41"/>
      <c r="T510" s="41"/>
      <c r="U510" s="41"/>
      <c r="V510" s="41"/>
      <c r="W510" s="41"/>
      <c r="X510" s="41"/>
      <c r="Y510" s="41"/>
      <c r="Z510" s="41"/>
      <c r="AA510" s="128">
        <f t="shared" si="701"/>
        <v>0</v>
      </c>
      <c r="AB510" s="128">
        <f t="shared" si="649"/>
        <v>3483193805.9099998</v>
      </c>
      <c r="AC510" s="175">
        <f t="shared" si="619"/>
        <v>1</v>
      </c>
    </row>
    <row r="511" spans="2:29" ht="31.5" hidden="1" x14ac:dyDescent="0.2">
      <c r="B511" s="81" t="s">
        <v>1540</v>
      </c>
      <c r="C511" s="79" t="s">
        <v>1541</v>
      </c>
      <c r="D511" s="146">
        <f>+D512</f>
        <v>0</v>
      </c>
      <c r="E511" s="187">
        <f>SUM('ADICIONES  2021'!C511:I511)</f>
        <v>2029741990.6800001</v>
      </c>
      <c r="F511" s="146">
        <f>+F512</f>
        <v>0</v>
      </c>
      <c r="G511" s="146">
        <f>+G512</f>
        <v>0</v>
      </c>
      <c r="H511" s="146">
        <f>+H512</f>
        <v>0</v>
      </c>
      <c r="I511" s="146">
        <f>+I512</f>
        <v>0</v>
      </c>
      <c r="J511" s="146">
        <f>+J512</f>
        <v>0</v>
      </c>
      <c r="K511" s="128">
        <f t="shared" si="645"/>
        <v>2029741990.6800001</v>
      </c>
      <c r="L511" s="146">
        <f t="shared" ref="L511:Q511" si="726">+L512</f>
        <v>0</v>
      </c>
      <c r="M511" s="146">
        <f t="shared" si="726"/>
        <v>0</v>
      </c>
      <c r="N511" s="146">
        <f t="shared" si="726"/>
        <v>0</v>
      </c>
      <c r="O511" s="146">
        <f t="shared" si="726"/>
        <v>0</v>
      </c>
      <c r="P511" s="146">
        <f t="shared" si="726"/>
        <v>2029741990.6800001</v>
      </c>
      <c r="Q511" s="411">
        <f t="shared" si="726"/>
        <v>0</v>
      </c>
      <c r="R511" s="128">
        <f t="shared" si="647"/>
        <v>2029741990.6800001</v>
      </c>
      <c r="S511" s="146">
        <f t="shared" ref="S511:Z511" si="727">+S512</f>
        <v>0</v>
      </c>
      <c r="T511" s="146">
        <f t="shared" si="727"/>
        <v>0</v>
      </c>
      <c r="U511" s="146">
        <f t="shared" si="727"/>
        <v>0</v>
      </c>
      <c r="V511" s="146">
        <f t="shared" si="727"/>
        <v>0</v>
      </c>
      <c r="W511" s="146">
        <f t="shared" si="727"/>
        <v>0</v>
      </c>
      <c r="X511" s="146">
        <f t="shared" si="727"/>
        <v>0</v>
      </c>
      <c r="Y511" s="146">
        <f t="shared" si="727"/>
        <v>0</v>
      </c>
      <c r="Z511" s="146">
        <f t="shared" si="727"/>
        <v>0</v>
      </c>
      <c r="AA511" s="128">
        <f t="shared" si="701"/>
        <v>0</v>
      </c>
      <c r="AB511" s="128">
        <f t="shared" si="649"/>
        <v>2029741990.6800001</v>
      </c>
      <c r="AC511" s="175">
        <f t="shared" si="619"/>
        <v>1</v>
      </c>
    </row>
    <row r="512" spans="2:29" ht="28.5" hidden="1" x14ac:dyDescent="0.2">
      <c r="B512" s="76" t="s">
        <v>1542</v>
      </c>
      <c r="C512" s="77" t="s">
        <v>1541</v>
      </c>
      <c r="D512" s="41"/>
      <c r="E512" s="188">
        <f>SUM('ADICIONES  2021'!C512:I512)</f>
        <v>2029741990.6800001</v>
      </c>
      <c r="F512" s="41"/>
      <c r="G512" s="41"/>
      <c r="H512" s="41"/>
      <c r="I512" s="41"/>
      <c r="J512" s="41"/>
      <c r="K512" s="128">
        <f t="shared" si="645"/>
        <v>2029741990.6800001</v>
      </c>
      <c r="L512" s="41"/>
      <c r="M512" s="41"/>
      <c r="N512" s="41"/>
      <c r="O512" s="41"/>
      <c r="P512" s="41">
        <v>2029741990.6800001</v>
      </c>
      <c r="Q512" s="409"/>
      <c r="R512" s="128">
        <f t="shared" si="647"/>
        <v>2029741990.6800001</v>
      </c>
      <c r="S512" s="41"/>
      <c r="T512" s="41"/>
      <c r="U512" s="41"/>
      <c r="V512" s="41"/>
      <c r="W512" s="41"/>
      <c r="X512" s="41"/>
      <c r="Y512" s="41"/>
      <c r="Z512" s="41"/>
      <c r="AA512" s="128">
        <f t="shared" si="701"/>
        <v>0</v>
      </c>
      <c r="AB512" s="128">
        <f t="shared" si="649"/>
        <v>2029741990.6800001</v>
      </c>
      <c r="AC512" s="175">
        <f t="shared" si="619"/>
        <v>1</v>
      </c>
    </row>
    <row r="513" spans="2:29" ht="15.75" hidden="1" x14ac:dyDescent="0.2">
      <c r="B513" s="81" t="s">
        <v>1543</v>
      </c>
      <c r="C513" s="79" t="s">
        <v>1544</v>
      </c>
      <c r="D513" s="146">
        <f>+D514</f>
        <v>0</v>
      </c>
      <c r="E513" s="187">
        <f>SUM('ADICIONES  2021'!C513:I513)</f>
        <v>1500000000</v>
      </c>
      <c r="F513" s="146">
        <f>+F514</f>
        <v>0</v>
      </c>
      <c r="G513" s="146">
        <f>+G514</f>
        <v>0</v>
      </c>
      <c r="H513" s="146">
        <f>+H514</f>
        <v>0</v>
      </c>
      <c r="I513" s="146">
        <f>+I514</f>
        <v>0</v>
      </c>
      <c r="J513" s="146">
        <f>+J514</f>
        <v>0</v>
      </c>
      <c r="K513" s="128">
        <f t="shared" si="645"/>
        <v>1500000000</v>
      </c>
      <c r="L513" s="146">
        <f t="shared" ref="L513:Q513" si="728">+L514</f>
        <v>0</v>
      </c>
      <c r="M513" s="146">
        <f t="shared" si="728"/>
        <v>0</v>
      </c>
      <c r="N513" s="146">
        <f t="shared" si="728"/>
        <v>0</v>
      </c>
      <c r="O513" s="146">
        <f t="shared" si="728"/>
        <v>0</v>
      </c>
      <c r="P513" s="146">
        <f t="shared" si="728"/>
        <v>1500000000</v>
      </c>
      <c r="Q513" s="411">
        <f t="shared" si="728"/>
        <v>0</v>
      </c>
      <c r="R513" s="128">
        <f t="shared" si="647"/>
        <v>1500000000</v>
      </c>
      <c r="S513" s="146">
        <f t="shared" ref="S513:Z513" si="729">+S514</f>
        <v>0</v>
      </c>
      <c r="T513" s="146">
        <f t="shared" si="729"/>
        <v>0</v>
      </c>
      <c r="U513" s="146">
        <f t="shared" si="729"/>
        <v>0</v>
      </c>
      <c r="V513" s="146">
        <f t="shared" si="729"/>
        <v>0</v>
      </c>
      <c r="W513" s="146">
        <f t="shared" si="729"/>
        <v>0</v>
      </c>
      <c r="X513" s="146">
        <f t="shared" si="729"/>
        <v>0</v>
      </c>
      <c r="Y513" s="146">
        <f t="shared" si="729"/>
        <v>0</v>
      </c>
      <c r="Z513" s="146">
        <f t="shared" si="729"/>
        <v>0</v>
      </c>
      <c r="AA513" s="128">
        <f t="shared" si="701"/>
        <v>0</v>
      </c>
      <c r="AB513" s="128">
        <f t="shared" si="649"/>
        <v>1500000000</v>
      </c>
      <c r="AC513" s="175">
        <f t="shared" si="619"/>
        <v>1</v>
      </c>
    </row>
    <row r="514" spans="2:29" ht="14.25" hidden="1" x14ac:dyDescent="0.2">
      <c r="B514" s="76" t="s">
        <v>1545</v>
      </c>
      <c r="C514" s="77" t="s">
        <v>1544</v>
      </c>
      <c r="D514" s="41"/>
      <c r="E514" s="188">
        <f>SUM('ADICIONES  2021'!C514:I514)</f>
        <v>1500000000</v>
      </c>
      <c r="F514" s="41"/>
      <c r="G514" s="41"/>
      <c r="H514" s="41"/>
      <c r="I514" s="41"/>
      <c r="J514" s="41"/>
      <c r="K514" s="128">
        <f t="shared" si="645"/>
        <v>1500000000</v>
      </c>
      <c r="L514" s="41"/>
      <c r="M514" s="41"/>
      <c r="N514" s="41"/>
      <c r="O514" s="41"/>
      <c r="P514" s="41">
        <v>1500000000</v>
      </c>
      <c r="Q514" s="409"/>
      <c r="R514" s="128">
        <f t="shared" si="647"/>
        <v>1500000000</v>
      </c>
      <c r="S514" s="41"/>
      <c r="T514" s="41"/>
      <c r="U514" s="41"/>
      <c r="V514" s="41"/>
      <c r="W514" s="41"/>
      <c r="X514" s="41"/>
      <c r="Y514" s="41"/>
      <c r="Z514" s="41"/>
      <c r="AA514" s="128">
        <f t="shared" si="701"/>
        <v>0</v>
      </c>
      <c r="AB514" s="128">
        <f t="shared" si="649"/>
        <v>1500000000</v>
      </c>
      <c r="AC514" s="175">
        <f t="shared" si="619"/>
        <v>1</v>
      </c>
    </row>
    <row r="515" spans="2:29" ht="15.75" hidden="1" x14ac:dyDescent="0.2">
      <c r="B515" s="81" t="s">
        <v>1546</v>
      </c>
      <c r="C515" s="79" t="s">
        <v>1547</v>
      </c>
      <c r="D515" s="146">
        <f>+D516</f>
        <v>0</v>
      </c>
      <c r="E515" s="187">
        <f>SUM('ADICIONES  2021'!C515:I515)</f>
        <v>1500000000</v>
      </c>
      <c r="F515" s="146">
        <f>+F516</f>
        <v>0</v>
      </c>
      <c r="G515" s="146">
        <f>+G516</f>
        <v>0</v>
      </c>
      <c r="H515" s="146">
        <f>+H516</f>
        <v>0</v>
      </c>
      <c r="I515" s="146">
        <f>+I516</f>
        <v>0</v>
      </c>
      <c r="J515" s="146">
        <f>+J516</f>
        <v>0</v>
      </c>
      <c r="K515" s="128">
        <f t="shared" si="645"/>
        <v>1500000000</v>
      </c>
      <c r="L515" s="146">
        <f t="shared" ref="L515:Q515" si="730">+L516</f>
        <v>0</v>
      </c>
      <c r="M515" s="146">
        <f t="shared" si="730"/>
        <v>0</v>
      </c>
      <c r="N515" s="146">
        <f t="shared" si="730"/>
        <v>0</v>
      </c>
      <c r="O515" s="146">
        <f t="shared" si="730"/>
        <v>0</v>
      </c>
      <c r="P515" s="146">
        <f t="shared" si="730"/>
        <v>1500000000</v>
      </c>
      <c r="Q515" s="411">
        <f t="shared" si="730"/>
        <v>0</v>
      </c>
      <c r="R515" s="128">
        <f t="shared" si="647"/>
        <v>1500000000</v>
      </c>
      <c r="S515" s="146">
        <f t="shared" ref="S515:Z515" si="731">+S516</f>
        <v>0</v>
      </c>
      <c r="T515" s="146">
        <f t="shared" si="731"/>
        <v>0</v>
      </c>
      <c r="U515" s="146">
        <f t="shared" si="731"/>
        <v>0</v>
      </c>
      <c r="V515" s="146">
        <f t="shared" si="731"/>
        <v>0</v>
      </c>
      <c r="W515" s="146">
        <f t="shared" si="731"/>
        <v>0</v>
      </c>
      <c r="X515" s="146">
        <f t="shared" si="731"/>
        <v>0</v>
      </c>
      <c r="Y515" s="146">
        <f t="shared" si="731"/>
        <v>0</v>
      </c>
      <c r="Z515" s="146">
        <f t="shared" si="731"/>
        <v>0</v>
      </c>
      <c r="AA515" s="128">
        <f t="shared" si="701"/>
        <v>0</v>
      </c>
      <c r="AB515" s="128">
        <f t="shared" si="649"/>
        <v>1500000000</v>
      </c>
      <c r="AC515" s="175">
        <f t="shared" si="619"/>
        <v>1</v>
      </c>
    </row>
    <row r="516" spans="2:29" ht="14.25" hidden="1" x14ac:dyDescent="0.2">
      <c r="B516" s="76" t="s">
        <v>1548</v>
      </c>
      <c r="C516" s="77" t="s">
        <v>1547</v>
      </c>
      <c r="D516" s="41"/>
      <c r="E516" s="188">
        <f>SUM('ADICIONES  2021'!C516:I516)</f>
        <v>1500000000</v>
      </c>
      <c r="F516" s="41"/>
      <c r="G516" s="41"/>
      <c r="H516" s="41"/>
      <c r="I516" s="41"/>
      <c r="J516" s="41"/>
      <c r="K516" s="128">
        <f t="shared" si="645"/>
        <v>1500000000</v>
      </c>
      <c r="L516" s="41"/>
      <c r="M516" s="41"/>
      <c r="N516" s="41"/>
      <c r="O516" s="41"/>
      <c r="P516" s="41">
        <v>1500000000</v>
      </c>
      <c r="Q516" s="409"/>
      <c r="R516" s="128">
        <f t="shared" si="647"/>
        <v>1500000000</v>
      </c>
      <c r="S516" s="41"/>
      <c r="T516" s="41"/>
      <c r="U516" s="41"/>
      <c r="V516" s="41"/>
      <c r="W516" s="41"/>
      <c r="X516" s="41"/>
      <c r="Y516" s="41"/>
      <c r="Z516" s="41"/>
      <c r="AA516" s="128">
        <f t="shared" si="701"/>
        <v>0</v>
      </c>
      <c r="AB516" s="128">
        <f t="shared" si="649"/>
        <v>1500000000</v>
      </c>
      <c r="AC516" s="175">
        <f t="shared" si="619"/>
        <v>1</v>
      </c>
    </row>
    <row r="517" spans="2:29" ht="15.75" hidden="1" x14ac:dyDescent="0.2">
      <c r="B517" s="81" t="s">
        <v>1549</v>
      </c>
      <c r="C517" s="79" t="s">
        <v>1550</v>
      </c>
      <c r="D517" s="146">
        <f>+D518</f>
        <v>0</v>
      </c>
      <c r="E517" s="187">
        <f>SUM('ADICIONES  2021'!C517:I517)</f>
        <v>1514607600.95</v>
      </c>
      <c r="F517" s="146">
        <f>+F518</f>
        <v>0</v>
      </c>
      <c r="G517" s="146">
        <f>+G518</f>
        <v>0</v>
      </c>
      <c r="H517" s="146">
        <f>+H518</f>
        <v>0</v>
      </c>
      <c r="I517" s="146">
        <f>+I518</f>
        <v>0</v>
      </c>
      <c r="J517" s="146">
        <f>+J518</f>
        <v>0</v>
      </c>
      <c r="K517" s="128">
        <f t="shared" si="645"/>
        <v>1514607600.95</v>
      </c>
      <c r="L517" s="146">
        <f t="shared" ref="L517:Q517" si="732">+L518</f>
        <v>0</v>
      </c>
      <c r="M517" s="146">
        <f t="shared" si="732"/>
        <v>0</v>
      </c>
      <c r="N517" s="146">
        <f t="shared" si="732"/>
        <v>0</v>
      </c>
      <c r="O517" s="146">
        <f t="shared" si="732"/>
        <v>0</v>
      </c>
      <c r="P517" s="146">
        <f t="shared" si="732"/>
        <v>1514607600.95</v>
      </c>
      <c r="Q517" s="411">
        <f t="shared" si="732"/>
        <v>0</v>
      </c>
      <c r="R517" s="128">
        <f t="shared" si="647"/>
        <v>1514607600.95</v>
      </c>
      <c r="S517" s="146">
        <f t="shared" ref="S517:Z517" si="733">+S518</f>
        <v>0</v>
      </c>
      <c r="T517" s="146">
        <f t="shared" si="733"/>
        <v>0</v>
      </c>
      <c r="U517" s="146">
        <f t="shared" si="733"/>
        <v>0</v>
      </c>
      <c r="V517" s="146">
        <f t="shared" si="733"/>
        <v>0</v>
      </c>
      <c r="W517" s="146">
        <f t="shared" si="733"/>
        <v>0</v>
      </c>
      <c r="X517" s="146">
        <f t="shared" si="733"/>
        <v>0</v>
      </c>
      <c r="Y517" s="146">
        <f t="shared" si="733"/>
        <v>0</v>
      </c>
      <c r="Z517" s="146">
        <f t="shared" si="733"/>
        <v>0</v>
      </c>
      <c r="AA517" s="128">
        <f t="shared" si="701"/>
        <v>0</v>
      </c>
      <c r="AB517" s="128">
        <f t="shared" si="649"/>
        <v>1514607600.95</v>
      </c>
      <c r="AC517" s="175">
        <f t="shared" si="619"/>
        <v>1</v>
      </c>
    </row>
    <row r="518" spans="2:29" ht="14.25" hidden="1" x14ac:dyDescent="0.2">
      <c r="B518" s="76" t="s">
        <v>1551</v>
      </c>
      <c r="C518" s="77" t="s">
        <v>1550</v>
      </c>
      <c r="D518" s="41"/>
      <c r="E518" s="188">
        <f>SUM('ADICIONES  2021'!C518:I518)</f>
        <v>1514607600.95</v>
      </c>
      <c r="F518" s="41"/>
      <c r="G518" s="41"/>
      <c r="H518" s="41"/>
      <c r="I518" s="41"/>
      <c r="J518" s="41"/>
      <c r="K518" s="128">
        <f t="shared" si="645"/>
        <v>1514607600.95</v>
      </c>
      <c r="L518" s="41"/>
      <c r="M518" s="41"/>
      <c r="N518" s="41"/>
      <c r="O518" s="41"/>
      <c r="P518" s="41">
        <v>1514607600.95</v>
      </c>
      <c r="Q518" s="409"/>
      <c r="R518" s="128">
        <f t="shared" si="647"/>
        <v>1514607600.95</v>
      </c>
      <c r="S518" s="41"/>
      <c r="T518" s="41"/>
      <c r="U518" s="41"/>
      <c r="V518" s="41"/>
      <c r="W518" s="41"/>
      <c r="X518" s="41"/>
      <c r="Y518" s="41"/>
      <c r="Z518" s="41"/>
      <c r="AA518" s="128">
        <f t="shared" si="701"/>
        <v>0</v>
      </c>
      <c r="AB518" s="128">
        <f t="shared" si="649"/>
        <v>1514607600.95</v>
      </c>
      <c r="AC518" s="175">
        <f t="shared" si="619"/>
        <v>1</v>
      </c>
    </row>
    <row r="519" spans="2:29" ht="15.75" hidden="1" x14ac:dyDescent="0.2">
      <c r="B519" s="81" t="s">
        <v>1552</v>
      </c>
      <c r="C519" s="79" t="s">
        <v>1553</v>
      </c>
      <c r="D519" s="146">
        <f>+D520</f>
        <v>0</v>
      </c>
      <c r="E519" s="187">
        <f>SUM('ADICIONES  2021'!C519:I519)</f>
        <v>3000000000</v>
      </c>
      <c r="F519" s="146">
        <f>+F520</f>
        <v>0</v>
      </c>
      <c r="G519" s="146">
        <f>+G520</f>
        <v>0</v>
      </c>
      <c r="H519" s="146">
        <f>+H520</f>
        <v>0</v>
      </c>
      <c r="I519" s="146">
        <f>+I520</f>
        <v>0</v>
      </c>
      <c r="J519" s="146">
        <f>+J520</f>
        <v>0</v>
      </c>
      <c r="K519" s="128">
        <f t="shared" si="645"/>
        <v>3000000000</v>
      </c>
      <c r="L519" s="146">
        <f t="shared" ref="L519:Q519" si="734">+L520</f>
        <v>0</v>
      </c>
      <c r="M519" s="146">
        <f t="shared" si="734"/>
        <v>0</v>
      </c>
      <c r="N519" s="146">
        <f t="shared" si="734"/>
        <v>0</v>
      </c>
      <c r="O519" s="146">
        <f t="shared" si="734"/>
        <v>0</v>
      </c>
      <c r="P519" s="146">
        <f t="shared" si="734"/>
        <v>3000000000</v>
      </c>
      <c r="Q519" s="411">
        <f t="shared" si="734"/>
        <v>0</v>
      </c>
      <c r="R519" s="128">
        <f t="shared" si="647"/>
        <v>3000000000</v>
      </c>
      <c r="S519" s="146">
        <f t="shared" ref="S519:Z519" si="735">+S520</f>
        <v>0</v>
      </c>
      <c r="T519" s="146">
        <f t="shared" si="735"/>
        <v>0</v>
      </c>
      <c r="U519" s="146">
        <f t="shared" si="735"/>
        <v>0</v>
      </c>
      <c r="V519" s="146">
        <f t="shared" si="735"/>
        <v>0</v>
      </c>
      <c r="W519" s="146">
        <f t="shared" si="735"/>
        <v>0</v>
      </c>
      <c r="X519" s="146">
        <f t="shared" si="735"/>
        <v>0</v>
      </c>
      <c r="Y519" s="146">
        <f t="shared" si="735"/>
        <v>0</v>
      </c>
      <c r="Z519" s="146">
        <f t="shared" si="735"/>
        <v>0</v>
      </c>
      <c r="AA519" s="128">
        <f t="shared" si="701"/>
        <v>0</v>
      </c>
      <c r="AB519" s="128">
        <f t="shared" si="649"/>
        <v>3000000000</v>
      </c>
      <c r="AC519" s="175">
        <f t="shared" si="619"/>
        <v>1</v>
      </c>
    </row>
    <row r="520" spans="2:29" ht="14.25" hidden="1" x14ac:dyDescent="0.2">
      <c r="B520" s="76" t="s">
        <v>1554</v>
      </c>
      <c r="C520" s="77" t="s">
        <v>1553</v>
      </c>
      <c r="D520" s="41"/>
      <c r="E520" s="188">
        <f>SUM('ADICIONES  2021'!C520:I520)</f>
        <v>3000000000</v>
      </c>
      <c r="F520" s="41"/>
      <c r="G520" s="41"/>
      <c r="H520" s="41"/>
      <c r="I520" s="41"/>
      <c r="J520" s="41"/>
      <c r="K520" s="128">
        <f t="shared" si="645"/>
        <v>3000000000</v>
      </c>
      <c r="L520" s="41"/>
      <c r="M520" s="41"/>
      <c r="N520" s="41"/>
      <c r="O520" s="41"/>
      <c r="P520" s="41">
        <v>3000000000</v>
      </c>
      <c r="Q520" s="409"/>
      <c r="R520" s="128">
        <f t="shared" si="647"/>
        <v>3000000000</v>
      </c>
      <c r="S520" s="41"/>
      <c r="T520" s="41"/>
      <c r="U520" s="41"/>
      <c r="V520" s="41"/>
      <c r="W520" s="41"/>
      <c r="X520" s="41"/>
      <c r="Y520" s="41"/>
      <c r="Z520" s="41"/>
      <c r="AA520" s="128">
        <f t="shared" si="701"/>
        <v>0</v>
      </c>
      <c r="AB520" s="128">
        <f t="shared" si="649"/>
        <v>3000000000</v>
      </c>
      <c r="AC520" s="175">
        <f t="shared" si="619"/>
        <v>1</v>
      </c>
    </row>
    <row r="521" spans="2:29" ht="31.5" hidden="1" x14ac:dyDescent="0.2">
      <c r="B521" s="81" t="s">
        <v>1555</v>
      </c>
      <c r="C521" s="79" t="s">
        <v>1556</v>
      </c>
      <c r="D521" s="146">
        <f>+D522</f>
        <v>0</v>
      </c>
      <c r="E521" s="187">
        <f>SUM('ADICIONES  2021'!C521:I521)</f>
        <v>287868062</v>
      </c>
      <c r="F521" s="146">
        <f>+F522</f>
        <v>0</v>
      </c>
      <c r="G521" s="146">
        <f>+G522</f>
        <v>0</v>
      </c>
      <c r="H521" s="146">
        <f>+H522</f>
        <v>0</v>
      </c>
      <c r="I521" s="146">
        <f>+I522</f>
        <v>0</v>
      </c>
      <c r="J521" s="146">
        <f>+J522</f>
        <v>0</v>
      </c>
      <c r="K521" s="128">
        <f t="shared" si="645"/>
        <v>287868062</v>
      </c>
      <c r="L521" s="146">
        <f t="shared" ref="L521:Q521" si="736">+L522</f>
        <v>0</v>
      </c>
      <c r="M521" s="146">
        <f t="shared" si="736"/>
        <v>0</v>
      </c>
      <c r="N521" s="146">
        <f t="shared" si="736"/>
        <v>0</v>
      </c>
      <c r="O521" s="146">
        <f t="shared" si="736"/>
        <v>0</v>
      </c>
      <c r="P521" s="146">
        <f t="shared" si="736"/>
        <v>287868062</v>
      </c>
      <c r="Q521" s="411">
        <f t="shared" si="736"/>
        <v>0</v>
      </c>
      <c r="R521" s="128">
        <f t="shared" si="647"/>
        <v>287868062</v>
      </c>
      <c r="S521" s="146">
        <f t="shared" ref="S521:Z521" si="737">+S522</f>
        <v>0</v>
      </c>
      <c r="T521" s="146">
        <f t="shared" si="737"/>
        <v>0</v>
      </c>
      <c r="U521" s="146">
        <f t="shared" si="737"/>
        <v>0</v>
      </c>
      <c r="V521" s="146">
        <f t="shared" si="737"/>
        <v>0</v>
      </c>
      <c r="W521" s="146">
        <f t="shared" si="737"/>
        <v>0</v>
      </c>
      <c r="X521" s="146">
        <f t="shared" si="737"/>
        <v>0</v>
      </c>
      <c r="Y521" s="146">
        <f t="shared" si="737"/>
        <v>0</v>
      </c>
      <c r="Z521" s="146">
        <f t="shared" si="737"/>
        <v>0</v>
      </c>
      <c r="AA521" s="128">
        <f t="shared" si="701"/>
        <v>0</v>
      </c>
      <c r="AB521" s="128">
        <f t="shared" si="649"/>
        <v>287868062</v>
      </c>
      <c r="AC521" s="175">
        <f t="shared" si="619"/>
        <v>1</v>
      </c>
    </row>
    <row r="522" spans="2:29" ht="14.25" hidden="1" x14ac:dyDescent="0.2">
      <c r="B522" s="76" t="s">
        <v>1557</v>
      </c>
      <c r="C522" s="77" t="s">
        <v>1556</v>
      </c>
      <c r="D522" s="41"/>
      <c r="E522" s="188">
        <f>SUM('ADICIONES  2021'!C522:I522)</f>
        <v>287868062</v>
      </c>
      <c r="F522" s="41"/>
      <c r="G522" s="41"/>
      <c r="H522" s="41"/>
      <c r="I522" s="41"/>
      <c r="J522" s="41"/>
      <c r="K522" s="128">
        <f t="shared" si="645"/>
        <v>287868062</v>
      </c>
      <c r="L522" s="41"/>
      <c r="M522" s="41"/>
      <c r="N522" s="41"/>
      <c r="O522" s="41"/>
      <c r="P522" s="41">
        <v>287868062</v>
      </c>
      <c r="Q522" s="409"/>
      <c r="R522" s="128">
        <f t="shared" si="647"/>
        <v>287868062</v>
      </c>
      <c r="S522" s="41"/>
      <c r="T522" s="41"/>
      <c r="U522" s="41"/>
      <c r="V522" s="41"/>
      <c r="W522" s="41"/>
      <c r="X522" s="41"/>
      <c r="Y522" s="41"/>
      <c r="Z522" s="41"/>
      <c r="AA522" s="128">
        <f t="shared" si="701"/>
        <v>0</v>
      </c>
      <c r="AB522" s="128">
        <f t="shared" si="649"/>
        <v>287868062</v>
      </c>
      <c r="AC522" s="175">
        <f t="shared" si="619"/>
        <v>1</v>
      </c>
    </row>
    <row r="523" spans="2:29" ht="15.75" hidden="1" x14ac:dyDescent="0.2">
      <c r="B523" s="81" t="s">
        <v>1558</v>
      </c>
      <c r="C523" s="79" t="s">
        <v>1559</v>
      </c>
      <c r="D523" s="146">
        <f>+D524</f>
        <v>0</v>
      </c>
      <c r="E523" s="187">
        <f>SUM('ADICIONES  2021'!C523:I523)</f>
        <v>320982097</v>
      </c>
      <c r="F523" s="146">
        <f>+F524</f>
        <v>0</v>
      </c>
      <c r="G523" s="146">
        <f>+G524</f>
        <v>0</v>
      </c>
      <c r="H523" s="146">
        <f>+H524</f>
        <v>0</v>
      </c>
      <c r="I523" s="146">
        <f>+I524</f>
        <v>0</v>
      </c>
      <c r="J523" s="146">
        <f>+J524</f>
        <v>0</v>
      </c>
      <c r="K523" s="128">
        <f t="shared" si="645"/>
        <v>320982097</v>
      </c>
      <c r="L523" s="146">
        <f t="shared" ref="L523:Q523" si="738">+L524</f>
        <v>0</v>
      </c>
      <c r="M523" s="146">
        <f t="shared" si="738"/>
        <v>0</v>
      </c>
      <c r="N523" s="146">
        <f t="shared" si="738"/>
        <v>0</v>
      </c>
      <c r="O523" s="146">
        <f t="shared" si="738"/>
        <v>0</v>
      </c>
      <c r="P523" s="146">
        <f t="shared" si="738"/>
        <v>320982097</v>
      </c>
      <c r="Q523" s="411">
        <f t="shared" si="738"/>
        <v>0</v>
      </c>
      <c r="R523" s="128">
        <f t="shared" si="647"/>
        <v>320982097</v>
      </c>
      <c r="S523" s="146">
        <f t="shared" ref="S523:Z523" si="739">+S524</f>
        <v>0</v>
      </c>
      <c r="T523" s="146">
        <f t="shared" si="739"/>
        <v>0</v>
      </c>
      <c r="U523" s="146">
        <f t="shared" si="739"/>
        <v>0</v>
      </c>
      <c r="V523" s="146">
        <f t="shared" si="739"/>
        <v>0</v>
      </c>
      <c r="W523" s="146">
        <f t="shared" si="739"/>
        <v>0</v>
      </c>
      <c r="X523" s="146">
        <f t="shared" si="739"/>
        <v>0</v>
      </c>
      <c r="Y523" s="146">
        <f t="shared" si="739"/>
        <v>0</v>
      </c>
      <c r="Z523" s="146">
        <f t="shared" si="739"/>
        <v>0</v>
      </c>
      <c r="AA523" s="128">
        <f t="shared" si="701"/>
        <v>0</v>
      </c>
      <c r="AB523" s="128">
        <f t="shared" si="649"/>
        <v>320982097</v>
      </c>
      <c r="AC523" s="175">
        <f t="shared" si="619"/>
        <v>1</v>
      </c>
    </row>
    <row r="524" spans="2:29" ht="14.25" hidden="1" x14ac:dyDescent="0.2">
      <c r="B524" s="76" t="s">
        <v>1560</v>
      </c>
      <c r="C524" s="77" t="s">
        <v>1559</v>
      </c>
      <c r="D524" s="41"/>
      <c r="E524" s="188">
        <f>SUM('ADICIONES  2021'!C524:I524)</f>
        <v>320982097</v>
      </c>
      <c r="F524" s="41"/>
      <c r="G524" s="41"/>
      <c r="H524" s="41"/>
      <c r="I524" s="41"/>
      <c r="J524" s="41"/>
      <c r="K524" s="128">
        <f t="shared" si="645"/>
        <v>320982097</v>
      </c>
      <c r="L524" s="41"/>
      <c r="M524" s="41"/>
      <c r="N524" s="41"/>
      <c r="O524" s="41"/>
      <c r="P524" s="41">
        <v>320982097</v>
      </c>
      <c r="Q524" s="409"/>
      <c r="R524" s="128">
        <f t="shared" si="647"/>
        <v>320982097</v>
      </c>
      <c r="S524" s="41"/>
      <c r="T524" s="41"/>
      <c r="U524" s="41"/>
      <c r="V524" s="41"/>
      <c r="W524" s="41"/>
      <c r="X524" s="41"/>
      <c r="Y524" s="41"/>
      <c r="Z524" s="41"/>
      <c r="AA524" s="128">
        <f t="shared" si="701"/>
        <v>0</v>
      </c>
      <c r="AB524" s="128">
        <f t="shared" si="649"/>
        <v>320982097</v>
      </c>
      <c r="AC524" s="175">
        <f t="shared" si="619"/>
        <v>1</v>
      </c>
    </row>
    <row r="525" spans="2:29" ht="63" hidden="1" x14ac:dyDescent="0.2">
      <c r="B525" s="81" t="s">
        <v>1561</v>
      </c>
      <c r="C525" s="79" t="s">
        <v>1562</v>
      </c>
      <c r="D525" s="146">
        <f>+D526</f>
        <v>0</v>
      </c>
      <c r="E525" s="187">
        <f>SUM('ADICIONES  2021'!C525:I525)</f>
        <v>746887763.63</v>
      </c>
      <c r="F525" s="146">
        <f>+F526</f>
        <v>0</v>
      </c>
      <c r="G525" s="146">
        <f>+G526</f>
        <v>0</v>
      </c>
      <c r="H525" s="146">
        <f>+H526</f>
        <v>0</v>
      </c>
      <c r="I525" s="146">
        <f>+I526</f>
        <v>0</v>
      </c>
      <c r="J525" s="146">
        <f>+J526</f>
        <v>0</v>
      </c>
      <c r="K525" s="128">
        <f t="shared" si="645"/>
        <v>746887763.63</v>
      </c>
      <c r="L525" s="146">
        <f t="shared" ref="L525:Q525" si="740">+L526</f>
        <v>0</v>
      </c>
      <c r="M525" s="146">
        <f t="shared" si="740"/>
        <v>0</v>
      </c>
      <c r="N525" s="146">
        <f t="shared" si="740"/>
        <v>0</v>
      </c>
      <c r="O525" s="146">
        <f t="shared" si="740"/>
        <v>0</v>
      </c>
      <c r="P525" s="146">
        <f t="shared" si="740"/>
        <v>746887763.63</v>
      </c>
      <c r="Q525" s="411">
        <f t="shared" si="740"/>
        <v>0</v>
      </c>
      <c r="R525" s="128">
        <f t="shared" si="647"/>
        <v>746887763.63</v>
      </c>
      <c r="S525" s="146">
        <f t="shared" ref="S525:Z525" si="741">+S526</f>
        <v>0</v>
      </c>
      <c r="T525" s="146">
        <f t="shared" si="741"/>
        <v>0</v>
      </c>
      <c r="U525" s="146">
        <f t="shared" si="741"/>
        <v>0</v>
      </c>
      <c r="V525" s="146">
        <f t="shared" si="741"/>
        <v>0</v>
      </c>
      <c r="W525" s="146">
        <f t="shared" si="741"/>
        <v>0</v>
      </c>
      <c r="X525" s="146">
        <f t="shared" si="741"/>
        <v>0</v>
      </c>
      <c r="Y525" s="146">
        <f t="shared" si="741"/>
        <v>0</v>
      </c>
      <c r="Z525" s="146">
        <f t="shared" si="741"/>
        <v>0</v>
      </c>
      <c r="AA525" s="128">
        <f t="shared" si="701"/>
        <v>0</v>
      </c>
      <c r="AB525" s="128">
        <f t="shared" si="649"/>
        <v>746887763.63</v>
      </c>
      <c r="AC525" s="175">
        <f t="shared" si="619"/>
        <v>1</v>
      </c>
    </row>
    <row r="526" spans="2:29" ht="42.75" hidden="1" x14ac:dyDescent="0.2">
      <c r="B526" s="76" t="s">
        <v>1563</v>
      </c>
      <c r="C526" s="77" t="s">
        <v>1562</v>
      </c>
      <c r="D526" s="41"/>
      <c r="E526" s="188">
        <f>SUM('ADICIONES  2021'!C526:I526)</f>
        <v>746887763.63</v>
      </c>
      <c r="F526" s="41"/>
      <c r="G526" s="41"/>
      <c r="H526" s="41"/>
      <c r="I526" s="41"/>
      <c r="J526" s="41"/>
      <c r="K526" s="128">
        <f t="shared" si="645"/>
        <v>746887763.63</v>
      </c>
      <c r="L526" s="41"/>
      <c r="M526" s="41"/>
      <c r="N526" s="41"/>
      <c r="O526" s="41"/>
      <c r="P526" s="41">
        <v>746887763.63</v>
      </c>
      <c r="Q526" s="409"/>
      <c r="R526" s="128">
        <f t="shared" si="647"/>
        <v>746887763.63</v>
      </c>
      <c r="S526" s="41"/>
      <c r="T526" s="41"/>
      <c r="U526" s="41"/>
      <c r="V526" s="41"/>
      <c r="W526" s="41"/>
      <c r="X526" s="41"/>
      <c r="Y526" s="41"/>
      <c r="Z526" s="41"/>
      <c r="AA526" s="128">
        <f t="shared" si="701"/>
        <v>0</v>
      </c>
      <c r="AB526" s="128">
        <f t="shared" si="649"/>
        <v>746887763.63</v>
      </c>
      <c r="AC526" s="175">
        <f t="shared" si="619"/>
        <v>1</v>
      </c>
    </row>
    <row r="527" spans="2:29" ht="31.5" hidden="1" x14ac:dyDescent="0.2">
      <c r="B527" s="81" t="s">
        <v>1564</v>
      </c>
      <c r="C527" s="79" t="s">
        <v>1565</v>
      </c>
      <c r="D527" s="146">
        <f>+D528</f>
        <v>0</v>
      </c>
      <c r="E527" s="187">
        <f>SUM('ADICIONES  2021'!C527:I527)</f>
        <v>493740289</v>
      </c>
      <c r="F527" s="146">
        <f>+F528</f>
        <v>0</v>
      </c>
      <c r="G527" s="146">
        <f>+G528</f>
        <v>0</v>
      </c>
      <c r="H527" s="146">
        <f>+H528</f>
        <v>0</v>
      </c>
      <c r="I527" s="146">
        <f>+I528</f>
        <v>0</v>
      </c>
      <c r="J527" s="146">
        <f>+J528</f>
        <v>0</v>
      </c>
      <c r="K527" s="128">
        <f t="shared" si="645"/>
        <v>493740289</v>
      </c>
      <c r="L527" s="146">
        <f t="shared" ref="L527:Q527" si="742">+L528</f>
        <v>0</v>
      </c>
      <c r="M527" s="146">
        <f t="shared" si="742"/>
        <v>0</v>
      </c>
      <c r="N527" s="146">
        <f t="shared" si="742"/>
        <v>0</v>
      </c>
      <c r="O527" s="146">
        <f t="shared" si="742"/>
        <v>0</v>
      </c>
      <c r="P527" s="146">
        <f t="shared" si="742"/>
        <v>493740289</v>
      </c>
      <c r="Q527" s="411">
        <f t="shared" si="742"/>
        <v>0</v>
      </c>
      <c r="R527" s="128">
        <f t="shared" si="647"/>
        <v>493740289</v>
      </c>
      <c r="S527" s="146">
        <f t="shared" ref="S527:Z527" si="743">+S528</f>
        <v>0</v>
      </c>
      <c r="T527" s="146">
        <f t="shared" si="743"/>
        <v>0</v>
      </c>
      <c r="U527" s="146">
        <f t="shared" si="743"/>
        <v>0</v>
      </c>
      <c r="V527" s="146">
        <f t="shared" si="743"/>
        <v>0</v>
      </c>
      <c r="W527" s="146">
        <f t="shared" si="743"/>
        <v>0</v>
      </c>
      <c r="X527" s="146">
        <f t="shared" si="743"/>
        <v>0</v>
      </c>
      <c r="Y527" s="146">
        <f t="shared" si="743"/>
        <v>0</v>
      </c>
      <c r="Z527" s="146">
        <f t="shared" si="743"/>
        <v>0</v>
      </c>
      <c r="AA527" s="128">
        <f t="shared" si="701"/>
        <v>0</v>
      </c>
      <c r="AB527" s="128">
        <f t="shared" si="649"/>
        <v>493740289</v>
      </c>
      <c r="AC527" s="175">
        <f t="shared" si="619"/>
        <v>1</v>
      </c>
    </row>
    <row r="528" spans="2:29" ht="14.25" hidden="1" x14ac:dyDescent="0.2">
      <c r="B528" s="76" t="s">
        <v>1566</v>
      </c>
      <c r="C528" s="77" t="s">
        <v>1565</v>
      </c>
      <c r="D528" s="41"/>
      <c r="E528" s="188">
        <f>SUM('ADICIONES  2021'!C528:I528)</f>
        <v>493740289</v>
      </c>
      <c r="F528" s="41"/>
      <c r="G528" s="41"/>
      <c r="H528" s="41"/>
      <c r="I528" s="41"/>
      <c r="J528" s="41"/>
      <c r="K528" s="128">
        <f t="shared" si="645"/>
        <v>493740289</v>
      </c>
      <c r="L528" s="41"/>
      <c r="M528" s="41"/>
      <c r="N528" s="41"/>
      <c r="O528" s="41"/>
      <c r="P528" s="41">
        <v>493740289</v>
      </c>
      <c r="Q528" s="409"/>
      <c r="R528" s="128">
        <f t="shared" si="647"/>
        <v>493740289</v>
      </c>
      <c r="S528" s="41"/>
      <c r="T528" s="41"/>
      <c r="U528" s="41"/>
      <c r="V528" s="41"/>
      <c r="W528" s="41"/>
      <c r="X528" s="41"/>
      <c r="Y528" s="41"/>
      <c r="Z528" s="41"/>
      <c r="AA528" s="128">
        <f t="shared" si="701"/>
        <v>0</v>
      </c>
      <c r="AB528" s="128">
        <f t="shared" si="649"/>
        <v>493740289</v>
      </c>
      <c r="AC528" s="175">
        <f t="shared" si="619"/>
        <v>1</v>
      </c>
    </row>
    <row r="529" spans="2:29" ht="15.75" hidden="1" x14ac:dyDescent="0.2">
      <c r="B529" s="81" t="s">
        <v>1567</v>
      </c>
      <c r="C529" s="79" t="s">
        <v>1568</v>
      </c>
      <c r="D529" s="146">
        <f>+D530</f>
        <v>0</v>
      </c>
      <c r="E529" s="187">
        <f>SUM('ADICIONES  2021'!C529:I529)</f>
        <v>91334526.659999996</v>
      </c>
      <c r="F529" s="146">
        <f>+F530</f>
        <v>0</v>
      </c>
      <c r="G529" s="146">
        <f>+G530</f>
        <v>0</v>
      </c>
      <c r="H529" s="146">
        <f>+H530</f>
        <v>0</v>
      </c>
      <c r="I529" s="146">
        <f>+I530</f>
        <v>0</v>
      </c>
      <c r="J529" s="146">
        <f>+J530</f>
        <v>0</v>
      </c>
      <c r="K529" s="128">
        <f t="shared" si="645"/>
        <v>91334526.659999996</v>
      </c>
      <c r="L529" s="146">
        <f t="shared" ref="L529:Q529" si="744">+L530</f>
        <v>0</v>
      </c>
      <c r="M529" s="146">
        <f t="shared" si="744"/>
        <v>0</v>
      </c>
      <c r="N529" s="146">
        <f t="shared" si="744"/>
        <v>0</v>
      </c>
      <c r="O529" s="146">
        <f t="shared" si="744"/>
        <v>0</v>
      </c>
      <c r="P529" s="146">
        <f t="shared" si="744"/>
        <v>91334526.659999996</v>
      </c>
      <c r="Q529" s="411">
        <f t="shared" si="744"/>
        <v>0</v>
      </c>
      <c r="R529" s="128">
        <f t="shared" si="647"/>
        <v>91334526.659999996</v>
      </c>
      <c r="S529" s="146">
        <f t="shared" ref="S529:Z529" si="745">+S530</f>
        <v>0</v>
      </c>
      <c r="T529" s="146">
        <f t="shared" si="745"/>
        <v>0</v>
      </c>
      <c r="U529" s="146">
        <f t="shared" si="745"/>
        <v>0</v>
      </c>
      <c r="V529" s="146">
        <f t="shared" si="745"/>
        <v>0</v>
      </c>
      <c r="W529" s="146">
        <f t="shared" si="745"/>
        <v>0</v>
      </c>
      <c r="X529" s="146">
        <f t="shared" si="745"/>
        <v>0</v>
      </c>
      <c r="Y529" s="146">
        <f t="shared" si="745"/>
        <v>0</v>
      </c>
      <c r="Z529" s="146">
        <f t="shared" si="745"/>
        <v>0</v>
      </c>
      <c r="AA529" s="128">
        <f t="shared" si="701"/>
        <v>0</v>
      </c>
      <c r="AB529" s="128">
        <f t="shared" si="649"/>
        <v>91334526.659999996</v>
      </c>
      <c r="AC529" s="175">
        <f t="shared" si="619"/>
        <v>1</v>
      </c>
    </row>
    <row r="530" spans="2:29" ht="14.25" hidden="1" x14ac:dyDescent="0.2">
      <c r="B530" s="76" t="s">
        <v>1569</v>
      </c>
      <c r="C530" s="77" t="s">
        <v>1568</v>
      </c>
      <c r="D530" s="41"/>
      <c r="E530" s="188">
        <f>SUM('ADICIONES  2021'!C530:I530)</f>
        <v>91334526.659999996</v>
      </c>
      <c r="F530" s="41"/>
      <c r="G530" s="41"/>
      <c r="H530" s="41"/>
      <c r="I530" s="41"/>
      <c r="J530" s="41"/>
      <c r="K530" s="128">
        <f t="shared" si="645"/>
        <v>91334526.659999996</v>
      </c>
      <c r="L530" s="41"/>
      <c r="M530" s="41"/>
      <c r="N530" s="41"/>
      <c r="O530" s="41"/>
      <c r="P530" s="41">
        <v>91334526.659999996</v>
      </c>
      <c r="Q530" s="409"/>
      <c r="R530" s="128">
        <f t="shared" si="647"/>
        <v>91334526.659999996</v>
      </c>
      <c r="S530" s="41"/>
      <c r="T530" s="41"/>
      <c r="U530" s="41"/>
      <c r="V530" s="41"/>
      <c r="W530" s="41"/>
      <c r="X530" s="41"/>
      <c r="Y530" s="41"/>
      <c r="Z530" s="41"/>
      <c r="AA530" s="128">
        <f t="shared" si="701"/>
        <v>0</v>
      </c>
      <c r="AB530" s="128">
        <f t="shared" si="649"/>
        <v>91334526.659999996</v>
      </c>
      <c r="AC530" s="175">
        <f t="shared" si="619"/>
        <v>1</v>
      </c>
    </row>
    <row r="531" spans="2:29" ht="31.5" hidden="1" x14ac:dyDescent="0.2">
      <c r="B531" s="81" t="s">
        <v>1570</v>
      </c>
      <c r="C531" s="79" t="s">
        <v>1571</v>
      </c>
      <c r="D531" s="146">
        <f>+D532</f>
        <v>0</v>
      </c>
      <c r="E531" s="187">
        <f>SUM('ADICIONES  2021'!C531:I531)</f>
        <v>336647722.75999999</v>
      </c>
      <c r="F531" s="146">
        <f>+F532</f>
        <v>0</v>
      </c>
      <c r="G531" s="146">
        <f>+G532</f>
        <v>0</v>
      </c>
      <c r="H531" s="146">
        <f>+H532</f>
        <v>0</v>
      </c>
      <c r="I531" s="146">
        <f>+I532</f>
        <v>0</v>
      </c>
      <c r="J531" s="146">
        <f>+J532</f>
        <v>0</v>
      </c>
      <c r="K531" s="128">
        <f t="shared" si="645"/>
        <v>336647722.75999999</v>
      </c>
      <c r="L531" s="146">
        <f t="shared" ref="L531:Q531" si="746">+L532</f>
        <v>0</v>
      </c>
      <c r="M531" s="146">
        <f t="shared" si="746"/>
        <v>0</v>
      </c>
      <c r="N531" s="146">
        <f t="shared" si="746"/>
        <v>0</v>
      </c>
      <c r="O531" s="146">
        <f t="shared" si="746"/>
        <v>0</v>
      </c>
      <c r="P531" s="146">
        <f t="shared" si="746"/>
        <v>336647722.75999999</v>
      </c>
      <c r="Q531" s="411">
        <f t="shared" si="746"/>
        <v>0</v>
      </c>
      <c r="R531" s="128">
        <f t="shared" si="647"/>
        <v>336647722.75999999</v>
      </c>
      <c r="S531" s="146">
        <f t="shared" ref="S531:Z531" si="747">+S532</f>
        <v>0</v>
      </c>
      <c r="T531" s="146">
        <f t="shared" si="747"/>
        <v>0</v>
      </c>
      <c r="U531" s="146">
        <f t="shared" si="747"/>
        <v>0</v>
      </c>
      <c r="V531" s="146">
        <f t="shared" si="747"/>
        <v>0</v>
      </c>
      <c r="W531" s="146">
        <f t="shared" si="747"/>
        <v>0</v>
      </c>
      <c r="X531" s="146">
        <f t="shared" si="747"/>
        <v>0</v>
      </c>
      <c r="Y531" s="146">
        <f t="shared" si="747"/>
        <v>0</v>
      </c>
      <c r="Z531" s="146">
        <f t="shared" si="747"/>
        <v>0</v>
      </c>
      <c r="AA531" s="128">
        <f t="shared" si="701"/>
        <v>0</v>
      </c>
      <c r="AB531" s="128">
        <f t="shared" si="649"/>
        <v>336647722.75999999</v>
      </c>
      <c r="AC531" s="175">
        <f t="shared" si="619"/>
        <v>1</v>
      </c>
    </row>
    <row r="532" spans="2:29" ht="14.25" hidden="1" x14ac:dyDescent="0.2">
      <c r="B532" s="76" t="s">
        <v>1572</v>
      </c>
      <c r="C532" s="77" t="s">
        <v>1571</v>
      </c>
      <c r="D532" s="41"/>
      <c r="E532" s="188">
        <f>SUM('ADICIONES  2021'!C532:I532)</f>
        <v>336647722.75999999</v>
      </c>
      <c r="F532" s="41"/>
      <c r="G532" s="41"/>
      <c r="H532" s="41"/>
      <c r="I532" s="41"/>
      <c r="J532" s="41"/>
      <c r="K532" s="128">
        <f t="shared" si="645"/>
        <v>336647722.75999999</v>
      </c>
      <c r="L532" s="41"/>
      <c r="M532" s="41"/>
      <c r="N532" s="41"/>
      <c r="O532" s="41"/>
      <c r="P532" s="41">
        <v>336647722.75999999</v>
      </c>
      <c r="Q532" s="409"/>
      <c r="R532" s="128">
        <f t="shared" si="647"/>
        <v>336647722.75999999</v>
      </c>
      <c r="S532" s="41"/>
      <c r="T532" s="41"/>
      <c r="U532" s="41"/>
      <c r="V532" s="41"/>
      <c r="W532" s="41"/>
      <c r="X532" s="41"/>
      <c r="Y532" s="41"/>
      <c r="Z532" s="41"/>
      <c r="AA532" s="128">
        <f t="shared" si="701"/>
        <v>0</v>
      </c>
      <c r="AB532" s="128">
        <f t="shared" si="649"/>
        <v>336647722.75999999</v>
      </c>
      <c r="AC532" s="175">
        <f t="shared" si="619"/>
        <v>1</v>
      </c>
    </row>
    <row r="533" spans="2:29" ht="15.75" hidden="1" x14ac:dyDescent="0.2">
      <c r="B533" s="81" t="s">
        <v>1573</v>
      </c>
      <c r="C533" s="79" t="s">
        <v>1574</v>
      </c>
      <c r="D533" s="146">
        <f>+D534</f>
        <v>0</v>
      </c>
      <c r="E533" s="187">
        <f>SUM('ADICIONES  2021'!C533:I533)</f>
        <v>4277916497.3200002</v>
      </c>
      <c r="F533" s="146">
        <f>+F534</f>
        <v>0</v>
      </c>
      <c r="G533" s="146">
        <f>+G534</f>
        <v>0</v>
      </c>
      <c r="H533" s="146">
        <f>+H534</f>
        <v>0</v>
      </c>
      <c r="I533" s="146">
        <f>+I534</f>
        <v>0</v>
      </c>
      <c r="J533" s="146">
        <f>+J534</f>
        <v>0</v>
      </c>
      <c r="K533" s="128">
        <f t="shared" si="645"/>
        <v>4277916497.3200002</v>
      </c>
      <c r="L533" s="146">
        <f t="shared" ref="L533:Q533" si="748">+L534</f>
        <v>0</v>
      </c>
      <c r="M533" s="146">
        <f t="shared" si="748"/>
        <v>0</v>
      </c>
      <c r="N533" s="146">
        <f t="shared" si="748"/>
        <v>0</v>
      </c>
      <c r="O533" s="146">
        <f t="shared" si="748"/>
        <v>0</v>
      </c>
      <c r="P533" s="146">
        <f t="shared" si="748"/>
        <v>4277916497.3200002</v>
      </c>
      <c r="Q533" s="411">
        <f t="shared" si="748"/>
        <v>0</v>
      </c>
      <c r="R533" s="128">
        <f t="shared" si="647"/>
        <v>4277916497.3200002</v>
      </c>
      <c r="S533" s="146">
        <f t="shared" ref="S533:Z533" si="749">+S534</f>
        <v>0</v>
      </c>
      <c r="T533" s="146">
        <f t="shared" si="749"/>
        <v>0</v>
      </c>
      <c r="U533" s="146">
        <f t="shared" si="749"/>
        <v>0</v>
      </c>
      <c r="V533" s="146">
        <f t="shared" si="749"/>
        <v>0</v>
      </c>
      <c r="W533" s="146">
        <f t="shared" si="749"/>
        <v>0</v>
      </c>
      <c r="X533" s="146">
        <f t="shared" si="749"/>
        <v>0</v>
      </c>
      <c r="Y533" s="146">
        <f t="shared" si="749"/>
        <v>0</v>
      </c>
      <c r="Z533" s="146">
        <f t="shared" si="749"/>
        <v>0</v>
      </c>
      <c r="AA533" s="128">
        <f t="shared" si="701"/>
        <v>0</v>
      </c>
      <c r="AB533" s="128">
        <f t="shared" si="649"/>
        <v>4277916497.3200002</v>
      </c>
      <c r="AC533" s="175">
        <f t="shared" si="619"/>
        <v>1</v>
      </c>
    </row>
    <row r="534" spans="2:29" ht="14.25" hidden="1" x14ac:dyDescent="0.2">
      <c r="B534" s="76" t="s">
        <v>1575</v>
      </c>
      <c r="C534" s="77" t="s">
        <v>1574</v>
      </c>
      <c r="D534" s="41"/>
      <c r="E534" s="188">
        <f>SUM('ADICIONES  2021'!C534:I534)</f>
        <v>4277916497.3200002</v>
      </c>
      <c r="F534" s="41"/>
      <c r="G534" s="41"/>
      <c r="H534" s="41"/>
      <c r="I534" s="41"/>
      <c r="J534" s="41"/>
      <c r="K534" s="128">
        <f t="shared" si="645"/>
        <v>4277916497.3200002</v>
      </c>
      <c r="L534" s="41"/>
      <c r="M534" s="41"/>
      <c r="N534" s="41"/>
      <c r="O534" s="41"/>
      <c r="P534" s="41">
        <v>4277916497.3200002</v>
      </c>
      <c r="Q534" s="409"/>
      <c r="R534" s="128">
        <f t="shared" si="647"/>
        <v>4277916497.3200002</v>
      </c>
      <c r="S534" s="41"/>
      <c r="T534" s="41"/>
      <c r="U534" s="41"/>
      <c r="V534" s="41"/>
      <c r="W534" s="41"/>
      <c r="X534" s="41"/>
      <c r="Y534" s="41"/>
      <c r="Z534" s="41"/>
      <c r="AA534" s="128">
        <f t="shared" si="701"/>
        <v>0</v>
      </c>
      <c r="AB534" s="128">
        <f t="shared" si="649"/>
        <v>4277916497.3200002</v>
      </c>
      <c r="AC534" s="175">
        <f t="shared" si="619"/>
        <v>1</v>
      </c>
    </row>
    <row r="535" spans="2:29" ht="15.75" hidden="1" x14ac:dyDescent="0.2">
      <c r="B535" s="81" t="s">
        <v>1576</v>
      </c>
      <c r="C535" s="79" t="s">
        <v>1577</v>
      </c>
      <c r="D535" s="146">
        <f>+D536</f>
        <v>0</v>
      </c>
      <c r="E535" s="187">
        <f>SUM('ADICIONES  2021'!C535:I535)</f>
        <v>14058954.529999999</v>
      </c>
      <c r="F535" s="146">
        <f>+F536</f>
        <v>0</v>
      </c>
      <c r="G535" s="146">
        <f>+G536</f>
        <v>0</v>
      </c>
      <c r="H535" s="146">
        <f>+H536</f>
        <v>0</v>
      </c>
      <c r="I535" s="146">
        <f>+I536</f>
        <v>0</v>
      </c>
      <c r="J535" s="146">
        <f>+J536</f>
        <v>0</v>
      </c>
      <c r="K535" s="128">
        <f t="shared" si="645"/>
        <v>14058954.529999999</v>
      </c>
      <c r="L535" s="146">
        <f t="shared" ref="L535:Q535" si="750">+L536</f>
        <v>0</v>
      </c>
      <c r="M535" s="146">
        <f t="shared" si="750"/>
        <v>0</v>
      </c>
      <c r="N535" s="146">
        <f t="shared" si="750"/>
        <v>0</v>
      </c>
      <c r="O535" s="146">
        <f t="shared" si="750"/>
        <v>0</v>
      </c>
      <c r="P535" s="146">
        <f t="shared" si="750"/>
        <v>14058954.529999999</v>
      </c>
      <c r="Q535" s="411">
        <f t="shared" si="750"/>
        <v>0</v>
      </c>
      <c r="R535" s="128">
        <f t="shared" si="647"/>
        <v>14058954.529999999</v>
      </c>
      <c r="S535" s="146">
        <f t="shared" ref="S535:Z535" si="751">+S536</f>
        <v>0</v>
      </c>
      <c r="T535" s="146">
        <f t="shared" si="751"/>
        <v>0</v>
      </c>
      <c r="U535" s="146">
        <f t="shared" si="751"/>
        <v>0</v>
      </c>
      <c r="V535" s="146">
        <f t="shared" si="751"/>
        <v>0</v>
      </c>
      <c r="W535" s="146">
        <f t="shared" si="751"/>
        <v>0</v>
      </c>
      <c r="X535" s="146">
        <f t="shared" si="751"/>
        <v>0</v>
      </c>
      <c r="Y535" s="146">
        <f t="shared" si="751"/>
        <v>0</v>
      </c>
      <c r="Z535" s="146">
        <f t="shared" si="751"/>
        <v>0</v>
      </c>
      <c r="AA535" s="128">
        <f t="shared" si="701"/>
        <v>0</v>
      </c>
      <c r="AB535" s="128">
        <f t="shared" si="649"/>
        <v>14058954.529999999</v>
      </c>
      <c r="AC535" s="175">
        <f t="shared" si="619"/>
        <v>1</v>
      </c>
    </row>
    <row r="536" spans="2:29" ht="14.25" hidden="1" x14ac:dyDescent="0.2">
      <c r="B536" s="76" t="s">
        <v>1578</v>
      </c>
      <c r="C536" s="77" t="s">
        <v>1577</v>
      </c>
      <c r="D536" s="41"/>
      <c r="E536" s="188">
        <f>SUM('ADICIONES  2021'!C536:I536)</f>
        <v>14058954.529999999</v>
      </c>
      <c r="F536" s="41"/>
      <c r="G536" s="41"/>
      <c r="H536" s="41"/>
      <c r="I536" s="41"/>
      <c r="J536" s="41"/>
      <c r="K536" s="128">
        <f t="shared" si="645"/>
        <v>14058954.529999999</v>
      </c>
      <c r="L536" s="41"/>
      <c r="M536" s="41"/>
      <c r="N536" s="41"/>
      <c r="O536" s="41"/>
      <c r="P536" s="41">
        <v>14058954.529999999</v>
      </c>
      <c r="Q536" s="409"/>
      <c r="R536" s="128">
        <f t="shared" si="647"/>
        <v>14058954.529999999</v>
      </c>
      <c r="S536" s="41"/>
      <c r="T536" s="41"/>
      <c r="U536" s="41"/>
      <c r="V536" s="41"/>
      <c r="W536" s="41"/>
      <c r="X536" s="41"/>
      <c r="Y536" s="41"/>
      <c r="Z536" s="41"/>
      <c r="AA536" s="128">
        <f t="shared" si="701"/>
        <v>0</v>
      </c>
      <c r="AB536" s="128">
        <f t="shared" si="649"/>
        <v>14058954.529999999</v>
      </c>
      <c r="AC536" s="175">
        <f t="shared" si="619"/>
        <v>1</v>
      </c>
    </row>
    <row r="537" spans="2:29" ht="31.5" hidden="1" x14ac:dyDescent="0.2">
      <c r="B537" s="81" t="s">
        <v>1579</v>
      </c>
      <c r="C537" s="79" t="s">
        <v>1580</v>
      </c>
      <c r="D537" s="146">
        <f>+D538</f>
        <v>0</v>
      </c>
      <c r="E537" s="187">
        <f>SUM('ADICIONES  2021'!C537:I537)</f>
        <v>234675</v>
      </c>
      <c r="F537" s="146">
        <f>+F538</f>
        <v>0</v>
      </c>
      <c r="G537" s="146">
        <f>+G538</f>
        <v>0</v>
      </c>
      <c r="H537" s="146">
        <f>+H538</f>
        <v>0</v>
      </c>
      <c r="I537" s="146">
        <f>+I538</f>
        <v>0</v>
      </c>
      <c r="J537" s="146">
        <f>+J538</f>
        <v>0</v>
      </c>
      <c r="K537" s="128">
        <f t="shared" si="645"/>
        <v>234675</v>
      </c>
      <c r="L537" s="146">
        <f t="shared" ref="L537:Q537" si="752">+L538</f>
        <v>0</v>
      </c>
      <c r="M537" s="146">
        <f t="shared" si="752"/>
        <v>0</v>
      </c>
      <c r="N537" s="146">
        <f t="shared" si="752"/>
        <v>0</v>
      </c>
      <c r="O537" s="146">
        <f t="shared" si="752"/>
        <v>0</v>
      </c>
      <c r="P537" s="146">
        <f t="shared" si="752"/>
        <v>234675</v>
      </c>
      <c r="Q537" s="411">
        <f t="shared" si="752"/>
        <v>0</v>
      </c>
      <c r="R537" s="128">
        <f t="shared" si="647"/>
        <v>234675</v>
      </c>
      <c r="S537" s="146">
        <f t="shared" ref="S537:Z537" si="753">+S538</f>
        <v>0</v>
      </c>
      <c r="T537" s="146">
        <f t="shared" si="753"/>
        <v>0</v>
      </c>
      <c r="U537" s="146">
        <f t="shared" si="753"/>
        <v>0</v>
      </c>
      <c r="V537" s="146">
        <f t="shared" si="753"/>
        <v>0</v>
      </c>
      <c r="W537" s="146">
        <f t="shared" si="753"/>
        <v>0</v>
      </c>
      <c r="X537" s="146">
        <f t="shared" si="753"/>
        <v>0</v>
      </c>
      <c r="Y537" s="146">
        <f t="shared" si="753"/>
        <v>0</v>
      </c>
      <c r="Z537" s="146">
        <f t="shared" si="753"/>
        <v>0</v>
      </c>
      <c r="AA537" s="128">
        <f t="shared" si="701"/>
        <v>0</v>
      </c>
      <c r="AB537" s="128">
        <f t="shared" si="649"/>
        <v>234675</v>
      </c>
      <c r="AC537" s="175">
        <f t="shared" si="619"/>
        <v>1</v>
      </c>
    </row>
    <row r="538" spans="2:29" ht="28.5" hidden="1" x14ac:dyDescent="0.2">
      <c r="B538" s="76" t="s">
        <v>1581</v>
      </c>
      <c r="C538" s="77" t="s">
        <v>1580</v>
      </c>
      <c r="D538" s="41"/>
      <c r="E538" s="188">
        <f>SUM('ADICIONES  2021'!C538:I538)</f>
        <v>234675</v>
      </c>
      <c r="F538" s="41"/>
      <c r="G538" s="41"/>
      <c r="H538" s="41"/>
      <c r="I538" s="41"/>
      <c r="J538" s="41"/>
      <c r="K538" s="128">
        <f t="shared" si="645"/>
        <v>234675</v>
      </c>
      <c r="L538" s="41"/>
      <c r="M538" s="41"/>
      <c r="N538" s="41"/>
      <c r="O538" s="41"/>
      <c r="P538" s="41">
        <v>234675</v>
      </c>
      <c r="Q538" s="409"/>
      <c r="R538" s="128">
        <f t="shared" ref="R538:R565" si="754">SUM(L538:Q538)</f>
        <v>234675</v>
      </c>
      <c r="S538" s="41"/>
      <c r="T538" s="41"/>
      <c r="U538" s="41"/>
      <c r="V538" s="41"/>
      <c r="W538" s="41"/>
      <c r="X538" s="41"/>
      <c r="Y538" s="41"/>
      <c r="Z538" s="41"/>
      <c r="AA538" s="128">
        <f t="shared" si="701"/>
        <v>0</v>
      </c>
      <c r="AB538" s="128">
        <f t="shared" si="649"/>
        <v>234675</v>
      </c>
      <c r="AC538" s="175">
        <f t="shared" si="619"/>
        <v>1</v>
      </c>
    </row>
    <row r="539" spans="2:29" ht="15.75" hidden="1" x14ac:dyDescent="0.2">
      <c r="B539" s="81" t="s">
        <v>1582</v>
      </c>
      <c r="C539" s="79" t="s">
        <v>1583</v>
      </c>
      <c r="D539" s="146">
        <f>+D540</f>
        <v>0</v>
      </c>
      <c r="E539" s="187">
        <f>SUM('ADICIONES  2021'!C539:I539)</f>
        <v>6828499.0099999998</v>
      </c>
      <c r="F539" s="146">
        <f>+F540</f>
        <v>0</v>
      </c>
      <c r="G539" s="146">
        <f>+G540</f>
        <v>0</v>
      </c>
      <c r="H539" s="146">
        <f>+H540</f>
        <v>0</v>
      </c>
      <c r="I539" s="146">
        <f>+I540</f>
        <v>0</v>
      </c>
      <c r="J539" s="146">
        <f>+J540</f>
        <v>0</v>
      </c>
      <c r="K539" s="128">
        <f t="shared" si="645"/>
        <v>6828499.0099999998</v>
      </c>
      <c r="L539" s="146">
        <f t="shared" ref="L539:Q539" si="755">+L540</f>
        <v>0</v>
      </c>
      <c r="M539" s="146">
        <f t="shared" si="755"/>
        <v>0</v>
      </c>
      <c r="N539" s="146">
        <f t="shared" si="755"/>
        <v>0</v>
      </c>
      <c r="O539" s="146">
        <f t="shared" si="755"/>
        <v>0</v>
      </c>
      <c r="P539" s="146">
        <f t="shared" si="755"/>
        <v>6828499.0099999998</v>
      </c>
      <c r="Q539" s="411">
        <f t="shared" si="755"/>
        <v>0</v>
      </c>
      <c r="R539" s="128">
        <f t="shared" si="754"/>
        <v>6828499.0099999998</v>
      </c>
      <c r="S539" s="146">
        <f t="shared" ref="S539:Z539" si="756">+S540</f>
        <v>0</v>
      </c>
      <c r="T539" s="146">
        <f t="shared" si="756"/>
        <v>0</v>
      </c>
      <c r="U539" s="146">
        <f t="shared" si="756"/>
        <v>0</v>
      </c>
      <c r="V539" s="146">
        <f t="shared" si="756"/>
        <v>0</v>
      </c>
      <c r="W539" s="146">
        <f t="shared" si="756"/>
        <v>0</v>
      </c>
      <c r="X539" s="146">
        <f t="shared" si="756"/>
        <v>0</v>
      </c>
      <c r="Y539" s="146">
        <f t="shared" si="756"/>
        <v>0</v>
      </c>
      <c r="Z539" s="146">
        <f t="shared" si="756"/>
        <v>0</v>
      </c>
      <c r="AA539" s="128">
        <f t="shared" si="701"/>
        <v>0</v>
      </c>
      <c r="AB539" s="128">
        <f t="shared" si="649"/>
        <v>6828499.0099999998</v>
      </c>
      <c r="AC539" s="175">
        <f t="shared" si="619"/>
        <v>1</v>
      </c>
    </row>
    <row r="540" spans="2:29" ht="14.25" hidden="1" x14ac:dyDescent="0.2">
      <c r="B540" s="76" t="s">
        <v>1584</v>
      </c>
      <c r="C540" s="77" t="s">
        <v>1583</v>
      </c>
      <c r="D540" s="41"/>
      <c r="E540" s="188">
        <f>SUM('ADICIONES  2021'!C540:I540)</f>
        <v>6828499.0099999998</v>
      </c>
      <c r="F540" s="41"/>
      <c r="G540" s="41"/>
      <c r="H540" s="41"/>
      <c r="I540" s="41"/>
      <c r="J540" s="41"/>
      <c r="K540" s="128">
        <f t="shared" si="645"/>
        <v>6828499.0099999998</v>
      </c>
      <c r="L540" s="41"/>
      <c r="M540" s="41"/>
      <c r="N540" s="41"/>
      <c r="O540" s="41"/>
      <c r="P540" s="41">
        <v>6828499.0099999998</v>
      </c>
      <c r="Q540" s="409"/>
      <c r="R540" s="128">
        <f t="shared" si="754"/>
        <v>6828499.0099999998</v>
      </c>
      <c r="S540" s="41"/>
      <c r="T540" s="41"/>
      <c r="U540" s="41"/>
      <c r="V540" s="41"/>
      <c r="W540" s="41"/>
      <c r="X540" s="41"/>
      <c r="Y540" s="41"/>
      <c r="Z540" s="41"/>
      <c r="AA540" s="128">
        <f t="shared" si="701"/>
        <v>0</v>
      </c>
      <c r="AB540" s="128">
        <f t="shared" si="649"/>
        <v>6828499.0099999998</v>
      </c>
      <c r="AC540" s="175">
        <f t="shared" si="619"/>
        <v>1</v>
      </c>
    </row>
    <row r="541" spans="2:29" ht="31.5" hidden="1" x14ac:dyDescent="0.2">
      <c r="B541" s="81" t="s">
        <v>1585</v>
      </c>
      <c r="C541" s="79" t="s">
        <v>1586</v>
      </c>
      <c r="D541" s="146">
        <f>+D542</f>
        <v>0</v>
      </c>
      <c r="E541" s="187">
        <f>SUM('ADICIONES  2021'!C541:I541)</f>
        <v>302919</v>
      </c>
      <c r="F541" s="146">
        <f>+F542</f>
        <v>0</v>
      </c>
      <c r="G541" s="146">
        <f>+G542</f>
        <v>0</v>
      </c>
      <c r="H541" s="146">
        <f>+H542</f>
        <v>0</v>
      </c>
      <c r="I541" s="146">
        <f>+I542</f>
        <v>0</v>
      </c>
      <c r="J541" s="146">
        <f>+J542</f>
        <v>0</v>
      </c>
      <c r="K541" s="128">
        <f t="shared" si="645"/>
        <v>302919</v>
      </c>
      <c r="L541" s="146">
        <f t="shared" ref="L541:Q541" si="757">+L542</f>
        <v>0</v>
      </c>
      <c r="M541" s="146">
        <f t="shared" si="757"/>
        <v>0</v>
      </c>
      <c r="N541" s="146">
        <f t="shared" si="757"/>
        <v>0</v>
      </c>
      <c r="O541" s="146">
        <f t="shared" si="757"/>
        <v>0</v>
      </c>
      <c r="P541" s="146">
        <f t="shared" si="757"/>
        <v>302919</v>
      </c>
      <c r="Q541" s="411">
        <f t="shared" si="757"/>
        <v>0</v>
      </c>
      <c r="R541" s="128">
        <f t="shared" si="754"/>
        <v>302919</v>
      </c>
      <c r="S541" s="146">
        <f t="shared" ref="S541:Z541" si="758">+S542</f>
        <v>0</v>
      </c>
      <c r="T541" s="146">
        <f t="shared" si="758"/>
        <v>0</v>
      </c>
      <c r="U541" s="146">
        <f t="shared" si="758"/>
        <v>0</v>
      </c>
      <c r="V541" s="146">
        <f t="shared" si="758"/>
        <v>0</v>
      </c>
      <c r="W541" s="146">
        <f t="shared" si="758"/>
        <v>0</v>
      </c>
      <c r="X541" s="146">
        <f t="shared" si="758"/>
        <v>0</v>
      </c>
      <c r="Y541" s="146">
        <f t="shared" si="758"/>
        <v>0</v>
      </c>
      <c r="Z541" s="146">
        <f t="shared" si="758"/>
        <v>0</v>
      </c>
      <c r="AA541" s="128">
        <f t="shared" si="701"/>
        <v>0</v>
      </c>
      <c r="AB541" s="128">
        <f t="shared" si="649"/>
        <v>302919</v>
      </c>
      <c r="AC541" s="175">
        <f t="shared" si="619"/>
        <v>1</v>
      </c>
    </row>
    <row r="542" spans="2:29" ht="28.5" hidden="1" x14ac:dyDescent="0.2">
      <c r="B542" s="76" t="s">
        <v>1587</v>
      </c>
      <c r="C542" s="77" t="s">
        <v>1586</v>
      </c>
      <c r="D542" s="41"/>
      <c r="E542" s="188">
        <f>SUM('ADICIONES  2021'!C542:I542)</f>
        <v>302919</v>
      </c>
      <c r="F542" s="41"/>
      <c r="G542" s="41"/>
      <c r="H542" s="41"/>
      <c r="I542" s="41"/>
      <c r="J542" s="41"/>
      <c r="K542" s="128">
        <f t="shared" si="645"/>
        <v>302919</v>
      </c>
      <c r="L542" s="41"/>
      <c r="M542" s="41"/>
      <c r="N542" s="41"/>
      <c r="O542" s="41"/>
      <c r="P542" s="41">
        <v>302919</v>
      </c>
      <c r="Q542" s="409"/>
      <c r="R542" s="128">
        <f t="shared" si="754"/>
        <v>302919</v>
      </c>
      <c r="S542" s="41"/>
      <c r="T542" s="41"/>
      <c r="U542" s="41"/>
      <c r="V542" s="41"/>
      <c r="W542" s="41"/>
      <c r="X542" s="41"/>
      <c r="Y542" s="41"/>
      <c r="Z542" s="41"/>
      <c r="AA542" s="128">
        <f t="shared" si="701"/>
        <v>0</v>
      </c>
      <c r="AB542" s="128">
        <f t="shared" si="649"/>
        <v>302919</v>
      </c>
      <c r="AC542" s="175">
        <f t="shared" si="619"/>
        <v>1</v>
      </c>
    </row>
    <row r="543" spans="2:29" ht="31.5" hidden="1" x14ac:dyDescent="0.2">
      <c r="B543" s="81" t="s">
        <v>1588</v>
      </c>
      <c r="C543" s="79" t="s">
        <v>1589</v>
      </c>
      <c r="D543" s="146">
        <f>+D544</f>
        <v>0</v>
      </c>
      <c r="E543" s="187">
        <f>SUM('ADICIONES  2021'!C543:I543)</f>
        <v>1000000</v>
      </c>
      <c r="F543" s="146">
        <f>+F544</f>
        <v>0</v>
      </c>
      <c r="G543" s="146">
        <f>+G544</f>
        <v>0</v>
      </c>
      <c r="H543" s="146">
        <f>+H544</f>
        <v>0</v>
      </c>
      <c r="I543" s="146">
        <f>+I544</f>
        <v>0</v>
      </c>
      <c r="J543" s="146">
        <f>+J544</f>
        <v>0</v>
      </c>
      <c r="K543" s="128">
        <f t="shared" si="645"/>
        <v>1000000</v>
      </c>
      <c r="L543" s="146">
        <f t="shared" ref="L543:Q543" si="759">+L544</f>
        <v>0</v>
      </c>
      <c r="M543" s="146">
        <f t="shared" si="759"/>
        <v>0</v>
      </c>
      <c r="N543" s="146">
        <f t="shared" si="759"/>
        <v>0</v>
      </c>
      <c r="O543" s="146">
        <f t="shared" si="759"/>
        <v>0</v>
      </c>
      <c r="P543" s="146">
        <f t="shared" si="759"/>
        <v>1000000</v>
      </c>
      <c r="Q543" s="411">
        <f t="shared" si="759"/>
        <v>0</v>
      </c>
      <c r="R543" s="128">
        <f t="shared" si="754"/>
        <v>1000000</v>
      </c>
      <c r="S543" s="146">
        <f t="shared" ref="S543:Z543" si="760">+S544</f>
        <v>0</v>
      </c>
      <c r="T543" s="146">
        <f t="shared" si="760"/>
        <v>0</v>
      </c>
      <c r="U543" s="146">
        <f t="shared" si="760"/>
        <v>0</v>
      </c>
      <c r="V543" s="146">
        <f t="shared" si="760"/>
        <v>0</v>
      </c>
      <c r="W543" s="146">
        <f t="shared" si="760"/>
        <v>0</v>
      </c>
      <c r="X543" s="146">
        <f t="shared" si="760"/>
        <v>0</v>
      </c>
      <c r="Y543" s="146">
        <f t="shared" si="760"/>
        <v>0</v>
      </c>
      <c r="Z543" s="146">
        <f t="shared" si="760"/>
        <v>0</v>
      </c>
      <c r="AA543" s="128">
        <f t="shared" si="701"/>
        <v>0</v>
      </c>
      <c r="AB543" s="128">
        <f t="shared" si="649"/>
        <v>1000000</v>
      </c>
      <c r="AC543" s="175">
        <f t="shared" si="619"/>
        <v>1</v>
      </c>
    </row>
    <row r="544" spans="2:29" ht="28.5" hidden="1" x14ac:dyDescent="0.2">
      <c r="B544" s="76" t="s">
        <v>1590</v>
      </c>
      <c r="C544" s="77" t="s">
        <v>1589</v>
      </c>
      <c r="D544" s="41"/>
      <c r="E544" s="188">
        <f>SUM('ADICIONES  2021'!C544:I544)</f>
        <v>1000000</v>
      </c>
      <c r="F544" s="41"/>
      <c r="G544" s="41"/>
      <c r="H544" s="41"/>
      <c r="I544" s="41"/>
      <c r="J544" s="41"/>
      <c r="K544" s="128">
        <f t="shared" si="645"/>
        <v>1000000</v>
      </c>
      <c r="L544" s="41"/>
      <c r="M544" s="41"/>
      <c r="N544" s="41"/>
      <c r="O544" s="41"/>
      <c r="P544" s="41">
        <v>1000000</v>
      </c>
      <c r="Q544" s="409"/>
      <c r="R544" s="128">
        <f t="shared" si="754"/>
        <v>1000000</v>
      </c>
      <c r="S544" s="41"/>
      <c r="T544" s="41"/>
      <c r="U544" s="41"/>
      <c r="V544" s="41"/>
      <c r="W544" s="41"/>
      <c r="X544" s="41"/>
      <c r="Y544" s="41"/>
      <c r="Z544" s="41"/>
      <c r="AA544" s="128">
        <f t="shared" ref="AA544:AA565" si="761">SUM(S544:Z544)</f>
        <v>0</v>
      </c>
      <c r="AB544" s="128">
        <f t="shared" si="649"/>
        <v>1000000</v>
      </c>
      <c r="AC544" s="175">
        <f t="shared" si="619"/>
        <v>1</v>
      </c>
    </row>
    <row r="545" spans="2:29" ht="15.75" hidden="1" x14ac:dyDescent="0.2">
      <c r="B545" s="81" t="s">
        <v>1591</v>
      </c>
      <c r="C545" s="79" t="s">
        <v>1592</v>
      </c>
      <c r="D545" s="146">
        <f>+D546</f>
        <v>0</v>
      </c>
      <c r="E545" s="187">
        <f>SUM('ADICIONES  2021'!C545:I545)</f>
        <v>30926960</v>
      </c>
      <c r="F545" s="146">
        <f>+F546</f>
        <v>0</v>
      </c>
      <c r="G545" s="146">
        <f>+G546</f>
        <v>0</v>
      </c>
      <c r="H545" s="146">
        <f>+H546</f>
        <v>0</v>
      </c>
      <c r="I545" s="146">
        <f>+I546</f>
        <v>0</v>
      </c>
      <c r="J545" s="146">
        <f>+J546</f>
        <v>0</v>
      </c>
      <c r="K545" s="128">
        <f t="shared" si="645"/>
        <v>30926960</v>
      </c>
      <c r="L545" s="146">
        <f t="shared" ref="L545:Q545" si="762">+L546</f>
        <v>0</v>
      </c>
      <c r="M545" s="146">
        <f t="shared" si="762"/>
        <v>0</v>
      </c>
      <c r="N545" s="146">
        <f t="shared" si="762"/>
        <v>0</v>
      </c>
      <c r="O545" s="146">
        <f t="shared" si="762"/>
        <v>0</v>
      </c>
      <c r="P545" s="146">
        <f t="shared" si="762"/>
        <v>30926960</v>
      </c>
      <c r="Q545" s="411">
        <f t="shared" si="762"/>
        <v>0</v>
      </c>
      <c r="R545" s="128">
        <f t="shared" si="754"/>
        <v>30926960</v>
      </c>
      <c r="S545" s="146">
        <f t="shared" ref="S545:Z545" si="763">+S546</f>
        <v>0</v>
      </c>
      <c r="T545" s="146">
        <f t="shared" si="763"/>
        <v>0</v>
      </c>
      <c r="U545" s="146">
        <f t="shared" si="763"/>
        <v>0</v>
      </c>
      <c r="V545" s="146">
        <f t="shared" si="763"/>
        <v>0</v>
      </c>
      <c r="W545" s="146">
        <f t="shared" si="763"/>
        <v>0</v>
      </c>
      <c r="X545" s="146">
        <f t="shared" si="763"/>
        <v>0</v>
      </c>
      <c r="Y545" s="146">
        <f t="shared" si="763"/>
        <v>0</v>
      </c>
      <c r="Z545" s="146">
        <f t="shared" si="763"/>
        <v>0</v>
      </c>
      <c r="AA545" s="128">
        <f t="shared" si="761"/>
        <v>0</v>
      </c>
      <c r="AB545" s="128">
        <f t="shared" si="649"/>
        <v>30926960</v>
      </c>
      <c r="AC545" s="175">
        <f t="shared" si="619"/>
        <v>1</v>
      </c>
    </row>
    <row r="546" spans="2:29" ht="14.25" hidden="1" x14ac:dyDescent="0.2">
      <c r="B546" s="76" t="s">
        <v>1593</v>
      </c>
      <c r="C546" s="77" t="s">
        <v>1592</v>
      </c>
      <c r="D546" s="41"/>
      <c r="E546" s="188">
        <f>SUM('ADICIONES  2021'!C546:I546)</f>
        <v>30926960</v>
      </c>
      <c r="F546" s="41"/>
      <c r="G546" s="41"/>
      <c r="H546" s="41"/>
      <c r="I546" s="41"/>
      <c r="J546" s="41"/>
      <c r="K546" s="128">
        <f t="shared" si="645"/>
        <v>30926960</v>
      </c>
      <c r="L546" s="41"/>
      <c r="M546" s="41"/>
      <c r="N546" s="41"/>
      <c r="O546" s="41"/>
      <c r="P546" s="41">
        <v>30926960</v>
      </c>
      <c r="Q546" s="409"/>
      <c r="R546" s="128">
        <f t="shared" si="754"/>
        <v>30926960</v>
      </c>
      <c r="S546" s="41"/>
      <c r="T546" s="41"/>
      <c r="U546" s="41"/>
      <c r="V546" s="41"/>
      <c r="W546" s="41"/>
      <c r="X546" s="41"/>
      <c r="Y546" s="41"/>
      <c r="Z546" s="41"/>
      <c r="AA546" s="128">
        <f t="shared" si="761"/>
        <v>0</v>
      </c>
      <c r="AB546" s="128">
        <f t="shared" si="649"/>
        <v>30926960</v>
      </c>
      <c r="AC546" s="175">
        <f t="shared" si="619"/>
        <v>1</v>
      </c>
    </row>
    <row r="547" spans="2:29" ht="15.75" hidden="1" x14ac:dyDescent="0.2">
      <c r="B547" s="81" t="s">
        <v>1594</v>
      </c>
      <c r="C547" s="79" t="s">
        <v>1595</v>
      </c>
      <c r="D547" s="146">
        <f>+D548</f>
        <v>0</v>
      </c>
      <c r="E547" s="187">
        <f>SUM('ADICIONES  2021'!C547:I547)</f>
        <v>1820196924.4300001</v>
      </c>
      <c r="F547" s="146">
        <f>+F548</f>
        <v>0</v>
      </c>
      <c r="G547" s="146">
        <f>+G548</f>
        <v>0</v>
      </c>
      <c r="H547" s="146">
        <f>+H548</f>
        <v>0</v>
      </c>
      <c r="I547" s="146">
        <f>+I548</f>
        <v>0</v>
      </c>
      <c r="J547" s="146">
        <f>+J548</f>
        <v>0</v>
      </c>
      <c r="K547" s="128">
        <f t="shared" si="645"/>
        <v>1820196924.4300001</v>
      </c>
      <c r="L547" s="146">
        <f t="shared" ref="L547:Q547" si="764">+L548</f>
        <v>0</v>
      </c>
      <c r="M547" s="146">
        <f t="shared" si="764"/>
        <v>0</v>
      </c>
      <c r="N547" s="146">
        <f t="shared" si="764"/>
        <v>0</v>
      </c>
      <c r="O547" s="146">
        <f t="shared" si="764"/>
        <v>0</v>
      </c>
      <c r="P547" s="146">
        <f t="shared" si="764"/>
        <v>1820196924.4300001</v>
      </c>
      <c r="Q547" s="411">
        <f t="shared" si="764"/>
        <v>0</v>
      </c>
      <c r="R547" s="128">
        <f t="shared" si="754"/>
        <v>1820196924.4300001</v>
      </c>
      <c r="S547" s="146">
        <f t="shared" ref="S547:Z547" si="765">+S548</f>
        <v>0</v>
      </c>
      <c r="T547" s="146">
        <f t="shared" si="765"/>
        <v>0</v>
      </c>
      <c r="U547" s="146">
        <f t="shared" si="765"/>
        <v>0</v>
      </c>
      <c r="V547" s="146">
        <f t="shared" si="765"/>
        <v>0</v>
      </c>
      <c r="W547" s="146">
        <f t="shared" si="765"/>
        <v>0</v>
      </c>
      <c r="X547" s="146">
        <f t="shared" si="765"/>
        <v>0</v>
      </c>
      <c r="Y547" s="146">
        <f t="shared" si="765"/>
        <v>0</v>
      </c>
      <c r="Z547" s="146">
        <f t="shared" si="765"/>
        <v>0</v>
      </c>
      <c r="AA547" s="128">
        <f t="shared" si="761"/>
        <v>0</v>
      </c>
      <c r="AB547" s="128">
        <f t="shared" si="649"/>
        <v>1820196924.4300001</v>
      </c>
      <c r="AC547" s="175">
        <f t="shared" si="619"/>
        <v>1</v>
      </c>
    </row>
    <row r="548" spans="2:29" ht="14.25" hidden="1" x14ac:dyDescent="0.2">
      <c r="B548" s="76" t="s">
        <v>1596</v>
      </c>
      <c r="C548" s="77" t="s">
        <v>1595</v>
      </c>
      <c r="D548" s="41"/>
      <c r="E548" s="188">
        <f>SUM('ADICIONES  2021'!C548:I548)</f>
        <v>1820196924.4300001</v>
      </c>
      <c r="F548" s="41"/>
      <c r="G548" s="41"/>
      <c r="H548" s="41"/>
      <c r="I548" s="41"/>
      <c r="J548" s="41"/>
      <c r="K548" s="128">
        <f t="shared" si="645"/>
        <v>1820196924.4300001</v>
      </c>
      <c r="L548" s="41"/>
      <c r="M548" s="41"/>
      <c r="N548" s="41"/>
      <c r="O548" s="41"/>
      <c r="P548" s="41">
        <v>1820196924.4300001</v>
      </c>
      <c r="Q548" s="409"/>
      <c r="R548" s="128">
        <f t="shared" si="754"/>
        <v>1820196924.4300001</v>
      </c>
      <c r="S548" s="41"/>
      <c r="T548" s="41"/>
      <c r="U548" s="41"/>
      <c r="V548" s="41"/>
      <c r="W548" s="41"/>
      <c r="X548" s="41"/>
      <c r="Y548" s="41"/>
      <c r="Z548" s="41"/>
      <c r="AA548" s="128">
        <f t="shared" si="761"/>
        <v>0</v>
      </c>
      <c r="AB548" s="128">
        <f t="shared" si="649"/>
        <v>1820196924.4300001</v>
      </c>
      <c r="AC548" s="175">
        <f t="shared" si="619"/>
        <v>1</v>
      </c>
    </row>
    <row r="549" spans="2:29" ht="31.5" hidden="1" x14ac:dyDescent="0.2">
      <c r="B549" s="81" t="s">
        <v>1597</v>
      </c>
      <c r="C549" s="79" t="s">
        <v>1598</v>
      </c>
      <c r="D549" s="146">
        <f>+D550</f>
        <v>0</v>
      </c>
      <c r="E549" s="187">
        <f>SUM('ADICIONES  2021'!C549:I549)</f>
        <v>26914974.489999998</v>
      </c>
      <c r="F549" s="146">
        <f>+F550</f>
        <v>0</v>
      </c>
      <c r="G549" s="146">
        <f>+G550</f>
        <v>0</v>
      </c>
      <c r="H549" s="146">
        <f>+H550</f>
        <v>0</v>
      </c>
      <c r="I549" s="146">
        <f>+I550</f>
        <v>0</v>
      </c>
      <c r="J549" s="146">
        <f>+J550</f>
        <v>0</v>
      </c>
      <c r="K549" s="128">
        <f t="shared" si="645"/>
        <v>26914974.489999998</v>
      </c>
      <c r="L549" s="146">
        <f t="shared" ref="L549:Q549" si="766">+L550</f>
        <v>0</v>
      </c>
      <c r="M549" s="146">
        <f t="shared" si="766"/>
        <v>0</v>
      </c>
      <c r="N549" s="146">
        <f t="shared" si="766"/>
        <v>0</v>
      </c>
      <c r="O549" s="146">
        <f t="shared" si="766"/>
        <v>0</v>
      </c>
      <c r="P549" s="146">
        <f t="shared" si="766"/>
        <v>26914974.489999998</v>
      </c>
      <c r="Q549" s="411">
        <f t="shared" si="766"/>
        <v>0</v>
      </c>
      <c r="R549" s="128">
        <f t="shared" si="754"/>
        <v>26914974.489999998</v>
      </c>
      <c r="S549" s="146">
        <f t="shared" ref="S549:Z549" si="767">+S550</f>
        <v>0</v>
      </c>
      <c r="T549" s="146">
        <f t="shared" si="767"/>
        <v>0</v>
      </c>
      <c r="U549" s="146">
        <f t="shared" si="767"/>
        <v>0</v>
      </c>
      <c r="V549" s="146">
        <f t="shared" si="767"/>
        <v>0</v>
      </c>
      <c r="W549" s="146">
        <f t="shared" si="767"/>
        <v>0</v>
      </c>
      <c r="X549" s="146">
        <f t="shared" si="767"/>
        <v>0</v>
      </c>
      <c r="Y549" s="146">
        <f t="shared" si="767"/>
        <v>0</v>
      </c>
      <c r="Z549" s="146">
        <f t="shared" si="767"/>
        <v>0</v>
      </c>
      <c r="AA549" s="128">
        <f t="shared" si="761"/>
        <v>0</v>
      </c>
      <c r="AB549" s="128">
        <f t="shared" si="649"/>
        <v>26914974.489999998</v>
      </c>
      <c r="AC549" s="175">
        <f t="shared" si="619"/>
        <v>1</v>
      </c>
    </row>
    <row r="550" spans="2:29" ht="28.5" hidden="1" x14ac:dyDescent="0.2">
      <c r="B550" s="76" t="s">
        <v>1599</v>
      </c>
      <c r="C550" s="77" t="s">
        <v>1598</v>
      </c>
      <c r="D550" s="41"/>
      <c r="E550" s="188">
        <f>SUM('ADICIONES  2021'!C550:I550)</f>
        <v>26914974.489999998</v>
      </c>
      <c r="F550" s="41"/>
      <c r="G550" s="41"/>
      <c r="H550" s="41"/>
      <c r="I550" s="41"/>
      <c r="J550" s="41"/>
      <c r="K550" s="128">
        <f t="shared" si="645"/>
        <v>26914974.489999998</v>
      </c>
      <c r="L550" s="41"/>
      <c r="M550" s="41"/>
      <c r="N550" s="41"/>
      <c r="O550" s="41"/>
      <c r="P550" s="41">
        <v>26914974.489999998</v>
      </c>
      <c r="Q550" s="409"/>
      <c r="R550" s="128">
        <f t="shared" si="754"/>
        <v>26914974.489999998</v>
      </c>
      <c r="S550" s="41"/>
      <c r="T550" s="41"/>
      <c r="U550" s="41"/>
      <c r="V550" s="41"/>
      <c r="W550" s="41"/>
      <c r="X550" s="41"/>
      <c r="Y550" s="41"/>
      <c r="Z550" s="41"/>
      <c r="AA550" s="128">
        <f t="shared" si="761"/>
        <v>0</v>
      </c>
      <c r="AB550" s="128">
        <f t="shared" si="649"/>
        <v>26914974.489999998</v>
      </c>
      <c r="AC550" s="175">
        <f t="shared" si="619"/>
        <v>1</v>
      </c>
    </row>
    <row r="551" spans="2:29" ht="15.75" hidden="1" x14ac:dyDescent="0.2">
      <c r="B551" s="81" t="s">
        <v>1600</v>
      </c>
      <c r="C551" s="79" t="s">
        <v>1601</v>
      </c>
      <c r="D551" s="146">
        <f>+D552</f>
        <v>0</v>
      </c>
      <c r="E551" s="187">
        <f>SUM('ADICIONES  2021'!C551:I551)</f>
        <v>64231303.409999996</v>
      </c>
      <c r="F551" s="146">
        <f>+F552</f>
        <v>0</v>
      </c>
      <c r="G551" s="146">
        <f>+G552</f>
        <v>0</v>
      </c>
      <c r="H551" s="146">
        <f>+H552</f>
        <v>0</v>
      </c>
      <c r="I551" s="146">
        <f>+I552</f>
        <v>0</v>
      </c>
      <c r="J551" s="146">
        <f>+J552</f>
        <v>0</v>
      </c>
      <c r="K551" s="128">
        <f t="shared" si="645"/>
        <v>64231303.409999996</v>
      </c>
      <c r="L551" s="146">
        <f t="shared" ref="L551:Q551" si="768">+L552</f>
        <v>0</v>
      </c>
      <c r="M551" s="146">
        <f t="shared" si="768"/>
        <v>0</v>
      </c>
      <c r="N551" s="146">
        <f t="shared" si="768"/>
        <v>0</v>
      </c>
      <c r="O551" s="146">
        <f t="shared" si="768"/>
        <v>0</v>
      </c>
      <c r="P551" s="146">
        <f t="shared" si="768"/>
        <v>64231303.409999996</v>
      </c>
      <c r="Q551" s="411">
        <f t="shared" si="768"/>
        <v>0</v>
      </c>
      <c r="R551" s="128">
        <f t="shared" si="754"/>
        <v>64231303.409999996</v>
      </c>
      <c r="S551" s="146">
        <f t="shared" ref="S551:Z551" si="769">+S552</f>
        <v>0</v>
      </c>
      <c r="T551" s="146">
        <f t="shared" si="769"/>
        <v>0</v>
      </c>
      <c r="U551" s="146">
        <f t="shared" si="769"/>
        <v>0</v>
      </c>
      <c r="V551" s="146">
        <f t="shared" si="769"/>
        <v>0</v>
      </c>
      <c r="W551" s="146">
        <f t="shared" si="769"/>
        <v>0</v>
      </c>
      <c r="X551" s="146">
        <f t="shared" si="769"/>
        <v>0</v>
      </c>
      <c r="Y551" s="146">
        <f t="shared" si="769"/>
        <v>0</v>
      </c>
      <c r="Z551" s="146">
        <f t="shared" si="769"/>
        <v>0</v>
      </c>
      <c r="AA551" s="128">
        <f t="shared" si="761"/>
        <v>0</v>
      </c>
      <c r="AB551" s="128">
        <f t="shared" si="649"/>
        <v>64231303.409999996</v>
      </c>
      <c r="AC551" s="175">
        <f t="shared" si="619"/>
        <v>1</v>
      </c>
    </row>
    <row r="552" spans="2:29" ht="14.25" hidden="1" x14ac:dyDescent="0.2">
      <c r="B552" s="76" t="s">
        <v>1602</v>
      </c>
      <c r="C552" s="77" t="s">
        <v>1601</v>
      </c>
      <c r="D552" s="41"/>
      <c r="E552" s="188">
        <f>SUM('ADICIONES  2021'!C552:I552)</f>
        <v>64231303.409999996</v>
      </c>
      <c r="F552" s="41"/>
      <c r="G552" s="41"/>
      <c r="H552" s="41"/>
      <c r="I552" s="41"/>
      <c r="J552" s="41"/>
      <c r="K552" s="128">
        <f t="shared" si="645"/>
        <v>64231303.409999996</v>
      </c>
      <c r="L552" s="41"/>
      <c r="M552" s="41"/>
      <c r="N552" s="41"/>
      <c r="O552" s="41"/>
      <c r="P552" s="41">
        <v>64231303.409999996</v>
      </c>
      <c r="Q552" s="409"/>
      <c r="R552" s="128">
        <f t="shared" si="754"/>
        <v>64231303.409999996</v>
      </c>
      <c r="S552" s="41"/>
      <c r="T552" s="41"/>
      <c r="U552" s="41"/>
      <c r="V552" s="41"/>
      <c r="W552" s="41"/>
      <c r="X552" s="41"/>
      <c r="Y552" s="41"/>
      <c r="Z552" s="41"/>
      <c r="AA552" s="128">
        <f t="shared" si="761"/>
        <v>0</v>
      </c>
      <c r="AB552" s="128">
        <f t="shared" si="649"/>
        <v>64231303.409999996</v>
      </c>
      <c r="AC552" s="175">
        <f t="shared" si="619"/>
        <v>1</v>
      </c>
    </row>
    <row r="553" spans="2:29" ht="15.75" hidden="1" x14ac:dyDescent="0.2">
      <c r="B553" s="81" t="s">
        <v>1603</v>
      </c>
      <c r="C553" s="79" t="s">
        <v>1601</v>
      </c>
      <c r="D553" s="146">
        <f>+D554</f>
        <v>0</v>
      </c>
      <c r="E553" s="187">
        <f>SUM('ADICIONES  2021'!C553:I553)</f>
        <v>18464558</v>
      </c>
      <c r="F553" s="146">
        <f>+F554</f>
        <v>0</v>
      </c>
      <c r="G553" s="146">
        <f>+G554</f>
        <v>0</v>
      </c>
      <c r="H553" s="146">
        <f>+H554</f>
        <v>0</v>
      </c>
      <c r="I553" s="146">
        <f>+I554</f>
        <v>0</v>
      </c>
      <c r="J553" s="146">
        <f>+J554</f>
        <v>0</v>
      </c>
      <c r="K553" s="128">
        <f t="shared" si="645"/>
        <v>18464558</v>
      </c>
      <c r="L553" s="146">
        <f t="shared" ref="L553:Q553" si="770">+L554</f>
        <v>0</v>
      </c>
      <c r="M553" s="146">
        <f t="shared" si="770"/>
        <v>0</v>
      </c>
      <c r="N553" s="146">
        <f t="shared" si="770"/>
        <v>0</v>
      </c>
      <c r="O553" s="146">
        <f t="shared" si="770"/>
        <v>0</v>
      </c>
      <c r="P553" s="146">
        <f t="shared" si="770"/>
        <v>18464558</v>
      </c>
      <c r="Q553" s="411">
        <f t="shared" si="770"/>
        <v>0</v>
      </c>
      <c r="R553" s="128">
        <f t="shared" si="754"/>
        <v>18464558</v>
      </c>
      <c r="S553" s="146">
        <f t="shared" ref="S553:Z553" si="771">+S554</f>
        <v>0</v>
      </c>
      <c r="T553" s="146">
        <f t="shared" si="771"/>
        <v>0</v>
      </c>
      <c r="U553" s="146">
        <f t="shared" si="771"/>
        <v>0</v>
      </c>
      <c r="V553" s="146">
        <f t="shared" si="771"/>
        <v>0</v>
      </c>
      <c r="W553" s="146">
        <f t="shared" si="771"/>
        <v>0</v>
      </c>
      <c r="X553" s="146">
        <f t="shared" si="771"/>
        <v>0</v>
      </c>
      <c r="Y553" s="146">
        <f t="shared" si="771"/>
        <v>0</v>
      </c>
      <c r="Z553" s="146">
        <f t="shared" si="771"/>
        <v>0</v>
      </c>
      <c r="AA553" s="128">
        <f t="shared" si="761"/>
        <v>0</v>
      </c>
      <c r="AB553" s="128">
        <f t="shared" si="649"/>
        <v>18464558</v>
      </c>
      <c r="AC553" s="175">
        <f t="shared" si="619"/>
        <v>1</v>
      </c>
    </row>
    <row r="554" spans="2:29" ht="14.25" hidden="1" x14ac:dyDescent="0.2">
      <c r="B554" s="76" t="s">
        <v>1604</v>
      </c>
      <c r="C554" s="77" t="s">
        <v>1605</v>
      </c>
      <c r="D554" s="41"/>
      <c r="E554" s="188">
        <f>SUM('ADICIONES  2021'!C554:I554)</f>
        <v>18464558</v>
      </c>
      <c r="F554" s="41"/>
      <c r="G554" s="41"/>
      <c r="H554" s="41"/>
      <c r="I554" s="41"/>
      <c r="J554" s="41"/>
      <c r="K554" s="128">
        <f t="shared" si="645"/>
        <v>18464558</v>
      </c>
      <c r="L554" s="41"/>
      <c r="M554" s="41"/>
      <c r="N554" s="41"/>
      <c r="O554" s="41"/>
      <c r="P554" s="41">
        <v>18464558</v>
      </c>
      <c r="Q554" s="409"/>
      <c r="R554" s="128">
        <f t="shared" si="754"/>
        <v>18464558</v>
      </c>
      <c r="S554" s="41"/>
      <c r="T554" s="41"/>
      <c r="U554" s="41"/>
      <c r="V554" s="41"/>
      <c r="W554" s="41"/>
      <c r="X554" s="41"/>
      <c r="Y554" s="41"/>
      <c r="Z554" s="41"/>
      <c r="AA554" s="128">
        <f t="shared" si="761"/>
        <v>0</v>
      </c>
      <c r="AB554" s="128">
        <f t="shared" si="649"/>
        <v>18464558</v>
      </c>
      <c r="AC554" s="175">
        <f t="shared" si="619"/>
        <v>1</v>
      </c>
    </row>
    <row r="555" spans="2:29" ht="15.75" hidden="1" x14ac:dyDescent="0.2">
      <c r="B555" s="81" t="s">
        <v>1606</v>
      </c>
      <c r="C555" s="79" t="s">
        <v>1607</v>
      </c>
      <c r="D555" s="146">
        <f>+D556+D558</f>
        <v>0</v>
      </c>
      <c r="E555" s="187">
        <f>SUM('ADICIONES  2021'!C555:I555)</f>
        <v>575059092</v>
      </c>
      <c r="F555" s="146">
        <f t="shared" ref="F555:J555" si="772">+F556+F558</f>
        <v>0</v>
      </c>
      <c r="G555" s="146">
        <f t="shared" si="772"/>
        <v>0</v>
      </c>
      <c r="H555" s="146">
        <f t="shared" si="772"/>
        <v>0</v>
      </c>
      <c r="I555" s="146">
        <f t="shared" si="772"/>
        <v>0</v>
      </c>
      <c r="J555" s="146">
        <f t="shared" si="772"/>
        <v>0</v>
      </c>
      <c r="K555" s="128">
        <f t="shared" si="645"/>
        <v>575059092</v>
      </c>
      <c r="L555" s="146">
        <f t="shared" ref="L555:Q555" si="773">+L556+L558</f>
        <v>0</v>
      </c>
      <c r="M555" s="146">
        <f t="shared" si="773"/>
        <v>0</v>
      </c>
      <c r="N555" s="146">
        <f t="shared" si="773"/>
        <v>0</v>
      </c>
      <c r="O555" s="146">
        <f t="shared" si="773"/>
        <v>0</v>
      </c>
      <c r="P555" s="146">
        <f t="shared" si="773"/>
        <v>575059092</v>
      </c>
      <c r="Q555" s="411">
        <f t="shared" si="773"/>
        <v>0</v>
      </c>
      <c r="R555" s="128">
        <f t="shared" si="754"/>
        <v>575059092</v>
      </c>
      <c r="S555" s="146">
        <f t="shared" ref="S555:Z555" si="774">+S556+S558</f>
        <v>0</v>
      </c>
      <c r="T555" s="146">
        <f t="shared" si="774"/>
        <v>0</v>
      </c>
      <c r="U555" s="146">
        <f t="shared" si="774"/>
        <v>0</v>
      </c>
      <c r="V555" s="146">
        <f t="shared" si="774"/>
        <v>0</v>
      </c>
      <c r="W555" s="146">
        <f t="shared" si="774"/>
        <v>0</v>
      </c>
      <c r="X555" s="146">
        <f t="shared" si="774"/>
        <v>0</v>
      </c>
      <c r="Y555" s="146">
        <f t="shared" si="774"/>
        <v>0</v>
      </c>
      <c r="Z555" s="146">
        <f t="shared" si="774"/>
        <v>0</v>
      </c>
      <c r="AA555" s="128">
        <f t="shared" si="761"/>
        <v>0</v>
      </c>
      <c r="AB555" s="128">
        <f t="shared" si="649"/>
        <v>575059092</v>
      </c>
      <c r="AC555" s="175">
        <f t="shared" si="619"/>
        <v>1</v>
      </c>
    </row>
    <row r="556" spans="2:29" ht="15.75" hidden="1" x14ac:dyDescent="0.2">
      <c r="B556" s="81" t="s">
        <v>1608</v>
      </c>
      <c r="C556" s="79" t="s">
        <v>1609</v>
      </c>
      <c r="D556" s="146">
        <f>+D557</f>
        <v>0</v>
      </c>
      <c r="E556" s="187">
        <f>SUM('ADICIONES  2021'!C556:I556)</f>
        <v>516752058</v>
      </c>
      <c r="F556" s="146">
        <f>+F557</f>
        <v>0</v>
      </c>
      <c r="G556" s="146">
        <f>+G557</f>
        <v>0</v>
      </c>
      <c r="H556" s="146">
        <f>+H557</f>
        <v>0</v>
      </c>
      <c r="I556" s="146">
        <f>+I557</f>
        <v>0</v>
      </c>
      <c r="J556" s="146">
        <f>+J557</f>
        <v>0</v>
      </c>
      <c r="K556" s="128">
        <f t="shared" si="645"/>
        <v>516752058</v>
      </c>
      <c r="L556" s="146">
        <f t="shared" ref="L556:Q556" si="775">+L557</f>
        <v>0</v>
      </c>
      <c r="M556" s="146">
        <f t="shared" si="775"/>
        <v>0</v>
      </c>
      <c r="N556" s="146">
        <f t="shared" si="775"/>
        <v>0</v>
      </c>
      <c r="O556" s="146">
        <f t="shared" si="775"/>
        <v>0</v>
      </c>
      <c r="P556" s="146">
        <f t="shared" si="775"/>
        <v>516752058</v>
      </c>
      <c r="Q556" s="411">
        <f t="shared" si="775"/>
        <v>0</v>
      </c>
      <c r="R556" s="128">
        <f t="shared" si="754"/>
        <v>516752058</v>
      </c>
      <c r="S556" s="146">
        <f t="shared" ref="S556:Z556" si="776">+S557</f>
        <v>0</v>
      </c>
      <c r="T556" s="146">
        <f t="shared" si="776"/>
        <v>0</v>
      </c>
      <c r="U556" s="146">
        <f t="shared" si="776"/>
        <v>0</v>
      </c>
      <c r="V556" s="146">
        <f t="shared" si="776"/>
        <v>0</v>
      </c>
      <c r="W556" s="146">
        <f t="shared" si="776"/>
        <v>0</v>
      </c>
      <c r="X556" s="146">
        <f t="shared" si="776"/>
        <v>0</v>
      </c>
      <c r="Y556" s="146">
        <f t="shared" si="776"/>
        <v>0</v>
      </c>
      <c r="Z556" s="146">
        <f t="shared" si="776"/>
        <v>0</v>
      </c>
      <c r="AA556" s="128">
        <f t="shared" si="761"/>
        <v>0</v>
      </c>
      <c r="AB556" s="128">
        <f t="shared" si="649"/>
        <v>516752058</v>
      </c>
      <c r="AC556" s="175">
        <f t="shared" si="619"/>
        <v>1</v>
      </c>
    </row>
    <row r="557" spans="2:29" ht="14.25" hidden="1" x14ac:dyDescent="0.2">
      <c r="B557" s="76" t="s">
        <v>1610</v>
      </c>
      <c r="C557" s="77" t="s">
        <v>1611</v>
      </c>
      <c r="D557" s="41"/>
      <c r="E557" s="188">
        <f>SUM('ADICIONES  2021'!C557:I557)</f>
        <v>516752058</v>
      </c>
      <c r="F557" s="41"/>
      <c r="G557" s="41"/>
      <c r="H557" s="41"/>
      <c r="I557" s="41"/>
      <c r="J557" s="41"/>
      <c r="K557" s="128">
        <f t="shared" si="645"/>
        <v>516752058</v>
      </c>
      <c r="L557" s="41"/>
      <c r="M557" s="41"/>
      <c r="N557" s="41"/>
      <c r="O557" s="41"/>
      <c r="P557" s="41">
        <v>516752058</v>
      </c>
      <c r="Q557" s="409"/>
      <c r="R557" s="128">
        <f t="shared" si="754"/>
        <v>516752058</v>
      </c>
      <c r="S557" s="41"/>
      <c r="T557" s="41"/>
      <c r="U557" s="41"/>
      <c r="V557" s="41"/>
      <c r="W557" s="41"/>
      <c r="X557" s="41"/>
      <c r="Y557" s="41"/>
      <c r="Z557" s="41"/>
      <c r="AA557" s="128">
        <f t="shared" si="761"/>
        <v>0</v>
      </c>
      <c r="AB557" s="128">
        <f t="shared" si="649"/>
        <v>516752058</v>
      </c>
      <c r="AC557" s="175">
        <f t="shared" si="619"/>
        <v>1</v>
      </c>
    </row>
    <row r="558" spans="2:29" ht="15.75" hidden="1" x14ac:dyDescent="0.2">
      <c r="B558" s="81" t="s">
        <v>1612</v>
      </c>
      <c r="C558" s="79" t="s">
        <v>1613</v>
      </c>
      <c r="D558" s="146">
        <f>+D559</f>
        <v>0</v>
      </c>
      <c r="E558" s="187">
        <f>SUM('ADICIONES  2021'!C558:I558)</f>
        <v>58307034</v>
      </c>
      <c r="F558" s="146">
        <f>+F559</f>
        <v>0</v>
      </c>
      <c r="G558" s="146">
        <f>+G559</f>
        <v>0</v>
      </c>
      <c r="H558" s="146">
        <f>+H559</f>
        <v>0</v>
      </c>
      <c r="I558" s="146">
        <f>+I559</f>
        <v>0</v>
      </c>
      <c r="J558" s="146">
        <f>+J559</f>
        <v>0</v>
      </c>
      <c r="K558" s="128">
        <f t="shared" si="645"/>
        <v>58307034</v>
      </c>
      <c r="L558" s="146">
        <f t="shared" ref="L558:Q558" si="777">+L559</f>
        <v>0</v>
      </c>
      <c r="M558" s="146">
        <f t="shared" si="777"/>
        <v>0</v>
      </c>
      <c r="N558" s="146">
        <f t="shared" si="777"/>
        <v>0</v>
      </c>
      <c r="O558" s="146">
        <f t="shared" si="777"/>
        <v>0</v>
      </c>
      <c r="P558" s="146">
        <f t="shared" si="777"/>
        <v>58307034</v>
      </c>
      <c r="Q558" s="411">
        <f t="shared" si="777"/>
        <v>0</v>
      </c>
      <c r="R558" s="128">
        <f t="shared" si="754"/>
        <v>58307034</v>
      </c>
      <c r="S558" s="146">
        <f t="shared" ref="S558:Z558" si="778">+S559</f>
        <v>0</v>
      </c>
      <c r="T558" s="146">
        <f t="shared" si="778"/>
        <v>0</v>
      </c>
      <c r="U558" s="146">
        <f t="shared" si="778"/>
        <v>0</v>
      </c>
      <c r="V558" s="146">
        <f t="shared" si="778"/>
        <v>0</v>
      </c>
      <c r="W558" s="146">
        <f t="shared" si="778"/>
        <v>0</v>
      </c>
      <c r="X558" s="146">
        <f t="shared" si="778"/>
        <v>0</v>
      </c>
      <c r="Y558" s="146">
        <f t="shared" si="778"/>
        <v>0</v>
      </c>
      <c r="Z558" s="146">
        <f t="shared" si="778"/>
        <v>0</v>
      </c>
      <c r="AA558" s="128">
        <f t="shared" si="761"/>
        <v>0</v>
      </c>
      <c r="AB558" s="128">
        <f t="shared" si="649"/>
        <v>58307034</v>
      </c>
      <c r="AC558" s="175">
        <f t="shared" si="619"/>
        <v>1</v>
      </c>
    </row>
    <row r="559" spans="2:29" ht="14.25" hidden="1" x14ac:dyDescent="0.2">
      <c r="B559" s="76" t="s">
        <v>1614</v>
      </c>
      <c r="C559" s="77" t="s">
        <v>1613</v>
      </c>
      <c r="D559" s="41"/>
      <c r="E559" s="188">
        <f>SUM('ADICIONES  2021'!C559:I559)</f>
        <v>58307034</v>
      </c>
      <c r="F559" s="41"/>
      <c r="G559" s="41"/>
      <c r="H559" s="41"/>
      <c r="I559" s="41"/>
      <c r="J559" s="41"/>
      <c r="K559" s="128">
        <f t="shared" si="645"/>
        <v>58307034</v>
      </c>
      <c r="L559" s="41"/>
      <c r="M559" s="41"/>
      <c r="N559" s="41"/>
      <c r="O559" s="41"/>
      <c r="P559" s="41">
        <v>58307034</v>
      </c>
      <c r="Q559" s="409"/>
      <c r="R559" s="128">
        <f t="shared" si="754"/>
        <v>58307034</v>
      </c>
      <c r="S559" s="41"/>
      <c r="T559" s="41"/>
      <c r="U559" s="41"/>
      <c r="V559" s="41"/>
      <c r="W559" s="41"/>
      <c r="X559" s="41"/>
      <c r="Y559" s="41"/>
      <c r="Z559" s="41"/>
      <c r="AA559" s="128">
        <f t="shared" si="761"/>
        <v>0</v>
      </c>
      <c r="AB559" s="128">
        <f t="shared" si="649"/>
        <v>58307034</v>
      </c>
      <c r="AC559" s="175">
        <f t="shared" si="619"/>
        <v>1</v>
      </c>
    </row>
    <row r="560" spans="2:29" ht="15.75" hidden="1" x14ac:dyDescent="0.2">
      <c r="B560" s="81" t="s">
        <v>1615</v>
      </c>
      <c r="C560" s="79" t="s">
        <v>1616</v>
      </c>
      <c r="D560" s="146">
        <f>+D561</f>
        <v>0</v>
      </c>
      <c r="E560" s="187">
        <f>SUM('ADICIONES  2021'!C560:I560)</f>
        <v>40452895.149999999</v>
      </c>
      <c r="F560" s="146">
        <f t="shared" ref="F560:J561" si="779">+F561</f>
        <v>0</v>
      </c>
      <c r="G560" s="146">
        <f t="shared" si="779"/>
        <v>0</v>
      </c>
      <c r="H560" s="146">
        <f t="shared" si="779"/>
        <v>0</v>
      </c>
      <c r="I560" s="146">
        <f t="shared" si="779"/>
        <v>0</v>
      </c>
      <c r="J560" s="146">
        <f t="shared" si="779"/>
        <v>0</v>
      </c>
      <c r="K560" s="128">
        <f t="shared" si="645"/>
        <v>40452895.149999999</v>
      </c>
      <c r="L560" s="146">
        <f t="shared" ref="L560:Q561" si="780">+L561</f>
        <v>0</v>
      </c>
      <c r="M560" s="146">
        <f t="shared" si="780"/>
        <v>0</v>
      </c>
      <c r="N560" s="146">
        <f t="shared" si="780"/>
        <v>0</v>
      </c>
      <c r="O560" s="146">
        <f t="shared" si="780"/>
        <v>0</v>
      </c>
      <c r="P560" s="146">
        <f t="shared" si="780"/>
        <v>40452895.149999999</v>
      </c>
      <c r="Q560" s="411">
        <f t="shared" si="780"/>
        <v>0</v>
      </c>
      <c r="R560" s="128">
        <f t="shared" si="754"/>
        <v>40452895.149999999</v>
      </c>
      <c r="S560" s="146">
        <f t="shared" ref="S560:Z561" si="781">+S561</f>
        <v>0</v>
      </c>
      <c r="T560" s="146">
        <f t="shared" si="781"/>
        <v>0</v>
      </c>
      <c r="U560" s="146">
        <f t="shared" si="781"/>
        <v>0</v>
      </c>
      <c r="V560" s="146">
        <f t="shared" si="781"/>
        <v>0</v>
      </c>
      <c r="W560" s="146">
        <f t="shared" si="781"/>
        <v>0</v>
      </c>
      <c r="X560" s="146">
        <f t="shared" si="781"/>
        <v>0</v>
      </c>
      <c r="Y560" s="146">
        <f t="shared" si="781"/>
        <v>0</v>
      </c>
      <c r="Z560" s="146">
        <f t="shared" si="781"/>
        <v>0</v>
      </c>
      <c r="AA560" s="128">
        <f t="shared" si="761"/>
        <v>0</v>
      </c>
      <c r="AB560" s="128">
        <f t="shared" si="649"/>
        <v>40452895.149999999</v>
      </c>
      <c r="AC560" s="175">
        <f t="shared" si="619"/>
        <v>1</v>
      </c>
    </row>
    <row r="561" spans="1:29" ht="31.5" hidden="1" x14ac:dyDescent="0.2">
      <c r="B561" s="81" t="s">
        <v>1617</v>
      </c>
      <c r="C561" s="79" t="s">
        <v>1618</v>
      </c>
      <c r="D561" s="146">
        <f>+D562</f>
        <v>0</v>
      </c>
      <c r="E561" s="187">
        <f>SUM('ADICIONES  2021'!C561:I561)</f>
        <v>40452895.149999999</v>
      </c>
      <c r="F561" s="146">
        <f t="shared" si="779"/>
        <v>0</v>
      </c>
      <c r="G561" s="146">
        <f t="shared" si="779"/>
        <v>0</v>
      </c>
      <c r="H561" s="146">
        <f t="shared" si="779"/>
        <v>0</v>
      </c>
      <c r="I561" s="146">
        <f t="shared" si="779"/>
        <v>0</v>
      </c>
      <c r="J561" s="146">
        <f t="shared" si="779"/>
        <v>0</v>
      </c>
      <c r="K561" s="128">
        <f t="shared" si="645"/>
        <v>40452895.149999999</v>
      </c>
      <c r="L561" s="146">
        <f t="shared" si="780"/>
        <v>0</v>
      </c>
      <c r="M561" s="146">
        <f t="shared" si="780"/>
        <v>0</v>
      </c>
      <c r="N561" s="146">
        <f t="shared" si="780"/>
        <v>0</v>
      </c>
      <c r="O561" s="146">
        <f t="shared" si="780"/>
        <v>0</v>
      </c>
      <c r="P561" s="146">
        <f t="shared" si="780"/>
        <v>40452895.149999999</v>
      </c>
      <c r="Q561" s="411">
        <f t="shared" si="780"/>
        <v>0</v>
      </c>
      <c r="R561" s="128">
        <f t="shared" si="754"/>
        <v>40452895.149999999</v>
      </c>
      <c r="S561" s="146">
        <f t="shared" si="781"/>
        <v>0</v>
      </c>
      <c r="T561" s="146">
        <f t="shared" si="781"/>
        <v>0</v>
      </c>
      <c r="U561" s="146">
        <f t="shared" si="781"/>
        <v>0</v>
      </c>
      <c r="V561" s="146">
        <f t="shared" si="781"/>
        <v>0</v>
      </c>
      <c r="W561" s="146">
        <f t="shared" si="781"/>
        <v>0</v>
      </c>
      <c r="X561" s="146">
        <f t="shared" si="781"/>
        <v>0</v>
      </c>
      <c r="Y561" s="146">
        <f t="shared" si="781"/>
        <v>0</v>
      </c>
      <c r="Z561" s="146">
        <f t="shared" si="781"/>
        <v>0</v>
      </c>
      <c r="AA561" s="128">
        <f t="shared" si="761"/>
        <v>0</v>
      </c>
      <c r="AB561" s="128">
        <f t="shared" si="649"/>
        <v>40452895.149999999</v>
      </c>
      <c r="AC561" s="175">
        <f t="shared" si="619"/>
        <v>1</v>
      </c>
    </row>
    <row r="562" spans="1:29" ht="28.5" hidden="1" x14ac:dyDescent="0.2">
      <c r="B562" s="76" t="s">
        <v>1619</v>
      </c>
      <c r="C562" s="77" t="s">
        <v>1618</v>
      </c>
      <c r="D562" s="41"/>
      <c r="E562" s="188">
        <f>SUM('ADICIONES  2021'!C562:I562)</f>
        <v>40452895.149999999</v>
      </c>
      <c r="F562" s="41"/>
      <c r="G562" s="41"/>
      <c r="H562" s="41"/>
      <c r="I562" s="41"/>
      <c r="J562" s="41"/>
      <c r="K562" s="128">
        <f t="shared" si="645"/>
        <v>40452895.149999999</v>
      </c>
      <c r="L562" s="41"/>
      <c r="M562" s="41"/>
      <c r="N562" s="41"/>
      <c r="O562" s="41"/>
      <c r="P562" s="41">
        <v>40452895.149999999</v>
      </c>
      <c r="Q562" s="409"/>
      <c r="R562" s="128">
        <f t="shared" si="754"/>
        <v>40452895.149999999</v>
      </c>
      <c r="S562" s="41"/>
      <c r="T562" s="41"/>
      <c r="U562" s="41"/>
      <c r="V562" s="41"/>
      <c r="W562" s="41"/>
      <c r="X562" s="41"/>
      <c r="Y562" s="41"/>
      <c r="Z562" s="41"/>
      <c r="AA562" s="128">
        <f t="shared" si="761"/>
        <v>0</v>
      </c>
      <c r="AB562" s="128">
        <f t="shared" si="649"/>
        <v>40452895.149999999</v>
      </c>
      <c r="AC562" s="175">
        <f t="shared" si="619"/>
        <v>1</v>
      </c>
    </row>
    <row r="563" spans="1:29" ht="31.5" hidden="1" x14ac:dyDescent="0.2">
      <c r="B563" s="81" t="s">
        <v>1620</v>
      </c>
      <c r="C563" s="79" t="s">
        <v>1621</v>
      </c>
      <c r="D563" s="146">
        <f>SUM(D564:D565)</f>
        <v>0</v>
      </c>
      <c r="E563" s="187">
        <f>SUM('ADICIONES  2021'!C563:I563)</f>
        <v>1688537021.8899999</v>
      </c>
      <c r="F563" s="146">
        <f>SUM(F564:F565)</f>
        <v>0</v>
      </c>
      <c r="G563" s="146">
        <f>SUM(G564:G565)</f>
        <v>0</v>
      </c>
      <c r="H563" s="146">
        <f>SUM(H564:H565)</f>
        <v>0</v>
      </c>
      <c r="I563" s="146">
        <f>SUM(I564:I565)</f>
        <v>0</v>
      </c>
      <c r="J563" s="146">
        <f>SUM(J564:J565)</f>
        <v>0</v>
      </c>
      <c r="K563" s="128">
        <f t="shared" si="645"/>
        <v>1688537021.8899999</v>
      </c>
      <c r="L563" s="146">
        <f t="shared" ref="L563:Q563" si="782">SUM(L564:L565)</f>
        <v>0</v>
      </c>
      <c r="M563" s="146">
        <f t="shared" si="782"/>
        <v>0</v>
      </c>
      <c r="N563" s="146">
        <f t="shared" si="782"/>
        <v>0</v>
      </c>
      <c r="O563" s="146">
        <f t="shared" si="782"/>
        <v>0</v>
      </c>
      <c r="P563" s="146">
        <f t="shared" si="782"/>
        <v>0</v>
      </c>
      <c r="Q563" s="411">
        <f t="shared" si="782"/>
        <v>0</v>
      </c>
      <c r="R563" s="128">
        <f t="shared" si="754"/>
        <v>0</v>
      </c>
      <c r="S563" s="146">
        <f t="shared" ref="S563:Z563" si="783">SUM(S564:S565)</f>
        <v>0</v>
      </c>
      <c r="T563" s="146">
        <f t="shared" si="783"/>
        <v>0</v>
      </c>
      <c r="U563" s="146">
        <f t="shared" si="783"/>
        <v>0</v>
      </c>
      <c r="V563" s="146">
        <f t="shared" si="783"/>
        <v>0</v>
      </c>
      <c r="W563" s="146">
        <f t="shared" si="783"/>
        <v>0</v>
      </c>
      <c r="X563" s="146">
        <f t="shared" si="783"/>
        <v>0</v>
      </c>
      <c r="Y563" s="146">
        <f t="shared" si="783"/>
        <v>0</v>
      </c>
      <c r="Z563" s="146">
        <f t="shared" si="783"/>
        <v>0</v>
      </c>
      <c r="AA563" s="128">
        <f t="shared" si="761"/>
        <v>0</v>
      </c>
      <c r="AB563" s="128">
        <f t="shared" si="649"/>
        <v>0</v>
      </c>
      <c r="AC563" s="175">
        <f t="shared" si="619"/>
        <v>0</v>
      </c>
    </row>
    <row r="564" spans="1:29" ht="42.75" hidden="1" x14ac:dyDescent="0.2">
      <c r="B564" s="76" t="s">
        <v>1622</v>
      </c>
      <c r="C564" s="77" t="s">
        <v>1623</v>
      </c>
      <c r="D564" s="41"/>
      <c r="E564" s="188">
        <f>SUM('ADICIONES  2021'!C564:I564)</f>
        <v>619767114</v>
      </c>
      <c r="F564" s="41"/>
      <c r="G564" s="41"/>
      <c r="H564" s="41"/>
      <c r="I564" s="41"/>
      <c r="J564" s="41"/>
      <c r="K564" s="128">
        <f t="shared" si="645"/>
        <v>619767114</v>
      </c>
      <c r="L564" s="41"/>
      <c r="M564" s="41"/>
      <c r="N564" s="41"/>
      <c r="O564" s="41"/>
      <c r="P564" s="41"/>
      <c r="Q564" s="409"/>
      <c r="R564" s="128">
        <f t="shared" si="754"/>
        <v>0</v>
      </c>
      <c r="S564" s="41"/>
      <c r="T564" s="41"/>
      <c r="U564" s="41"/>
      <c r="V564" s="41"/>
      <c r="W564" s="41"/>
      <c r="X564" s="41"/>
      <c r="Y564" s="41"/>
      <c r="Z564" s="41"/>
      <c r="AA564" s="128">
        <f t="shared" si="761"/>
        <v>0</v>
      </c>
      <c r="AB564" s="128">
        <f t="shared" si="649"/>
        <v>0</v>
      </c>
      <c r="AC564" s="175">
        <f t="shared" si="619"/>
        <v>0</v>
      </c>
    </row>
    <row r="565" spans="1:29" ht="28.5" hidden="1" x14ac:dyDescent="0.2">
      <c r="B565" s="76" t="s">
        <v>1624</v>
      </c>
      <c r="C565" s="77" t="s">
        <v>1625</v>
      </c>
      <c r="D565" s="41"/>
      <c r="E565" s="188">
        <f>SUM('ADICIONES  2021'!C565:I565)</f>
        <v>1068769907.89</v>
      </c>
      <c r="F565" s="41"/>
      <c r="G565" s="41"/>
      <c r="H565" s="41"/>
      <c r="I565" s="41"/>
      <c r="J565" s="41"/>
      <c r="K565" s="128">
        <f t="shared" si="645"/>
        <v>1068769907.89</v>
      </c>
      <c r="L565" s="41"/>
      <c r="M565" s="41"/>
      <c r="N565" s="41"/>
      <c r="O565" s="41"/>
      <c r="P565" s="41"/>
      <c r="Q565" s="409"/>
      <c r="R565" s="128">
        <f t="shared" si="754"/>
        <v>0</v>
      </c>
      <c r="S565" s="41"/>
      <c r="T565" s="41"/>
      <c r="U565" s="41"/>
      <c r="V565" s="41"/>
      <c r="W565" s="41"/>
      <c r="X565" s="41"/>
      <c r="Y565" s="41"/>
      <c r="Z565" s="41"/>
      <c r="AA565" s="128">
        <f t="shared" si="761"/>
        <v>0</v>
      </c>
      <c r="AB565" s="128">
        <f t="shared" si="649"/>
        <v>0</v>
      </c>
      <c r="AC565" s="175">
        <f t="shared" si="619"/>
        <v>0</v>
      </c>
    </row>
    <row r="566" spans="1:29" s="19" customFormat="1" ht="15.75" x14ac:dyDescent="0.2">
      <c r="A566" s="71">
        <v>1</v>
      </c>
      <c r="B566" s="82" t="s">
        <v>838</v>
      </c>
      <c r="C566" s="83" t="s">
        <v>839</v>
      </c>
      <c r="D566" s="329">
        <f>+D567+D570</f>
        <v>87617897000</v>
      </c>
      <c r="E566" s="187">
        <f>SUM('ADICIONES  2021'!C566:I566)</f>
        <v>0</v>
      </c>
      <c r="F566" s="223">
        <f t="shared" ref="F566:J566" si="784">+F567+F570</f>
        <v>0</v>
      </c>
      <c r="G566" s="223">
        <f t="shared" si="784"/>
        <v>0</v>
      </c>
      <c r="H566" s="223">
        <f t="shared" si="784"/>
        <v>0</v>
      </c>
      <c r="I566" s="223">
        <f t="shared" si="784"/>
        <v>0</v>
      </c>
      <c r="J566" s="223">
        <f t="shared" si="784"/>
        <v>0</v>
      </c>
      <c r="K566" s="126">
        <f t="shared" si="645"/>
        <v>87617897000</v>
      </c>
      <c r="L566" s="260">
        <f t="shared" ref="L566:Q566" si="785">+L567+L570</f>
        <v>0</v>
      </c>
      <c r="M566" s="260">
        <f t="shared" si="785"/>
        <v>0</v>
      </c>
      <c r="N566" s="260">
        <f t="shared" si="785"/>
        <v>0</v>
      </c>
      <c r="O566" s="260">
        <f t="shared" si="785"/>
        <v>0</v>
      </c>
      <c r="P566" s="260">
        <f t="shared" si="785"/>
        <v>0</v>
      </c>
      <c r="Q566" s="260">
        <f t="shared" si="785"/>
        <v>0</v>
      </c>
      <c r="R566" s="78">
        <f t="shared" si="647"/>
        <v>0</v>
      </c>
      <c r="S566" s="260">
        <f t="shared" ref="S566:Z566" si="786">+S567+S570</f>
        <v>0</v>
      </c>
      <c r="T566" s="223">
        <f t="shared" si="786"/>
        <v>0</v>
      </c>
      <c r="U566" s="223">
        <f t="shared" si="786"/>
        <v>0</v>
      </c>
      <c r="V566" s="223">
        <f t="shared" si="786"/>
        <v>0</v>
      </c>
      <c r="W566" s="223">
        <f t="shared" si="786"/>
        <v>0</v>
      </c>
      <c r="X566" s="223">
        <f t="shared" si="786"/>
        <v>0</v>
      </c>
      <c r="Y566" s="260">
        <f t="shared" si="786"/>
        <v>0</v>
      </c>
      <c r="Z566" s="223">
        <f t="shared" si="786"/>
        <v>0</v>
      </c>
      <c r="AA566" s="78">
        <f t="shared" si="597"/>
        <v>0</v>
      </c>
      <c r="AB566" s="126">
        <f t="shared" si="649"/>
        <v>0</v>
      </c>
      <c r="AC566" s="180">
        <f t="shared" si="619"/>
        <v>0</v>
      </c>
    </row>
    <row r="567" spans="1:29" s="63" customFormat="1" ht="47.25" hidden="1" x14ac:dyDescent="0.2">
      <c r="A567" s="399"/>
      <c r="B567" s="81" t="s">
        <v>840</v>
      </c>
      <c r="C567" s="79" t="s">
        <v>841</v>
      </c>
      <c r="D567" s="329">
        <f>SUM(D568:D569)</f>
        <v>33000000000</v>
      </c>
      <c r="E567" s="187">
        <f>SUM('ADICIONES  2021'!C567:I567)</f>
        <v>0</v>
      </c>
      <c r="F567" s="223">
        <f t="shared" ref="F567:J567" si="787">SUM(F568:F569)</f>
        <v>0</v>
      </c>
      <c r="G567" s="223">
        <f t="shared" si="787"/>
        <v>0</v>
      </c>
      <c r="H567" s="223">
        <f t="shared" si="787"/>
        <v>0</v>
      </c>
      <c r="I567" s="223">
        <f t="shared" si="787"/>
        <v>0</v>
      </c>
      <c r="J567" s="223">
        <f t="shared" si="787"/>
        <v>0</v>
      </c>
      <c r="K567" s="78">
        <f t="shared" si="645"/>
        <v>33000000000</v>
      </c>
      <c r="L567" s="223">
        <f t="shared" ref="L567:Q567" si="788">SUM(L568:L569)</f>
        <v>0</v>
      </c>
      <c r="M567" s="223">
        <f t="shared" si="788"/>
        <v>0</v>
      </c>
      <c r="N567" s="223">
        <f t="shared" si="788"/>
        <v>0</v>
      </c>
      <c r="O567" s="223">
        <f t="shared" si="788"/>
        <v>0</v>
      </c>
      <c r="P567" s="223">
        <f t="shared" si="788"/>
        <v>0</v>
      </c>
      <c r="Q567" s="407">
        <f t="shared" si="788"/>
        <v>0</v>
      </c>
      <c r="R567" s="78">
        <f t="shared" si="647"/>
        <v>0</v>
      </c>
      <c r="S567" s="223">
        <f t="shared" ref="S567:Z567" si="789">SUM(S568:S569)</f>
        <v>0</v>
      </c>
      <c r="T567" s="223">
        <f t="shared" si="789"/>
        <v>0</v>
      </c>
      <c r="U567" s="223">
        <f t="shared" si="789"/>
        <v>0</v>
      </c>
      <c r="V567" s="223">
        <f t="shared" si="789"/>
        <v>0</v>
      </c>
      <c r="W567" s="223">
        <f t="shared" si="789"/>
        <v>0</v>
      </c>
      <c r="X567" s="223">
        <f t="shared" si="789"/>
        <v>0</v>
      </c>
      <c r="Y567" s="223">
        <f t="shared" si="789"/>
        <v>0</v>
      </c>
      <c r="Z567" s="223">
        <f t="shared" si="789"/>
        <v>0</v>
      </c>
      <c r="AA567" s="78">
        <f t="shared" si="597"/>
        <v>0</v>
      </c>
      <c r="AB567" s="78">
        <f t="shared" si="649"/>
        <v>0</v>
      </c>
      <c r="AC567" s="174">
        <f t="shared" si="619"/>
        <v>0</v>
      </c>
    </row>
    <row r="568" spans="1:29" ht="28.5" hidden="1" x14ac:dyDescent="0.2">
      <c r="B568" s="76" t="s">
        <v>842</v>
      </c>
      <c r="C568" s="77" t="s">
        <v>843</v>
      </c>
      <c r="D568" s="331">
        <v>30000000000</v>
      </c>
      <c r="E568" s="188">
        <f>SUM('ADICIONES  2021'!C568:I568)</f>
        <v>0</v>
      </c>
      <c r="F568" s="41"/>
      <c r="G568" s="41"/>
      <c r="H568" s="41"/>
      <c r="I568" s="41"/>
      <c r="J568" s="41"/>
      <c r="K568" s="128">
        <f t="shared" si="645"/>
        <v>30000000000</v>
      </c>
      <c r="L568" s="41"/>
      <c r="M568" s="41"/>
      <c r="N568" s="41"/>
      <c r="O568" s="41"/>
      <c r="P568" s="41"/>
      <c r="Q568" s="409"/>
      <c r="R568" s="128">
        <f t="shared" si="647"/>
        <v>0</v>
      </c>
      <c r="S568" s="41"/>
      <c r="T568" s="41"/>
      <c r="U568" s="41"/>
      <c r="V568" s="41"/>
      <c r="W568" s="41"/>
      <c r="X568" s="41"/>
      <c r="Y568" s="41"/>
      <c r="Z568" s="41"/>
      <c r="AA568" s="128">
        <f t="shared" ref="AA568:AA635" si="790">SUM(S568:Z568)</f>
        <v>0</v>
      </c>
      <c r="AB568" s="128">
        <f t="shared" si="649"/>
        <v>0</v>
      </c>
      <c r="AC568" s="175">
        <f t="shared" si="619"/>
        <v>0</v>
      </c>
    </row>
    <row r="569" spans="1:29" ht="28.5" hidden="1" x14ac:dyDescent="0.2">
      <c r="B569" s="76" t="s">
        <v>844</v>
      </c>
      <c r="C569" s="77" t="s">
        <v>845</v>
      </c>
      <c r="D569" s="331">
        <v>3000000000</v>
      </c>
      <c r="E569" s="188">
        <f>SUM('ADICIONES  2021'!C569:I569)</f>
        <v>0</v>
      </c>
      <c r="F569" s="128"/>
      <c r="G569" s="128"/>
      <c r="H569" s="128"/>
      <c r="I569" s="128"/>
      <c r="J569" s="128"/>
      <c r="K569" s="128">
        <f t="shared" si="645"/>
        <v>3000000000</v>
      </c>
      <c r="L569" s="128"/>
      <c r="M569" s="128"/>
      <c r="N569" s="128"/>
      <c r="O569" s="128"/>
      <c r="P569" s="128"/>
      <c r="Q569" s="413"/>
      <c r="R569" s="128">
        <f t="shared" si="647"/>
        <v>0</v>
      </c>
      <c r="S569" s="128"/>
      <c r="T569" s="128"/>
      <c r="U569" s="128"/>
      <c r="V569" s="128"/>
      <c r="W569" s="128"/>
      <c r="X569" s="128"/>
      <c r="Y569" s="128"/>
      <c r="Z569" s="128"/>
      <c r="AA569" s="128">
        <f t="shared" si="790"/>
        <v>0</v>
      </c>
      <c r="AB569" s="128">
        <f t="shared" si="649"/>
        <v>0</v>
      </c>
      <c r="AC569" s="175">
        <v>0</v>
      </c>
    </row>
    <row r="570" spans="1:29" s="63" customFormat="1" ht="63" hidden="1" x14ac:dyDescent="0.2">
      <c r="A570" s="399"/>
      <c r="B570" s="81" t="s">
        <v>846</v>
      </c>
      <c r="C570" s="79" t="s">
        <v>847</v>
      </c>
      <c r="D570" s="329">
        <f>+D571</f>
        <v>54617897000</v>
      </c>
      <c r="E570" s="187">
        <f>SUM('ADICIONES  2021'!C570:I570)</f>
        <v>0</v>
      </c>
      <c r="F570" s="223">
        <f t="shared" ref="F570:J570" si="791">+F571</f>
        <v>0</v>
      </c>
      <c r="G570" s="223">
        <f t="shared" si="791"/>
        <v>0</v>
      </c>
      <c r="H570" s="223">
        <f t="shared" si="791"/>
        <v>0</v>
      </c>
      <c r="I570" s="223">
        <f t="shared" si="791"/>
        <v>0</v>
      </c>
      <c r="J570" s="223">
        <f t="shared" si="791"/>
        <v>0</v>
      </c>
      <c r="K570" s="78">
        <f t="shared" si="645"/>
        <v>54617897000</v>
      </c>
      <c r="L570" s="223">
        <f t="shared" ref="L570:Q570" si="792">+L571</f>
        <v>0</v>
      </c>
      <c r="M570" s="223">
        <f t="shared" si="792"/>
        <v>0</v>
      </c>
      <c r="N570" s="223">
        <f t="shared" si="792"/>
        <v>0</v>
      </c>
      <c r="O570" s="223">
        <f t="shared" si="792"/>
        <v>0</v>
      </c>
      <c r="P570" s="223">
        <f t="shared" si="792"/>
        <v>0</v>
      </c>
      <c r="Q570" s="407">
        <f t="shared" si="792"/>
        <v>0</v>
      </c>
      <c r="R570" s="78">
        <f t="shared" si="647"/>
        <v>0</v>
      </c>
      <c r="S570" s="223">
        <f t="shared" ref="S570:Z570" si="793">+S571</f>
        <v>0</v>
      </c>
      <c r="T570" s="223">
        <f t="shared" si="793"/>
        <v>0</v>
      </c>
      <c r="U570" s="223">
        <f t="shared" si="793"/>
        <v>0</v>
      </c>
      <c r="V570" s="223">
        <f t="shared" si="793"/>
        <v>0</v>
      </c>
      <c r="W570" s="223">
        <f t="shared" si="793"/>
        <v>0</v>
      </c>
      <c r="X570" s="223">
        <f t="shared" si="793"/>
        <v>0</v>
      </c>
      <c r="Y570" s="223">
        <f t="shared" si="793"/>
        <v>0</v>
      </c>
      <c r="Z570" s="223">
        <f t="shared" si="793"/>
        <v>0</v>
      </c>
      <c r="AA570" s="78">
        <f t="shared" si="790"/>
        <v>0</v>
      </c>
      <c r="AB570" s="78">
        <f t="shared" si="649"/>
        <v>0</v>
      </c>
      <c r="AC570" s="174">
        <v>0</v>
      </c>
    </row>
    <row r="571" spans="1:29" ht="14.25" hidden="1" x14ac:dyDescent="0.2">
      <c r="B571" s="76" t="s">
        <v>848</v>
      </c>
      <c r="C571" s="77" t="s">
        <v>849</v>
      </c>
      <c r="D571" s="334">
        <v>54617897000</v>
      </c>
      <c r="E571" s="188">
        <f>SUM('ADICIONES  2021'!C571:I571)</f>
        <v>0</v>
      </c>
      <c r="F571" s="41"/>
      <c r="G571" s="41"/>
      <c r="H571" s="41"/>
      <c r="I571" s="41"/>
      <c r="J571" s="41"/>
      <c r="K571" s="128">
        <f t="shared" si="645"/>
        <v>54617897000</v>
      </c>
      <c r="L571" s="41"/>
      <c r="M571" s="41"/>
      <c r="N571" s="41"/>
      <c r="O571" s="41"/>
      <c r="P571" s="41"/>
      <c r="Q571" s="409"/>
      <c r="R571" s="128">
        <f t="shared" si="647"/>
        <v>0</v>
      </c>
      <c r="S571" s="41"/>
      <c r="T571" s="41"/>
      <c r="U571" s="41"/>
      <c r="V571" s="41"/>
      <c r="W571" s="41"/>
      <c r="X571" s="41"/>
      <c r="Y571" s="41"/>
      <c r="Z571" s="41"/>
      <c r="AA571" s="128">
        <f t="shared" si="790"/>
        <v>0</v>
      </c>
      <c r="AB571" s="128">
        <f t="shared" si="649"/>
        <v>0</v>
      </c>
      <c r="AC571" s="175">
        <f t="shared" si="619"/>
        <v>0</v>
      </c>
    </row>
    <row r="572" spans="1:29" s="63" customFormat="1" ht="31.5" hidden="1" x14ac:dyDescent="0.2">
      <c r="A572" s="399"/>
      <c r="B572" s="81" t="s">
        <v>850</v>
      </c>
      <c r="C572" s="79" t="s">
        <v>851</v>
      </c>
      <c r="D572" s="329">
        <f>+D573</f>
        <v>0</v>
      </c>
      <c r="E572" s="187">
        <f>SUM('ADICIONES  2021'!C572:I572)</f>
        <v>7309022356.5699997</v>
      </c>
      <c r="F572" s="223">
        <f t="shared" ref="F572:J572" si="794">+F573</f>
        <v>0</v>
      </c>
      <c r="G572" s="223">
        <f t="shared" si="794"/>
        <v>0</v>
      </c>
      <c r="H572" s="223">
        <f t="shared" si="794"/>
        <v>0</v>
      </c>
      <c r="I572" s="223">
        <f t="shared" si="794"/>
        <v>0</v>
      </c>
      <c r="J572" s="223">
        <f t="shared" si="794"/>
        <v>0</v>
      </c>
      <c r="K572" s="78">
        <f t="shared" si="645"/>
        <v>7309022356.5699997</v>
      </c>
      <c r="L572" s="223">
        <f t="shared" ref="L572:Q572" si="795">+L573</f>
        <v>0</v>
      </c>
      <c r="M572" s="223">
        <f t="shared" si="795"/>
        <v>1918229.27</v>
      </c>
      <c r="N572" s="223">
        <f t="shared" si="795"/>
        <v>7687727647.8199997</v>
      </c>
      <c r="O572" s="223">
        <f t="shared" si="795"/>
        <v>444797404.14999992</v>
      </c>
      <c r="P572" s="223">
        <f t="shared" si="795"/>
        <v>1029998416.52</v>
      </c>
      <c r="Q572" s="407">
        <f t="shared" si="795"/>
        <v>29323357.130000003</v>
      </c>
      <c r="R572" s="78">
        <f t="shared" si="647"/>
        <v>9193765054.8899994</v>
      </c>
      <c r="S572" s="223">
        <f t="shared" ref="S572:Z572" si="796">+S573</f>
        <v>135777600.78999999</v>
      </c>
      <c r="T572" s="223">
        <f t="shared" si="796"/>
        <v>0</v>
      </c>
      <c r="U572" s="223">
        <f t="shared" si="796"/>
        <v>0</v>
      </c>
      <c r="V572" s="223">
        <f t="shared" si="796"/>
        <v>0</v>
      </c>
      <c r="W572" s="223">
        <f t="shared" si="796"/>
        <v>0</v>
      </c>
      <c r="X572" s="223">
        <f t="shared" si="796"/>
        <v>0</v>
      </c>
      <c r="Y572" s="223">
        <f t="shared" si="796"/>
        <v>0</v>
      </c>
      <c r="Z572" s="223">
        <f t="shared" si="796"/>
        <v>0</v>
      </c>
      <c r="AA572" s="78">
        <f t="shared" si="790"/>
        <v>135777600.78999999</v>
      </c>
      <c r="AB572" s="78">
        <f t="shared" si="649"/>
        <v>9329542655.6800003</v>
      </c>
      <c r="AC572" s="176">
        <v>0</v>
      </c>
    </row>
    <row r="573" spans="1:29" s="19" customFormat="1" ht="15.75" x14ac:dyDescent="0.2">
      <c r="A573" s="71">
        <v>1</v>
      </c>
      <c r="B573" s="82" t="s">
        <v>852</v>
      </c>
      <c r="C573" s="83" t="s">
        <v>853</v>
      </c>
      <c r="D573" s="329">
        <f>+D574+D575+D577+D595+D596+D597+D598+D599+D601+D602+D603+D604+D605+D606+D607+D608+D609+D610+D611+D612+D613+D614+D615+D616+D617+D618+D619+D621+D622+D623+D624+D625+D626+D627+D628+D629+D630+D631+D632+D633+D634+D635+D636+D637+D638+D639+D640+D641+D642+D643+D644+D645+D646+D647+D648+D649+D600+D620+D576</f>
        <v>0</v>
      </c>
      <c r="E573" s="187">
        <f>SUM('ADICIONES  2021'!C573:I573)</f>
        <v>7309022356.5699997</v>
      </c>
      <c r="F573" s="329">
        <f t="shared" ref="F573:J573" si="797">+F574+F575+F577+F595+F596+F597+F598+F599+F601+F602+F603+F604+F605+F606+F607+F608+F609+F610+F611+F612+F613+F614+F615+F616+F617+F618+F619+F621+F622+F623+F624+F625+F626+F627+F628+F629+F630+F631+F632+F633+F634+F635+F636+F637+F638+F639+F640+F641+F642+F643+F644+F645+F646+F647+F648+F649+F600+F620+F576</f>
        <v>0</v>
      </c>
      <c r="G573" s="329">
        <f t="shared" si="797"/>
        <v>0</v>
      </c>
      <c r="H573" s="329">
        <f t="shared" si="797"/>
        <v>0</v>
      </c>
      <c r="I573" s="329">
        <f t="shared" si="797"/>
        <v>0</v>
      </c>
      <c r="J573" s="329">
        <f t="shared" si="797"/>
        <v>0</v>
      </c>
      <c r="K573" s="126">
        <f t="shared" si="645"/>
        <v>7309022356.5699997</v>
      </c>
      <c r="L573" s="445">
        <f t="shared" ref="L573:Q573" si="798">+L574+L575+L577+L595+L596+L597+L598+L599+L601+L602+L603+L604+L605+L606+L607+L608+L609+L610+L611+L612+L613+L614+L615+L616+L617+L618+L619+L621+L622+L623+L624+L625+L626+L627+L628+L629+L630+L631+L632+L633+L634+L635+L636+L637+L638+L639+L640+L641+L642+L643+L644+L645+L646+L647+L648+L649+L600+L620+L576</f>
        <v>0</v>
      </c>
      <c r="M573" s="445">
        <f t="shared" si="798"/>
        <v>1918229.27</v>
      </c>
      <c r="N573" s="445">
        <f t="shared" si="798"/>
        <v>7687727647.8199997</v>
      </c>
      <c r="O573" s="445">
        <f t="shared" si="798"/>
        <v>444797404.14999992</v>
      </c>
      <c r="P573" s="445">
        <f t="shared" si="798"/>
        <v>1029998416.52</v>
      </c>
      <c r="Q573" s="445">
        <f t="shared" si="798"/>
        <v>29323357.130000003</v>
      </c>
      <c r="R573" s="78">
        <f t="shared" si="647"/>
        <v>9193765054.8899994</v>
      </c>
      <c r="S573" s="445">
        <f t="shared" ref="S573:Y573" si="799">+S574+S575+S577+S595+S596+S597+S598+S599+S601+S602+S603+S604+S605+S606+S607+S608+S609+S610+S611+S612+S613+S614+S615+S616+S617+S618+S619+S621+S622+S623+S624+S625+S626+S627+S628+S629+S630+S631+S632+S633+S634+S635+S636+S637+S638+S639+S640+S641+S642+S643+S644+S645+S646+S647+S648+S649+S600+S620+S576</f>
        <v>135777600.78999999</v>
      </c>
      <c r="T573" s="329">
        <f t="shared" si="799"/>
        <v>0</v>
      </c>
      <c r="U573" s="329">
        <f t="shared" si="799"/>
        <v>0</v>
      </c>
      <c r="V573" s="329">
        <f t="shared" si="799"/>
        <v>0</v>
      </c>
      <c r="W573" s="329">
        <f t="shared" si="799"/>
        <v>0</v>
      </c>
      <c r="X573" s="329">
        <f t="shared" si="799"/>
        <v>0</v>
      </c>
      <c r="Y573" s="445">
        <f t="shared" si="799"/>
        <v>0</v>
      </c>
      <c r="Z573" s="329">
        <f>+Z574+Z575+Z577+Z595+Z596+Z597+Z598+Z599+Z601+Z602+Z603+Z604+Z605+Z606+Z607+Z608+Z609+Z610+Z611+Z612+Z613+Z614+Z615+Z616+Z617+Z618+Z619+Z621+Z622+Z623+Z624+Z625+Z626+Z627+Z628+Z629+Z630+Z631+Z632+Z633+Z634+Z635+Z636+Z637+Z638+Z639+Z640+Z641+Z642+Z643+Z644+Z645+Z646+Z647+Z648+Z649+Z600+Z620+Z576</f>
        <v>0</v>
      </c>
      <c r="AA573" s="78">
        <f t="shared" si="790"/>
        <v>135777600.78999999</v>
      </c>
      <c r="AB573" s="126">
        <f t="shared" si="649"/>
        <v>9329542655.6800003</v>
      </c>
      <c r="AC573" s="175">
        <v>0</v>
      </c>
    </row>
    <row r="574" spans="1:29" ht="14.25" hidden="1" x14ac:dyDescent="0.2">
      <c r="B574" s="76" t="s">
        <v>854</v>
      </c>
      <c r="C574" s="77" t="s">
        <v>284</v>
      </c>
      <c r="D574" s="334"/>
      <c r="E574" s="188">
        <f>SUM('ADICIONES  2021'!C574:I574)</f>
        <v>0</v>
      </c>
      <c r="F574" s="128"/>
      <c r="G574" s="128"/>
      <c r="H574" s="128"/>
      <c r="I574" s="128"/>
      <c r="J574" s="128"/>
      <c r="K574" s="128">
        <f t="shared" si="645"/>
        <v>0</v>
      </c>
      <c r="L574" s="128"/>
      <c r="M574" s="128"/>
      <c r="N574" s="128">
        <v>0</v>
      </c>
      <c r="O574" s="128">
        <v>0</v>
      </c>
      <c r="P574" s="128"/>
      <c r="Q574" s="413"/>
      <c r="R574" s="128">
        <f t="shared" si="647"/>
        <v>0</v>
      </c>
      <c r="S574" s="128">
        <v>0</v>
      </c>
      <c r="T574" s="128"/>
      <c r="U574" s="128"/>
      <c r="V574" s="128"/>
      <c r="W574" s="128"/>
      <c r="X574" s="128"/>
      <c r="Y574" s="128"/>
      <c r="Z574" s="128"/>
      <c r="AA574" s="128">
        <f t="shared" si="790"/>
        <v>0</v>
      </c>
      <c r="AB574" s="128">
        <f t="shared" si="649"/>
        <v>0</v>
      </c>
      <c r="AC574" s="175" t="e">
        <f t="shared" si="619"/>
        <v>#DIV/0!</v>
      </c>
    </row>
    <row r="575" spans="1:29" ht="14.25" hidden="1" x14ac:dyDescent="0.2">
      <c r="B575" s="76" t="s">
        <v>855</v>
      </c>
      <c r="C575" s="77" t="s">
        <v>285</v>
      </c>
      <c r="D575" s="334"/>
      <c r="E575" s="188">
        <f>SUM('ADICIONES  2021'!C575:I575)</f>
        <v>0</v>
      </c>
      <c r="F575" s="128"/>
      <c r="G575" s="128"/>
      <c r="H575" s="128"/>
      <c r="I575" s="128"/>
      <c r="J575" s="128"/>
      <c r="K575" s="128">
        <f t="shared" si="645"/>
        <v>0</v>
      </c>
      <c r="L575" s="128"/>
      <c r="M575" s="128"/>
      <c r="N575" s="128">
        <v>768917292</v>
      </c>
      <c r="O575" s="128">
        <v>437763467.76999998</v>
      </c>
      <c r="P575" s="128"/>
      <c r="Q575" s="413"/>
      <c r="R575" s="128">
        <f t="shared" si="647"/>
        <v>1206680759.77</v>
      </c>
      <c r="S575" s="128">
        <v>12664945.039999999</v>
      </c>
      <c r="T575" s="128"/>
      <c r="U575" s="128"/>
      <c r="V575" s="128"/>
      <c r="W575" s="128"/>
      <c r="X575" s="128"/>
      <c r="Y575" s="128"/>
      <c r="Z575" s="128"/>
      <c r="AA575" s="128">
        <f t="shared" si="790"/>
        <v>12664945.039999999</v>
      </c>
      <c r="AB575" s="128">
        <f t="shared" si="649"/>
        <v>1219345704.8099999</v>
      </c>
      <c r="AC575" s="175">
        <v>0</v>
      </c>
    </row>
    <row r="576" spans="1:29" ht="14.25" hidden="1" x14ac:dyDescent="0.2">
      <c r="B576" s="76" t="s">
        <v>855</v>
      </c>
      <c r="C576" s="77" t="s">
        <v>285</v>
      </c>
      <c r="D576" s="334"/>
      <c r="E576" s="188">
        <f>SUM('ADICIONES  2021'!C576:I576)</f>
        <v>427564239.73000002</v>
      </c>
      <c r="F576" s="128"/>
      <c r="G576" s="128"/>
      <c r="H576" s="128"/>
      <c r="I576" s="128"/>
      <c r="J576" s="128"/>
      <c r="K576" s="128">
        <f t="shared" si="645"/>
        <v>427564239.73000002</v>
      </c>
      <c r="L576" s="128"/>
      <c r="M576" s="128"/>
      <c r="N576" s="128"/>
      <c r="O576" s="128"/>
      <c r="P576" s="128"/>
      <c r="Q576" s="413"/>
      <c r="R576" s="128">
        <f t="shared" si="647"/>
        <v>0</v>
      </c>
      <c r="S576" s="128">
        <v>0</v>
      </c>
      <c r="T576" s="128"/>
      <c r="U576" s="128"/>
      <c r="V576" s="128"/>
      <c r="W576" s="128"/>
      <c r="X576" s="128"/>
      <c r="Y576" s="128"/>
      <c r="Z576" s="128"/>
      <c r="AA576" s="128">
        <f t="shared" si="790"/>
        <v>0</v>
      </c>
      <c r="AB576" s="128">
        <f t="shared" si="649"/>
        <v>0</v>
      </c>
      <c r="AC576" s="175">
        <f t="shared" ref="AC576" si="800">+AB576/K576</f>
        <v>0</v>
      </c>
    </row>
    <row r="577" spans="1:29" s="63" customFormat="1" ht="15.75" hidden="1" x14ac:dyDescent="0.2">
      <c r="A577" s="399"/>
      <c r="B577" s="81" t="s">
        <v>856</v>
      </c>
      <c r="C577" s="79" t="s">
        <v>857</v>
      </c>
      <c r="D577" s="329">
        <f>+D578+D580+D582+D584+D586+D589+D591</f>
        <v>0</v>
      </c>
      <c r="E577" s="187">
        <f>SUM('ADICIONES  2021'!C577:I577)</f>
        <v>4190433949.29</v>
      </c>
      <c r="F577" s="223">
        <f t="shared" ref="F577:J577" si="801">+F578+F580+F582+F584+F586+F589+F591</f>
        <v>0</v>
      </c>
      <c r="G577" s="223">
        <f t="shared" si="801"/>
        <v>0</v>
      </c>
      <c r="H577" s="223">
        <f t="shared" si="801"/>
        <v>0</v>
      </c>
      <c r="I577" s="223">
        <f t="shared" si="801"/>
        <v>0</v>
      </c>
      <c r="J577" s="223">
        <f t="shared" si="801"/>
        <v>0</v>
      </c>
      <c r="K577" s="78">
        <f t="shared" si="645"/>
        <v>4190433949.29</v>
      </c>
      <c r="L577" s="223">
        <f t="shared" ref="L577:Q577" si="802">+L578+L580+L582+L584+L586+L589+L591</f>
        <v>0</v>
      </c>
      <c r="M577" s="223">
        <f t="shared" si="802"/>
        <v>1705.27</v>
      </c>
      <c r="N577" s="223">
        <f t="shared" si="802"/>
        <v>4599999256.04</v>
      </c>
      <c r="O577" s="223">
        <f t="shared" si="802"/>
        <v>4882325</v>
      </c>
      <c r="P577" s="223">
        <f t="shared" si="802"/>
        <v>776957799.90999997</v>
      </c>
      <c r="Q577" s="407">
        <f t="shared" si="802"/>
        <v>0</v>
      </c>
      <c r="R577" s="78">
        <f t="shared" si="647"/>
        <v>5381841086.2200003</v>
      </c>
      <c r="S577" s="223">
        <f t="shared" ref="S577:Z577" si="803">+S578+S580+S582+S584+S586+S589+S591</f>
        <v>84399477.319999993</v>
      </c>
      <c r="T577" s="223">
        <f t="shared" si="803"/>
        <v>0</v>
      </c>
      <c r="U577" s="223">
        <f t="shared" si="803"/>
        <v>0</v>
      </c>
      <c r="V577" s="223">
        <f t="shared" si="803"/>
        <v>0</v>
      </c>
      <c r="W577" s="223">
        <f t="shared" si="803"/>
        <v>0</v>
      </c>
      <c r="X577" s="223">
        <f t="shared" si="803"/>
        <v>0</v>
      </c>
      <c r="Y577" s="223">
        <f t="shared" si="803"/>
        <v>0</v>
      </c>
      <c r="Z577" s="223">
        <f t="shared" si="803"/>
        <v>0</v>
      </c>
      <c r="AA577" s="78">
        <f t="shared" si="790"/>
        <v>84399477.319999993</v>
      </c>
      <c r="AB577" s="78">
        <f t="shared" si="649"/>
        <v>5466240563.54</v>
      </c>
      <c r="AC577" s="176">
        <v>0</v>
      </c>
    </row>
    <row r="578" spans="1:29" s="63" customFormat="1" ht="31.5" hidden="1" x14ac:dyDescent="0.2">
      <c r="A578" s="399"/>
      <c r="B578" s="81" t="s">
        <v>858</v>
      </c>
      <c r="C578" s="79" t="s">
        <v>286</v>
      </c>
      <c r="D578" s="329">
        <f>+D579</f>
        <v>0</v>
      </c>
      <c r="E578" s="187">
        <f>SUM('ADICIONES  2021'!C578:I578)</f>
        <v>0</v>
      </c>
      <c r="F578" s="223">
        <f t="shared" ref="F578:J578" si="804">+F579</f>
        <v>0</v>
      </c>
      <c r="G578" s="223">
        <f t="shared" si="804"/>
        <v>0</v>
      </c>
      <c r="H578" s="223">
        <f t="shared" si="804"/>
        <v>0</v>
      </c>
      <c r="I578" s="223">
        <f t="shared" si="804"/>
        <v>0</v>
      </c>
      <c r="J578" s="223">
        <f t="shared" si="804"/>
        <v>0</v>
      </c>
      <c r="K578" s="78">
        <f t="shared" si="645"/>
        <v>0</v>
      </c>
      <c r="L578" s="223">
        <f t="shared" ref="L578:Q578" si="805">+L579</f>
        <v>0</v>
      </c>
      <c r="M578" s="223">
        <f t="shared" si="805"/>
        <v>1705.27</v>
      </c>
      <c r="N578" s="223">
        <f t="shared" si="805"/>
        <v>0</v>
      </c>
      <c r="O578" s="223">
        <f t="shared" si="805"/>
        <v>0</v>
      </c>
      <c r="P578" s="223">
        <f t="shared" si="805"/>
        <v>776957799.90999997</v>
      </c>
      <c r="Q578" s="407">
        <f t="shared" si="805"/>
        <v>0</v>
      </c>
      <c r="R578" s="78">
        <f t="shared" si="647"/>
        <v>776959505.17999995</v>
      </c>
      <c r="S578" s="223">
        <f t="shared" ref="S578:Z578" si="806">+S579</f>
        <v>84398787.319999993</v>
      </c>
      <c r="T578" s="223">
        <f t="shared" si="806"/>
        <v>0</v>
      </c>
      <c r="U578" s="223">
        <f t="shared" si="806"/>
        <v>0</v>
      </c>
      <c r="V578" s="223">
        <f t="shared" si="806"/>
        <v>0</v>
      </c>
      <c r="W578" s="223">
        <f t="shared" si="806"/>
        <v>0</v>
      </c>
      <c r="X578" s="223">
        <f t="shared" si="806"/>
        <v>0</v>
      </c>
      <c r="Y578" s="223">
        <f t="shared" si="806"/>
        <v>0</v>
      </c>
      <c r="Z578" s="223">
        <f t="shared" si="806"/>
        <v>0</v>
      </c>
      <c r="AA578" s="78">
        <f t="shared" si="790"/>
        <v>84398787.319999993</v>
      </c>
      <c r="AB578" s="78">
        <f t="shared" si="649"/>
        <v>861358292.5</v>
      </c>
      <c r="AC578" s="175">
        <v>0</v>
      </c>
    </row>
    <row r="579" spans="1:29" ht="14.25" hidden="1" x14ac:dyDescent="0.2">
      <c r="B579" s="76" t="s">
        <v>859</v>
      </c>
      <c r="C579" s="77" t="s">
        <v>286</v>
      </c>
      <c r="D579" s="334"/>
      <c r="E579" s="188">
        <f>SUM('ADICIONES  2021'!C579:I579)</f>
        <v>0</v>
      </c>
      <c r="F579" s="128"/>
      <c r="G579" s="128"/>
      <c r="H579" s="128"/>
      <c r="I579" s="128"/>
      <c r="J579" s="128"/>
      <c r="K579" s="128">
        <f t="shared" si="645"/>
        <v>0</v>
      </c>
      <c r="L579" s="128"/>
      <c r="M579" s="128">
        <v>1705.27</v>
      </c>
      <c r="N579" s="128"/>
      <c r="O579" s="128"/>
      <c r="P579" s="128">
        <v>776957799.90999997</v>
      </c>
      <c r="Q579" s="413"/>
      <c r="R579" s="128">
        <f t="shared" si="647"/>
        <v>776959505.17999995</v>
      </c>
      <c r="S579" s="128">
        <v>84398787.319999993</v>
      </c>
      <c r="T579" s="128"/>
      <c r="U579" s="128"/>
      <c r="V579" s="128"/>
      <c r="W579" s="128"/>
      <c r="X579" s="128"/>
      <c r="Y579" s="128"/>
      <c r="Z579" s="128"/>
      <c r="AA579" s="128">
        <f t="shared" si="790"/>
        <v>84398787.319999993</v>
      </c>
      <c r="AB579" s="128">
        <f t="shared" si="649"/>
        <v>861358292.5</v>
      </c>
      <c r="AC579" s="175">
        <v>0</v>
      </c>
    </row>
    <row r="580" spans="1:29" s="63" customFormat="1" ht="15.75" hidden="1" x14ac:dyDescent="0.2">
      <c r="A580" s="399"/>
      <c r="B580" s="81" t="s">
        <v>860</v>
      </c>
      <c r="C580" s="79" t="s">
        <v>287</v>
      </c>
      <c r="D580" s="329">
        <f>+D581</f>
        <v>0</v>
      </c>
      <c r="E580" s="187">
        <f>SUM('ADICIONES  2021'!C580:I580)</f>
        <v>0</v>
      </c>
      <c r="F580" s="223">
        <f t="shared" ref="F580:J580" si="807">+F581</f>
        <v>0</v>
      </c>
      <c r="G580" s="223">
        <f t="shared" si="807"/>
        <v>0</v>
      </c>
      <c r="H580" s="223">
        <f t="shared" si="807"/>
        <v>0</v>
      </c>
      <c r="I580" s="223">
        <f t="shared" si="807"/>
        <v>0</v>
      </c>
      <c r="J580" s="223">
        <f t="shared" si="807"/>
        <v>0</v>
      </c>
      <c r="K580" s="78">
        <f t="shared" si="645"/>
        <v>0</v>
      </c>
      <c r="L580" s="223">
        <f t="shared" ref="L580:Q580" si="808">+L581</f>
        <v>0</v>
      </c>
      <c r="M580" s="223">
        <f t="shared" si="808"/>
        <v>0</v>
      </c>
      <c r="N580" s="223">
        <f t="shared" si="808"/>
        <v>0</v>
      </c>
      <c r="O580" s="223">
        <f t="shared" si="808"/>
        <v>0</v>
      </c>
      <c r="P580" s="223">
        <f t="shared" si="808"/>
        <v>0</v>
      </c>
      <c r="Q580" s="407">
        <f t="shared" si="808"/>
        <v>0</v>
      </c>
      <c r="R580" s="78">
        <f t="shared" si="647"/>
        <v>0</v>
      </c>
      <c r="S580" s="223">
        <f t="shared" ref="S580:Z580" si="809">+S581</f>
        <v>0</v>
      </c>
      <c r="T580" s="223">
        <f t="shared" si="809"/>
        <v>0</v>
      </c>
      <c r="U580" s="223">
        <f t="shared" si="809"/>
        <v>0</v>
      </c>
      <c r="V580" s="223">
        <f t="shared" si="809"/>
        <v>0</v>
      </c>
      <c r="W580" s="223">
        <f t="shared" si="809"/>
        <v>0</v>
      </c>
      <c r="X580" s="223">
        <f t="shared" si="809"/>
        <v>0</v>
      </c>
      <c r="Y580" s="223">
        <f t="shared" si="809"/>
        <v>0</v>
      </c>
      <c r="Z580" s="223">
        <f t="shared" si="809"/>
        <v>0</v>
      </c>
      <c r="AA580" s="78">
        <f t="shared" si="790"/>
        <v>0</v>
      </c>
      <c r="AB580" s="78">
        <f t="shared" si="649"/>
        <v>0</v>
      </c>
      <c r="AC580" s="175" t="e">
        <f t="shared" si="619"/>
        <v>#DIV/0!</v>
      </c>
    </row>
    <row r="581" spans="1:29" ht="14.25" hidden="1" x14ac:dyDescent="0.2">
      <c r="B581" s="76" t="s">
        <v>861</v>
      </c>
      <c r="C581" s="77" t="s">
        <v>862</v>
      </c>
      <c r="D581" s="334"/>
      <c r="E581" s="188">
        <f>SUM('ADICIONES  2021'!C581:I581)</f>
        <v>0</v>
      </c>
      <c r="F581" s="128"/>
      <c r="G581" s="128"/>
      <c r="H581" s="128"/>
      <c r="I581" s="128"/>
      <c r="J581" s="128"/>
      <c r="K581" s="128">
        <f t="shared" si="645"/>
        <v>0</v>
      </c>
      <c r="L581" s="128"/>
      <c r="M581" s="128"/>
      <c r="N581" s="128"/>
      <c r="O581" s="128"/>
      <c r="P581" s="128"/>
      <c r="Q581" s="413"/>
      <c r="R581" s="128">
        <f t="shared" si="647"/>
        <v>0</v>
      </c>
      <c r="S581" s="128"/>
      <c r="T581" s="128"/>
      <c r="U581" s="128"/>
      <c r="V581" s="128"/>
      <c r="W581" s="128"/>
      <c r="X581" s="128"/>
      <c r="Y581" s="128"/>
      <c r="Z581" s="128"/>
      <c r="AA581" s="128">
        <f t="shared" si="790"/>
        <v>0</v>
      </c>
      <c r="AB581" s="128">
        <f t="shared" si="649"/>
        <v>0</v>
      </c>
      <c r="AC581" s="175" t="e">
        <f t="shared" si="619"/>
        <v>#DIV/0!</v>
      </c>
    </row>
    <row r="582" spans="1:29" s="63" customFormat="1" ht="15.75" hidden="1" x14ac:dyDescent="0.2">
      <c r="A582" s="399"/>
      <c r="B582" s="81" t="s">
        <v>863</v>
      </c>
      <c r="C582" s="79" t="s">
        <v>288</v>
      </c>
      <c r="D582" s="329">
        <f>+D583</f>
        <v>0</v>
      </c>
      <c r="E582" s="187">
        <f>SUM('ADICIONES  2021'!C582:I582)</f>
        <v>0</v>
      </c>
      <c r="F582" s="223">
        <f t="shared" ref="F582:J582" si="810">+F583</f>
        <v>0</v>
      </c>
      <c r="G582" s="223">
        <f t="shared" si="810"/>
        <v>0</v>
      </c>
      <c r="H582" s="223">
        <f t="shared" si="810"/>
        <v>0</v>
      </c>
      <c r="I582" s="223">
        <f t="shared" si="810"/>
        <v>0</v>
      </c>
      <c r="J582" s="223">
        <f t="shared" si="810"/>
        <v>0</v>
      </c>
      <c r="K582" s="78">
        <f t="shared" si="645"/>
        <v>0</v>
      </c>
      <c r="L582" s="223">
        <f t="shared" ref="L582:Q582" si="811">+L583</f>
        <v>0</v>
      </c>
      <c r="M582" s="223">
        <f t="shared" si="811"/>
        <v>0</v>
      </c>
      <c r="N582" s="223">
        <f t="shared" si="811"/>
        <v>0</v>
      </c>
      <c r="O582" s="223">
        <f t="shared" si="811"/>
        <v>0</v>
      </c>
      <c r="P582" s="223">
        <f t="shared" si="811"/>
        <v>0</v>
      </c>
      <c r="Q582" s="407">
        <f t="shared" si="811"/>
        <v>0</v>
      </c>
      <c r="R582" s="78">
        <f t="shared" si="647"/>
        <v>0</v>
      </c>
      <c r="S582" s="223">
        <f t="shared" ref="S582:Z582" si="812">+S583</f>
        <v>0</v>
      </c>
      <c r="T582" s="223">
        <f t="shared" si="812"/>
        <v>0</v>
      </c>
      <c r="U582" s="223">
        <f t="shared" si="812"/>
        <v>0</v>
      </c>
      <c r="V582" s="223">
        <f t="shared" si="812"/>
        <v>0</v>
      </c>
      <c r="W582" s="223">
        <f t="shared" si="812"/>
        <v>0</v>
      </c>
      <c r="X582" s="223">
        <f t="shared" si="812"/>
        <v>0</v>
      </c>
      <c r="Y582" s="223">
        <f t="shared" si="812"/>
        <v>0</v>
      </c>
      <c r="Z582" s="223">
        <f t="shared" si="812"/>
        <v>0</v>
      </c>
      <c r="AA582" s="78">
        <f t="shared" si="790"/>
        <v>0</v>
      </c>
      <c r="AB582" s="78">
        <f t="shared" si="649"/>
        <v>0</v>
      </c>
      <c r="AC582" s="175" t="e">
        <f t="shared" si="619"/>
        <v>#DIV/0!</v>
      </c>
    </row>
    <row r="583" spans="1:29" ht="14.25" hidden="1" x14ac:dyDescent="0.2">
      <c r="B583" s="76" t="s">
        <v>864</v>
      </c>
      <c r="C583" s="77" t="s">
        <v>865</v>
      </c>
      <c r="D583" s="334"/>
      <c r="E583" s="188">
        <f>SUM('ADICIONES  2021'!C583:I583)</f>
        <v>0</v>
      </c>
      <c r="F583" s="128"/>
      <c r="G583" s="128"/>
      <c r="H583" s="128"/>
      <c r="I583" s="128"/>
      <c r="J583" s="128"/>
      <c r="K583" s="128">
        <f t="shared" si="645"/>
        <v>0</v>
      </c>
      <c r="L583" s="128"/>
      <c r="M583" s="128"/>
      <c r="N583" s="128"/>
      <c r="O583" s="128"/>
      <c r="P583" s="128"/>
      <c r="Q583" s="413"/>
      <c r="R583" s="128">
        <f t="shared" si="647"/>
        <v>0</v>
      </c>
      <c r="S583" s="128"/>
      <c r="T583" s="128"/>
      <c r="U583" s="128"/>
      <c r="V583" s="128"/>
      <c r="W583" s="128"/>
      <c r="X583" s="128"/>
      <c r="Y583" s="128"/>
      <c r="Z583" s="128"/>
      <c r="AA583" s="128">
        <f t="shared" si="790"/>
        <v>0</v>
      </c>
      <c r="AB583" s="128">
        <f t="shared" si="649"/>
        <v>0</v>
      </c>
      <c r="AC583" s="175" t="e">
        <f t="shared" si="619"/>
        <v>#DIV/0!</v>
      </c>
    </row>
    <row r="584" spans="1:29" s="63" customFormat="1" ht="15.75" hidden="1" x14ac:dyDescent="0.2">
      <c r="A584" s="399"/>
      <c r="B584" s="81" t="s">
        <v>866</v>
      </c>
      <c r="C584" s="79" t="s">
        <v>289</v>
      </c>
      <c r="D584" s="329">
        <f>+D585</f>
        <v>0</v>
      </c>
      <c r="E584" s="187">
        <f>SUM('ADICIONES  2021'!C584:I584)</f>
        <v>0</v>
      </c>
      <c r="F584" s="223">
        <f t="shared" ref="F584:J584" si="813">+F585</f>
        <v>0</v>
      </c>
      <c r="G584" s="223">
        <f t="shared" si="813"/>
        <v>0</v>
      </c>
      <c r="H584" s="223">
        <f t="shared" si="813"/>
        <v>0</v>
      </c>
      <c r="I584" s="223">
        <f t="shared" si="813"/>
        <v>0</v>
      </c>
      <c r="J584" s="223">
        <f t="shared" si="813"/>
        <v>0</v>
      </c>
      <c r="K584" s="78">
        <f t="shared" si="645"/>
        <v>0</v>
      </c>
      <c r="L584" s="223">
        <f t="shared" ref="L584:Q584" si="814">+L585</f>
        <v>0</v>
      </c>
      <c r="M584" s="223">
        <f t="shared" si="814"/>
        <v>0</v>
      </c>
      <c r="N584" s="223">
        <f t="shared" si="814"/>
        <v>0</v>
      </c>
      <c r="O584" s="223">
        <f t="shared" si="814"/>
        <v>0</v>
      </c>
      <c r="P584" s="223">
        <f t="shared" si="814"/>
        <v>0</v>
      </c>
      <c r="Q584" s="407">
        <f t="shared" si="814"/>
        <v>0</v>
      </c>
      <c r="R584" s="78">
        <f t="shared" si="647"/>
        <v>0</v>
      </c>
      <c r="S584" s="223">
        <f t="shared" ref="S584:Z584" si="815">+S585</f>
        <v>0</v>
      </c>
      <c r="T584" s="223">
        <f t="shared" si="815"/>
        <v>0</v>
      </c>
      <c r="U584" s="223">
        <f t="shared" si="815"/>
        <v>0</v>
      </c>
      <c r="V584" s="223">
        <f t="shared" si="815"/>
        <v>0</v>
      </c>
      <c r="W584" s="223">
        <f t="shared" si="815"/>
        <v>0</v>
      </c>
      <c r="X584" s="223">
        <f t="shared" si="815"/>
        <v>0</v>
      </c>
      <c r="Y584" s="223">
        <f t="shared" si="815"/>
        <v>0</v>
      </c>
      <c r="Z584" s="223">
        <f t="shared" si="815"/>
        <v>0</v>
      </c>
      <c r="AA584" s="78">
        <f t="shared" si="790"/>
        <v>0</v>
      </c>
      <c r="AB584" s="78">
        <f t="shared" si="649"/>
        <v>0</v>
      </c>
      <c r="AC584" s="175" t="e">
        <f t="shared" si="619"/>
        <v>#DIV/0!</v>
      </c>
    </row>
    <row r="585" spans="1:29" ht="14.25" hidden="1" x14ac:dyDescent="0.2">
      <c r="B585" s="76" t="s">
        <v>867</v>
      </c>
      <c r="C585" s="77" t="s">
        <v>868</v>
      </c>
      <c r="D585" s="334"/>
      <c r="E585" s="188">
        <f>SUM('ADICIONES  2021'!C585:I585)</f>
        <v>0</v>
      </c>
      <c r="F585" s="128"/>
      <c r="G585" s="128"/>
      <c r="H585" s="128"/>
      <c r="I585" s="128"/>
      <c r="J585" s="128"/>
      <c r="K585" s="128">
        <f t="shared" si="645"/>
        <v>0</v>
      </c>
      <c r="L585" s="128"/>
      <c r="M585" s="128"/>
      <c r="N585" s="128"/>
      <c r="O585" s="128"/>
      <c r="P585" s="128"/>
      <c r="Q585" s="413"/>
      <c r="R585" s="128">
        <f t="shared" si="647"/>
        <v>0</v>
      </c>
      <c r="S585" s="128"/>
      <c r="T585" s="128"/>
      <c r="U585" s="128"/>
      <c r="V585" s="128"/>
      <c r="W585" s="128"/>
      <c r="X585" s="128"/>
      <c r="Y585" s="128"/>
      <c r="Z585" s="128"/>
      <c r="AA585" s="128">
        <f t="shared" si="790"/>
        <v>0</v>
      </c>
      <c r="AB585" s="128">
        <f t="shared" si="649"/>
        <v>0</v>
      </c>
      <c r="AC585" s="175" t="e">
        <f t="shared" si="619"/>
        <v>#DIV/0!</v>
      </c>
    </row>
    <row r="586" spans="1:29" s="63" customFormat="1" ht="15.75" hidden="1" x14ac:dyDescent="0.2">
      <c r="A586" s="399"/>
      <c r="B586" s="81" t="s">
        <v>869</v>
      </c>
      <c r="C586" s="79" t="s">
        <v>290</v>
      </c>
      <c r="D586" s="329">
        <f>+D587+D588</f>
        <v>0</v>
      </c>
      <c r="E586" s="187">
        <f>SUM('ADICIONES  2021'!C586:I586)</f>
        <v>4190433949.29</v>
      </c>
      <c r="F586" s="223">
        <f t="shared" ref="F586:J586" si="816">+F587+F588</f>
        <v>0</v>
      </c>
      <c r="G586" s="223">
        <f t="shared" si="816"/>
        <v>0</v>
      </c>
      <c r="H586" s="223">
        <f t="shared" si="816"/>
        <v>0</v>
      </c>
      <c r="I586" s="223">
        <f t="shared" si="816"/>
        <v>0</v>
      </c>
      <c r="J586" s="223">
        <f t="shared" si="816"/>
        <v>0</v>
      </c>
      <c r="K586" s="78">
        <f t="shared" si="645"/>
        <v>4190433949.29</v>
      </c>
      <c r="L586" s="223">
        <f t="shared" ref="L586:Q586" si="817">+L587+L588</f>
        <v>0</v>
      </c>
      <c r="M586" s="223">
        <f t="shared" si="817"/>
        <v>0</v>
      </c>
      <c r="N586" s="223">
        <f t="shared" si="817"/>
        <v>4599999256.04</v>
      </c>
      <c r="O586" s="223">
        <f t="shared" si="817"/>
        <v>0</v>
      </c>
      <c r="P586" s="223">
        <f t="shared" si="817"/>
        <v>0</v>
      </c>
      <c r="Q586" s="407">
        <f t="shared" si="817"/>
        <v>0</v>
      </c>
      <c r="R586" s="78">
        <f t="shared" si="647"/>
        <v>4599999256.04</v>
      </c>
      <c r="S586" s="223">
        <f t="shared" ref="S586:Y586" si="818">+S587+S588</f>
        <v>0</v>
      </c>
      <c r="T586" s="223">
        <f t="shared" si="818"/>
        <v>0</v>
      </c>
      <c r="U586" s="223">
        <f t="shared" si="818"/>
        <v>0</v>
      </c>
      <c r="V586" s="223">
        <f t="shared" si="818"/>
        <v>0</v>
      </c>
      <c r="W586" s="223">
        <f t="shared" si="818"/>
        <v>0</v>
      </c>
      <c r="X586" s="223">
        <f t="shared" si="818"/>
        <v>0</v>
      </c>
      <c r="Y586" s="223">
        <f t="shared" si="818"/>
        <v>0</v>
      </c>
      <c r="Z586" s="223">
        <f>+Z587+Z588</f>
        <v>0</v>
      </c>
      <c r="AA586" s="78">
        <f t="shared" si="790"/>
        <v>0</v>
      </c>
      <c r="AB586" s="78">
        <f t="shared" si="649"/>
        <v>4599999256.04</v>
      </c>
      <c r="AC586" s="175">
        <f t="shared" ref="AC586:AC648" si="819">+AB586/K586</f>
        <v>1.0977381607027583</v>
      </c>
    </row>
    <row r="587" spans="1:29" ht="14.25" hidden="1" x14ac:dyDescent="0.2">
      <c r="B587" s="76" t="s">
        <v>870</v>
      </c>
      <c r="C587" s="77" t="s">
        <v>871</v>
      </c>
      <c r="D587" s="334"/>
      <c r="E587" s="188">
        <f>SUM('ADICIONES  2021'!C587:I587)</f>
        <v>0</v>
      </c>
      <c r="F587" s="128"/>
      <c r="G587" s="128"/>
      <c r="H587" s="128"/>
      <c r="I587" s="128"/>
      <c r="J587" s="128"/>
      <c r="K587" s="128">
        <f t="shared" si="645"/>
        <v>0</v>
      </c>
      <c r="L587" s="128"/>
      <c r="M587" s="128"/>
      <c r="N587" s="128">
        <v>4599999256.04</v>
      </c>
      <c r="O587" s="128"/>
      <c r="P587" s="128"/>
      <c r="Q587" s="413"/>
      <c r="R587" s="128">
        <f t="shared" si="647"/>
        <v>4599999256.04</v>
      </c>
      <c r="S587" s="128"/>
      <c r="T587" s="128"/>
      <c r="U587" s="128"/>
      <c r="V587" s="128"/>
      <c r="W587" s="128"/>
      <c r="X587" s="128"/>
      <c r="Y587" s="128"/>
      <c r="Z587" s="128"/>
      <c r="AA587" s="128">
        <f t="shared" si="790"/>
        <v>0</v>
      </c>
      <c r="AB587" s="128">
        <f t="shared" si="649"/>
        <v>4599999256.04</v>
      </c>
      <c r="AC587" s="175">
        <v>0</v>
      </c>
    </row>
    <row r="588" spans="1:29" ht="14.25" hidden="1" x14ac:dyDescent="0.2">
      <c r="B588" s="76" t="s">
        <v>870</v>
      </c>
      <c r="C588" s="77" t="s">
        <v>871</v>
      </c>
      <c r="D588" s="334"/>
      <c r="E588" s="188">
        <f>SUM('ADICIONES  2021'!C588:I588)</f>
        <v>4190433949.29</v>
      </c>
      <c r="F588" s="128"/>
      <c r="G588" s="128"/>
      <c r="H588" s="128"/>
      <c r="I588" s="128"/>
      <c r="J588" s="128"/>
      <c r="K588" s="128">
        <f t="shared" si="645"/>
        <v>4190433949.29</v>
      </c>
      <c r="L588" s="128"/>
      <c r="M588" s="128"/>
      <c r="N588" s="128"/>
      <c r="O588" s="128"/>
      <c r="P588" s="128"/>
      <c r="Q588" s="413"/>
      <c r="R588" s="128">
        <f t="shared" si="647"/>
        <v>0</v>
      </c>
      <c r="S588" s="128"/>
      <c r="T588" s="128"/>
      <c r="U588" s="128"/>
      <c r="V588" s="128"/>
      <c r="W588" s="128"/>
      <c r="X588" s="128"/>
      <c r="Y588" s="128"/>
      <c r="Z588" s="128"/>
      <c r="AA588" s="128">
        <f t="shared" si="790"/>
        <v>0</v>
      </c>
      <c r="AB588" s="128">
        <f t="shared" si="649"/>
        <v>0</v>
      </c>
      <c r="AC588" s="175">
        <f t="shared" si="819"/>
        <v>0</v>
      </c>
    </row>
    <row r="589" spans="1:29" s="63" customFormat="1" ht="15.75" hidden="1" x14ac:dyDescent="0.2">
      <c r="A589" s="399"/>
      <c r="B589" s="81" t="s">
        <v>872</v>
      </c>
      <c r="C589" s="79" t="s">
        <v>291</v>
      </c>
      <c r="D589" s="329">
        <f>+D590</f>
        <v>0</v>
      </c>
      <c r="E589" s="187">
        <f>SUM('ADICIONES  2021'!C589:I589)</f>
        <v>0</v>
      </c>
      <c r="F589" s="223">
        <f t="shared" ref="F589:J589" si="820">+F590</f>
        <v>0</v>
      </c>
      <c r="G589" s="223">
        <f t="shared" si="820"/>
        <v>0</v>
      </c>
      <c r="H589" s="223">
        <f t="shared" si="820"/>
        <v>0</v>
      </c>
      <c r="I589" s="223">
        <f t="shared" si="820"/>
        <v>0</v>
      </c>
      <c r="J589" s="223">
        <f t="shared" si="820"/>
        <v>0</v>
      </c>
      <c r="K589" s="78">
        <f t="shared" si="645"/>
        <v>0</v>
      </c>
      <c r="L589" s="223">
        <f t="shared" ref="L589:Q589" si="821">+L590</f>
        <v>0</v>
      </c>
      <c r="M589" s="223">
        <f t="shared" si="821"/>
        <v>0</v>
      </c>
      <c r="N589" s="223">
        <f t="shared" si="821"/>
        <v>0</v>
      </c>
      <c r="O589" s="223">
        <f t="shared" si="821"/>
        <v>0</v>
      </c>
      <c r="P589" s="223">
        <f t="shared" si="821"/>
        <v>0</v>
      </c>
      <c r="Q589" s="407">
        <f t="shared" si="821"/>
        <v>0</v>
      </c>
      <c r="R589" s="78">
        <f t="shared" si="647"/>
        <v>0</v>
      </c>
      <c r="S589" s="223">
        <f t="shared" ref="S589:Z589" si="822">+S590</f>
        <v>0</v>
      </c>
      <c r="T589" s="223">
        <f t="shared" si="822"/>
        <v>0</v>
      </c>
      <c r="U589" s="223">
        <f t="shared" si="822"/>
        <v>0</v>
      </c>
      <c r="V589" s="223">
        <f t="shared" si="822"/>
        <v>0</v>
      </c>
      <c r="W589" s="223">
        <f t="shared" si="822"/>
        <v>0</v>
      </c>
      <c r="X589" s="223">
        <f t="shared" si="822"/>
        <v>0</v>
      </c>
      <c r="Y589" s="223">
        <f t="shared" si="822"/>
        <v>0</v>
      </c>
      <c r="Z589" s="223">
        <f t="shared" si="822"/>
        <v>0</v>
      </c>
      <c r="AA589" s="78">
        <f t="shared" si="790"/>
        <v>0</v>
      </c>
      <c r="AB589" s="78">
        <f t="shared" si="649"/>
        <v>0</v>
      </c>
      <c r="AC589" s="175" t="e">
        <f t="shared" si="819"/>
        <v>#DIV/0!</v>
      </c>
    </row>
    <row r="590" spans="1:29" ht="14.25" hidden="1" x14ac:dyDescent="0.2">
      <c r="B590" s="76" t="s">
        <v>873</v>
      </c>
      <c r="C590" s="77" t="s">
        <v>291</v>
      </c>
      <c r="D590" s="334"/>
      <c r="E590" s="188">
        <f>SUM('ADICIONES  2021'!C590:I590)</f>
        <v>0</v>
      </c>
      <c r="F590" s="128"/>
      <c r="G590" s="128"/>
      <c r="H590" s="128"/>
      <c r="I590" s="128"/>
      <c r="J590" s="128"/>
      <c r="K590" s="128">
        <f t="shared" si="645"/>
        <v>0</v>
      </c>
      <c r="L590" s="128"/>
      <c r="M590" s="128"/>
      <c r="N590" s="128"/>
      <c r="O590" s="128"/>
      <c r="P590" s="128"/>
      <c r="Q590" s="413"/>
      <c r="R590" s="128">
        <f t="shared" si="647"/>
        <v>0</v>
      </c>
      <c r="S590" s="128"/>
      <c r="T590" s="128"/>
      <c r="U590" s="128"/>
      <c r="V590" s="128"/>
      <c r="W590" s="128"/>
      <c r="X590" s="128"/>
      <c r="Y590" s="128"/>
      <c r="Z590" s="128"/>
      <c r="AA590" s="128">
        <f t="shared" si="790"/>
        <v>0</v>
      </c>
      <c r="AB590" s="128">
        <f t="shared" si="649"/>
        <v>0</v>
      </c>
      <c r="AC590" s="175" t="e">
        <f t="shared" si="819"/>
        <v>#DIV/0!</v>
      </c>
    </row>
    <row r="591" spans="1:29" s="63" customFormat="1" ht="15.75" hidden="1" x14ac:dyDescent="0.2">
      <c r="A591" s="399"/>
      <c r="B591" s="81" t="s">
        <v>874</v>
      </c>
      <c r="C591" s="79" t="s">
        <v>875</v>
      </c>
      <c r="D591" s="329">
        <f>SUM(D592:D594)</f>
        <v>0</v>
      </c>
      <c r="E591" s="187">
        <f>SUM('ADICIONES  2021'!C591:I591)</f>
        <v>0</v>
      </c>
      <c r="F591" s="223">
        <f t="shared" ref="F591:J591" si="823">SUM(F592:F594)</f>
        <v>0</v>
      </c>
      <c r="G591" s="223">
        <f t="shared" si="823"/>
        <v>0</v>
      </c>
      <c r="H591" s="223">
        <f t="shared" si="823"/>
        <v>0</v>
      </c>
      <c r="I591" s="223">
        <f t="shared" si="823"/>
        <v>0</v>
      </c>
      <c r="J591" s="223">
        <f t="shared" si="823"/>
        <v>0</v>
      </c>
      <c r="K591" s="78">
        <f t="shared" si="645"/>
        <v>0</v>
      </c>
      <c r="L591" s="223">
        <f t="shared" ref="L591:Q591" si="824">SUM(L592:L594)</f>
        <v>0</v>
      </c>
      <c r="M591" s="223">
        <f t="shared" si="824"/>
        <v>0</v>
      </c>
      <c r="N591" s="223">
        <f t="shared" si="824"/>
        <v>0</v>
      </c>
      <c r="O591" s="223">
        <f t="shared" si="824"/>
        <v>4882325</v>
      </c>
      <c r="P591" s="223">
        <f t="shared" si="824"/>
        <v>0</v>
      </c>
      <c r="Q591" s="407">
        <f t="shared" si="824"/>
        <v>0</v>
      </c>
      <c r="R591" s="78">
        <f t="shared" si="647"/>
        <v>4882325</v>
      </c>
      <c r="S591" s="223">
        <f t="shared" ref="S591:Z591" si="825">SUM(S592:S594)</f>
        <v>690</v>
      </c>
      <c r="T591" s="223">
        <f t="shared" si="825"/>
        <v>0</v>
      </c>
      <c r="U591" s="223">
        <f t="shared" si="825"/>
        <v>0</v>
      </c>
      <c r="V591" s="223">
        <f t="shared" si="825"/>
        <v>0</v>
      </c>
      <c r="W591" s="223">
        <f t="shared" si="825"/>
        <v>0</v>
      </c>
      <c r="X591" s="223">
        <f t="shared" si="825"/>
        <v>0</v>
      </c>
      <c r="Y591" s="223">
        <f t="shared" si="825"/>
        <v>0</v>
      </c>
      <c r="Z591" s="223">
        <f t="shared" si="825"/>
        <v>0</v>
      </c>
      <c r="AA591" s="78">
        <f t="shared" si="790"/>
        <v>690</v>
      </c>
      <c r="AB591" s="78">
        <f t="shared" si="649"/>
        <v>4883015</v>
      </c>
      <c r="AC591" s="175">
        <v>0</v>
      </c>
    </row>
    <row r="592" spans="1:29" ht="28.5" hidden="1" x14ac:dyDescent="0.2">
      <c r="B592" s="76" t="s">
        <v>876</v>
      </c>
      <c r="C592" s="77" t="s">
        <v>292</v>
      </c>
      <c r="D592" s="334"/>
      <c r="E592" s="188">
        <f>SUM('ADICIONES  2021'!C592:I592)</f>
        <v>0</v>
      </c>
      <c r="F592" s="41"/>
      <c r="G592" s="41"/>
      <c r="H592" s="41"/>
      <c r="I592" s="41"/>
      <c r="J592" s="41"/>
      <c r="K592" s="128">
        <f t="shared" si="645"/>
        <v>0</v>
      </c>
      <c r="L592" s="41"/>
      <c r="M592" s="41"/>
      <c r="N592" s="41"/>
      <c r="O592" s="41">
        <v>4882325</v>
      </c>
      <c r="P592" s="41"/>
      <c r="Q592" s="409"/>
      <c r="R592" s="128">
        <f t="shared" si="647"/>
        <v>4882325</v>
      </c>
      <c r="S592" s="41">
        <v>690</v>
      </c>
      <c r="T592" s="41"/>
      <c r="U592" s="41"/>
      <c r="V592" s="41"/>
      <c r="W592" s="41"/>
      <c r="X592" s="41"/>
      <c r="Y592" s="41"/>
      <c r="Z592" s="41"/>
      <c r="AA592" s="128">
        <f t="shared" si="790"/>
        <v>690</v>
      </c>
      <c r="AB592" s="128">
        <f t="shared" si="649"/>
        <v>4883015</v>
      </c>
      <c r="AC592" s="175">
        <v>0</v>
      </c>
    </row>
    <row r="593" spans="2:29" ht="28.5" hidden="1" x14ac:dyDescent="0.2">
      <c r="B593" s="76" t="s">
        <v>877</v>
      </c>
      <c r="C593" s="77" t="s">
        <v>293</v>
      </c>
      <c r="D593" s="334"/>
      <c r="E593" s="188">
        <f>SUM('ADICIONES  2021'!C593:I593)</f>
        <v>0</v>
      </c>
      <c r="F593" s="41"/>
      <c r="G593" s="41"/>
      <c r="H593" s="41"/>
      <c r="I593" s="41"/>
      <c r="J593" s="41"/>
      <c r="K593" s="128">
        <f t="shared" si="645"/>
        <v>0</v>
      </c>
      <c r="L593" s="41"/>
      <c r="M593" s="41"/>
      <c r="N593" s="41"/>
      <c r="O593" s="41"/>
      <c r="P593" s="41"/>
      <c r="Q593" s="409"/>
      <c r="R593" s="128">
        <f t="shared" si="647"/>
        <v>0</v>
      </c>
      <c r="S593" s="41"/>
      <c r="T593" s="41"/>
      <c r="U593" s="41"/>
      <c r="V593" s="41"/>
      <c r="W593" s="41"/>
      <c r="X593" s="41"/>
      <c r="Y593" s="41"/>
      <c r="Z593" s="41"/>
      <c r="AA593" s="128">
        <f t="shared" si="790"/>
        <v>0</v>
      </c>
      <c r="AB593" s="128">
        <f t="shared" si="649"/>
        <v>0</v>
      </c>
      <c r="AC593" s="175" t="e">
        <f t="shared" si="819"/>
        <v>#DIV/0!</v>
      </c>
    </row>
    <row r="594" spans="2:29" ht="28.5" hidden="1" x14ac:dyDescent="0.2">
      <c r="B594" s="76" t="s">
        <v>878</v>
      </c>
      <c r="C594" s="77" t="s">
        <v>294</v>
      </c>
      <c r="D594" s="334"/>
      <c r="E594" s="188">
        <f>SUM('ADICIONES  2021'!C594:I594)</f>
        <v>0</v>
      </c>
      <c r="F594" s="41"/>
      <c r="G594" s="41"/>
      <c r="H594" s="41"/>
      <c r="I594" s="41"/>
      <c r="J594" s="41"/>
      <c r="K594" s="128">
        <f t="shared" si="645"/>
        <v>0</v>
      </c>
      <c r="L594" s="41"/>
      <c r="M594" s="41"/>
      <c r="N594" s="41"/>
      <c r="O594" s="41"/>
      <c r="P594" s="41"/>
      <c r="Q594" s="409"/>
      <c r="R594" s="128">
        <f t="shared" si="647"/>
        <v>0</v>
      </c>
      <c r="S594" s="41"/>
      <c r="T594" s="41"/>
      <c r="U594" s="41"/>
      <c r="V594" s="41"/>
      <c r="W594" s="41"/>
      <c r="X594" s="41"/>
      <c r="Y594" s="41"/>
      <c r="Z594" s="41"/>
      <c r="AA594" s="128">
        <f t="shared" si="790"/>
        <v>0</v>
      </c>
      <c r="AB594" s="128">
        <f t="shared" si="649"/>
        <v>0</v>
      </c>
      <c r="AC594" s="175" t="e">
        <f t="shared" si="819"/>
        <v>#DIV/0!</v>
      </c>
    </row>
    <row r="595" spans="2:29" ht="14.25" hidden="1" x14ac:dyDescent="0.2">
      <c r="B595" s="76" t="s">
        <v>879</v>
      </c>
      <c r="C595" s="77" t="s">
        <v>295</v>
      </c>
      <c r="D595" s="334"/>
      <c r="E595" s="188">
        <f>SUM('ADICIONES  2021'!C595:I595)</f>
        <v>0</v>
      </c>
      <c r="F595" s="41"/>
      <c r="G595" s="41"/>
      <c r="H595" s="41"/>
      <c r="I595" s="41"/>
      <c r="J595" s="41"/>
      <c r="K595" s="128">
        <f t="shared" si="645"/>
        <v>0</v>
      </c>
      <c r="L595" s="41"/>
      <c r="M595" s="41"/>
      <c r="N595" s="41"/>
      <c r="O595" s="41"/>
      <c r="P595" s="41"/>
      <c r="Q595" s="409"/>
      <c r="R595" s="128">
        <f t="shared" si="647"/>
        <v>0</v>
      </c>
      <c r="S595" s="41"/>
      <c r="T595" s="41"/>
      <c r="U595" s="41"/>
      <c r="V595" s="41"/>
      <c r="W595" s="41"/>
      <c r="X595" s="41"/>
      <c r="Y595" s="41"/>
      <c r="Z595" s="41"/>
      <c r="AA595" s="128">
        <f t="shared" si="790"/>
        <v>0</v>
      </c>
      <c r="AB595" s="128">
        <f t="shared" si="649"/>
        <v>0</v>
      </c>
      <c r="AC595" s="175" t="e">
        <f t="shared" si="819"/>
        <v>#DIV/0!</v>
      </c>
    </row>
    <row r="596" spans="2:29" ht="14.25" hidden="1" x14ac:dyDescent="0.2">
      <c r="B596" s="76" t="s">
        <v>880</v>
      </c>
      <c r="C596" s="77" t="s">
        <v>296</v>
      </c>
      <c r="D596" s="334"/>
      <c r="E596" s="188">
        <f>SUM('ADICIONES  2021'!C596:I596)</f>
        <v>0</v>
      </c>
      <c r="F596" s="41"/>
      <c r="G596" s="41"/>
      <c r="H596" s="41"/>
      <c r="I596" s="41"/>
      <c r="J596" s="41"/>
      <c r="K596" s="128">
        <f t="shared" si="645"/>
        <v>0</v>
      </c>
      <c r="L596" s="41"/>
      <c r="M596" s="41"/>
      <c r="N596" s="41"/>
      <c r="O596" s="41"/>
      <c r="P596" s="41"/>
      <c r="Q596" s="409"/>
      <c r="R596" s="128">
        <f t="shared" si="647"/>
        <v>0</v>
      </c>
      <c r="S596" s="41"/>
      <c r="T596" s="41"/>
      <c r="U596" s="41"/>
      <c r="V596" s="41"/>
      <c r="W596" s="41"/>
      <c r="X596" s="41"/>
      <c r="Y596" s="41"/>
      <c r="Z596" s="41"/>
      <c r="AA596" s="128">
        <f t="shared" si="790"/>
        <v>0</v>
      </c>
      <c r="AB596" s="128">
        <f t="shared" si="649"/>
        <v>0</v>
      </c>
      <c r="AC596" s="175" t="e">
        <f t="shared" si="819"/>
        <v>#DIV/0!</v>
      </c>
    </row>
    <row r="597" spans="2:29" ht="14.25" hidden="1" x14ac:dyDescent="0.2">
      <c r="B597" s="76" t="s">
        <v>881</v>
      </c>
      <c r="C597" s="77" t="s">
        <v>297</v>
      </c>
      <c r="D597" s="334"/>
      <c r="E597" s="188">
        <f>SUM('ADICIONES  2021'!C597:I597)</f>
        <v>0</v>
      </c>
      <c r="F597" s="41"/>
      <c r="G597" s="41"/>
      <c r="H597" s="41"/>
      <c r="I597" s="41"/>
      <c r="J597" s="41"/>
      <c r="K597" s="128">
        <f t="shared" si="645"/>
        <v>0</v>
      </c>
      <c r="L597" s="41"/>
      <c r="M597" s="41"/>
      <c r="N597" s="41"/>
      <c r="O597" s="41"/>
      <c r="P597" s="41"/>
      <c r="Q597" s="409"/>
      <c r="R597" s="128">
        <f t="shared" si="647"/>
        <v>0</v>
      </c>
      <c r="S597" s="41"/>
      <c r="T597" s="41"/>
      <c r="U597" s="41"/>
      <c r="V597" s="41"/>
      <c r="W597" s="41"/>
      <c r="X597" s="41"/>
      <c r="Y597" s="41"/>
      <c r="Z597" s="41"/>
      <c r="AA597" s="128">
        <f t="shared" si="790"/>
        <v>0</v>
      </c>
      <c r="AB597" s="128">
        <f t="shared" si="649"/>
        <v>0</v>
      </c>
      <c r="AC597" s="175" t="e">
        <f t="shared" si="819"/>
        <v>#DIV/0!</v>
      </c>
    </row>
    <row r="598" spans="2:29" ht="14.25" hidden="1" x14ac:dyDescent="0.2">
      <c r="B598" s="76" t="s">
        <v>882</v>
      </c>
      <c r="C598" s="77" t="s">
        <v>298</v>
      </c>
      <c r="D598" s="334"/>
      <c r="E598" s="188">
        <f>SUM('ADICIONES  2021'!C598:I598)</f>
        <v>0</v>
      </c>
      <c r="F598" s="41"/>
      <c r="G598" s="41"/>
      <c r="H598" s="41"/>
      <c r="I598" s="41"/>
      <c r="J598" s="41"/>
      <c r="K598" s="128">
        <f t="shared" si="645"/>
        <v>0</v>
      </c>
      <c r="L598" s="41"/>
      <c r="M598" s="41"/>
      <c r="N598" s="41"/>
      <c r="O598" s="41"/>
      <c r="P598" s="41"/>
      <c r="Q598" s="409"/>
      <c r="R598" s="128">
        <f t="shared" si="647"/>
        <v>0</v>
      </c>
      <c r="S598" s="41"/>
      <c r="T598" s="41"/>
      <c r="U598" s="41"/>
      <c r="V598" s="41"/>
      <c r="W598" s="41"/>
      <c r="X598" s="41"/>
      <c r="Y598" s="41"/>
      <c r="Z598" s="41"/>
      <c r="AA598" s="128">
        <f t="shared" si="790"/>
        <v>0</v>
      </c>
      <c r="AB598" s="128">
        <f t="shared" si="649"/>
        <v>0</v>
      </c>
      <c r="AC598" s="175" t="e">
        <f t="shared" si="819"/>
        <v>#DIV/0!</v>
      </c>
    </row>
    <row r="599" spans="2:29" ht="14.25" hidden="1" x14ac:dyDescent="0.2">
      <c r="B599" s="76" t="s">
        <v>883</v>
      </c>
      <c r="C599" s="77" t="s">
        <v>299</v>
      </c>
      <c r="D599" s="334"/>
      <c r="E599" s="188">
        <f>SUM('ADICIONES  2021'!C599:I599)</f>
        <v>0</v>
      </c>
      <c r="F599" s="41"/>
      <c r="G599" s="41"/>
      <c r="H599" s="41"/>
      <c r="I599" s="41"/>
      <c r="J599" s="41"/>
      <c r="K599" s="128">
        <f t="shared" ref="K599:K764" si="826">+D599+E599-F599+G599-H599</f>
        <v>0</v>
      </c>
      <c r="L599" s="41"/>
      <c r="M599" s="41"/>
      <c r="N599" s="41">
        <v>2281458860.8000002</v>
      </c>
      <c r="O599" s="41"/>
      <c r="P599" s="41"/>
      <c r="Q599" s="409"/>
      <c r="R599" s="128">
        <f t="shared" si="647"/>
        <v>2281458860.8000002</v>
      </c>
      <c r="S599" s="41"/>
      <c r="T599" s="41"/>
      <c r="U599" s="41"/>
      <c r="V599" s="41"/>
      <c r="W599" s="41"/>
      <c r="X599" s="41"/>
      <c r="Y599" s="41"/>
      <c r="Z599" s="41"/>
      <c r="AA599" s="128">
        <f t="shared" si="790"/>
        <v>0</v>
      </c>
      <c r="AB599" s="128">
        <f t="shared" si="649"/>
        <v>2281458860.8000002</v>
      </c>
      <c r="AC599" s="175">
        <v>0</v>
      </c>
    </row>
    <row r="600" spans="2:29" ht="14.25" hidden="1" x14ac:dyDescent="0.2">
      <c r="B600" s="76" t="s">
        <v>883</v>
      </c>
      <c r="C600" s="77" t="s">
        <v>299</v>
      </c>
      <c r="D600" s="334"/>
      <c r="E600" s="188">
        <f>SUM('ADICIONES  2021'!C600:I600)</f>
        <v>2281458860.8000002</v>
      </c>
      <c r="F600" s="41"/>
      <c r="G600" s="41"/>
      <c r="H600" s="41"/>
      <c r="I600" s="41"/>
      <c r="J600" s="41"/>
      <c r="K600" s="128">
        <f t="shared" si="826"/>
        <v>2281458860.8000002</v>
      </c>
      <c r="L600" s="41"/>
      <c r="M600" s="41"/>
      <c r="N600" s="41"/>
      <c r="O600" s="41"/>
      <c r="P600" s="41"/>
      <c r="Q600" s="409"/>
      <c r="R600" s="128">
        <f t="shared" si="647"/>
        <v>0</v>
      </c>
      <c r="S600" s="41"/>
      <c r="T600" s="41"/>
      <c r="U600" s="41"/>
      <c r="V600" s="41"/>
      <c r="W600" s="41"/>
      <c r="X600" s="41"/>
      <c r="Y600" s="41"/>
      <c r="Z600" s="41"/>
      <c r="AA600" s="128">
        <f t="shared" si="790"/>
        <v>0</v>
      </c>
      <c r="AB600" s="128">
        <f t="shared" si="649"/>
        <v>0</v>
      </c>
      <c r="AC600" s="175">
        <f t="shared" si="819"/>
        <v>0</v>
      </c>
    </row>
    <row r="601" spans="2:29" ht="14.25" hidden="1" x14ac:dyDescent="0.2">
      <c r="B601" s="76" t="s">
        <v>884</v>
      </c>
      <c r="C601" s="77" t="s">
        <v>300</v>
      </c>
      <c r="D601" s="334"/>
      <c r="E601" s="188">
        <f>SUM('ADICIONES  2021'!C601:I601)</f>
        <v>0</v>
      </c>
      <c r="F601" s="41"/>
      <c r="G601" s="41"/>
      <c r="H601" s="41"/>
      <c r="I601" s="41"/>
      <c r="J601" s="41"/>
      <c r="K601" s="128">
        <f t="shared" si="826"/>
        <v>0</v>
      </c>
      <c r="L601" s="41"/>
      <c r="M601" s="41"/>
      <c r="N601" s="41"/>
      <c r="O601" s="41"/>
      <c r="P601" s="41"/>
      <c r="Q601" s="409"/>
      <c r="R601" s="128">
        <f t="shared" si="647"/>
        <v>0</v>
      </c>
      <c r="S601" s="41"/>
      <c r="T601" s="41"/>
      <c r="U601" s="41"/>
      <c r="V601" s="41"/>
      <c r="W601" s="41"/>
      <c r="X601" s="41"/>
      <c r="Y601" s="41"/>
      <c r="Z601" s="41"/>
      <c r="AA601" s="128">
        <f t="shared" si="790"/>
        <v>0</v>
      </c>
      <c r="AB601" s="128">
        <f t="shared" ref="AB601:AB764" si="827">+R601+AA601</f>
        <v>0</v>
      </c>
      <c r="AC601" s="175" t="e">
        <f t="shared" si="819"/>
        <v>#DIV/0!</v>
      </c>
    </row>
    <row r="602" spans="2:29" ht="14.25" hidden="1" x14ac:dyDescent="0.2">
      <c r="B602" s="76" t="s">
        <v>885</v>
      </c>
      <c r="C602" s="77" t="s">
        <v>301</v>
      </c>
      <c r="D602" s="334"/>
      <c r="E602" s="188">
        <f>SUM('ADICIONES  2021'!C602:I602)</f>
        <v>0</v>
      </c>
      <c r="F602" s="41"/>
      <c r="G602" s="41"/>
      <c r="H602" s="41"/>
      <c r="I602" s="41"/>
      <c r="J602" s="41"/>
      <c r="K602" s="128">
        <f t="shared" si="826"/>
        <v>0</v>
      </c>
      <c r="L602" s="41"/>
      <c r="M602" s="41"/>
      <c r="N602" s="41"/>
      <c r="O602" s="41"/>
      <c r="P602" s="41"/>
      <c r="Q602" s="409"/>
      <c r="R602" s="128">
        <f t="shared" si="647"/>
        <v>0</v>
      </c>
      <c r="S602" s="41"/>
      <c r="T602" s="41"/>
      <c r="U602" s="41"/>
      <c r="V602" s="41"/>
      <c r="W602" s="41"/>
      <c r="X602" s="41"/>
      <c r="Y602" s="41"/>
      <c r="Z602" s="41"/>
      <c r="AA602" s="128">
        <f t="shared" si="790"/>
        <v>0</v>
      </c>
      <c r="AB602" s="128">
        <f t="shared" si="827"/>
        <v>0</v>
      </c>
      <c r="AC602" s="175" t="e">
        <f t="shared" si="819"/>
        <v>#DIV/0!</v>
      </c>
    </row>
    <row r="603" spans="2:29" ht="28.5" hidden="1" x14ac:dyDescent="0.2">
      <c r="B603" s="76" t="s">
        <v>886</v>
      </c>
      <c r="C603" s="77" t="s">
        <v>302</v>
      </c>
      <c r="D603" s="334"/>
      <c r="E603" s="188">
        <f>SUM('ADICIONES  2021'!C603:I603)</f>
        <v>0</v>
      </c>
      <c r="F603" s="41"/>
      <c r="G603" s="41"/>
      <c r="H603" s="41"/>
      <c r="I603" s="41"/>
      <c r="J603" s="41"/>
      <c r="K603" s="128">
        <f t="shared" si="826"/>
        <v>0</v>
      </c>
      <c r="L603" s="41"/>
      <c r="M603" s="41"/>
      <c r="N603" s="41"/>
      <c r="O603" s="41"/>
      <c r="P603" s="41"/>
      <c r="Q603" s="409"/>
      <c r="R603" s="128">
        <f t="shared" si="647"/>
        <v>0</v>
      </c>
      <c r="S603" s="41"/>
      <c r="T603" s="41"/>
      <c r="U603" s="41"/>
      <c r="V603" s="41"/>
      <c r="W603" s="41"/>
      <c r="X603" s="41"/>
      <c r="Y603" s="41"/>
      <c r="Z603" s="41"/>
      <c r="AA603" s="128">
        <f t="shared" si="790"/>
        <v>0</v>
      </c>
      <c r="AB603" s="128">
        <f t="shared" si="827"/>
        <v>0</v>
      </c>
      <c r="AC603" s="175" t="e">
        <f t="shared" si="819"/>
        <v>#DIV/0!</v>
      </c>
    </row>
    <row r="604" spans="2:29" ht="14.25" hidden="1" x14ac:dyDescent="0.2">
      <c r="B604" s="76" t="s">
        <v>887</v>
      </c>
      <c r="C604" s="77" t="s">
        <v>303</v>
      </c>
      <c r="D604" s="334"/>
      <c r="E604" s="188">
        <f>SUM('ADICIONES  2021'!C604:I604)</f>
        <v>0</v>
      </c>
      <c r="F604" s="41"/>
      <c r="G604" s="41"/>
      <c r="H604" s="41"/>
      <c r="I604" s="41"/>
      <c r="J604" s="41"/>
      <c r="K604" s="128">
        <f t="shared" si="826"/>
        <v>0</v>
      </c>
      <c r="L604" s="41"/>
      <c r="M604" s="41"/>
      <c r="N604" s="41"/>
      <c r="O604" s="41"/>
      <c r="P604" s="41"/>
      <c r="Q604" s="409"/>
      <c r="R604" s="128">
        <f t="shared" si="647"/>
        <v>0</v>
      </c>
      <c r="S604" s="41"/>
      <c r="T604" s="41"/>
      <c r="U604" s="41"/>
      <c r="V604" s="41"/>
      <c r="W604" s="41"/>
      <c r="X604" s="41"/>
      <c r="Y604" s="41"/>
      <c r="Z604" s="41"/>
      <c r="AA604" s="128">
        <f t="shared" si="790"/>
        <v>0</v>
      </c>
      <c r="AB604" s="128">
        <f t="shared" si="827"/>
        <v>0</v>
      </c>
      <c r="AC604" s="175" t="e">
        <f t="shared" si="819"/>
        <v>#DIV/0!</v>
      </c>
    </row>
    <row r="605" spans="2:29" ht="14.25" hidden="1" x14ac:dyDescent="0.2">
      <c r="B605" s="76" t="s">
        <v>888</v>
      </c>
      <c r="C605" s="77" t="s">
        <v>304</v>
      </c>
      <c r="D605" s="334"/>
      <c r="E605" s="188">
        <f>SUM('ADICIONES  2021'!C605:I605)</f>
        <v>0</v>
      </c>
      <c r="F605" s="41"/>
      <c r="G605" s="41"/>
      <c r="H605" s="41"/>
      <c r="I605" s="41"/>
      <c r="J605" s="41"/>
      <c r="K605" s="128">
        <f t="shared" si="826"/>
        <v>0</v>
      </c>
      <c r="L605" s="41"/>
      <c r="M605" s="41"/>
      <c r="N605" s="41"/>
      <c r="O605" s="41"/>
      <c r="P605" s="41"/>
      <c r="Q605" s="409"/>
      <c r="R605" s="128">
        <f t="shared" si="647"/>
        <v>0</v>
      </c>
      <c r="S605" s="41"/>
      <c r="T605" s="41"/>
      <c r="U605" s="41"/>
      <c r="V605" s="41"/>
      <c r="W605" s="41"/>
      <c r="X605" s="41"/>
      <c r="Y605" s="41"/>
      <c r="Z605" s="41"/>
      <c r="AA605" s="128">
        <f t="shared" si="790"/>
        <v>0</v>
      </c>
      <c r="AB605" s="128">
        <f t="shared" si="827"/>
        <v>0</v>
      </c>
      <c r="AC605" s="175" t="e">
        <f t="shared" si="819"/>
        <v>#DIV/0!</v>
      </c>
    </row>
    <row r="606" spans="2:29" ht="14.25" hidden="1" x14ac:dyDescent="0.2">
      <c r="B606" s="76" t="s">
        <v>889</v>
      </c>
      <c r="C606" s="77" t="s">
        <v>890</v>
      </c>
      <c r="D606" s="334"/>
      <c r="E606" s="188">
        <f>SUM('ADICIONES  2021'!C606:I606)</f>
        <v>0</v>
      </c>
      <c r="F606" s="41"/>
      <c r="G606" s="41"/>
      <c r="H606" s="41"/>
      <c r="I606" s="41"/>
      <c r="J606" s="41"/>
      <c r="K606" s="128">
        <f t="shared" si="826"/>
        <v>0</v>
      </c>
      <c r="L606" s="41"/>
      <c r="M606" s="41"/>
      <c r="N606" s="41"/>
      <c r="O606" s="41"/>
      <c r="P606" s="41"/>
      <c r="Q606" s="409"/>
      <c r="R606" s="128">
        <f t="shared" si="647"/>
        <v>0</v>
      </c>
      <c r="S606" s="41"/>
      <c r="T606" s="41"/>
      <c r="U606" s="41"/>
      <c r="V606" s="41"/>
      <c r="W606" s="41"/>
      <c r="X606" s="41"/>
      <c r="Y606" s="41"/>
      <c r="Z606" s="41"/>
      <c r="AA606" s="128">
        <f t="shared" si="790"/>
        <v>0</v>
      </c>
      <c r="AB606" s="128">
        <f t="shared" si="827"/>
        <v>0</v>
      </c>
      <c r="AC606" s="175" t="e">
        <f t="shared" si="819"/>
        <v>#DIV/0!</v>
      </c>
    </row>
    <row r="607" spans="2:29" ht="28.5" hidden="1" x14ac:dyDescent="0.2">
      <c r="B607" s="76" t="s">
        <v>891</v>
      </c>
      <c r="C607" s="77" t="s">
        <v>305</v>
      </c>
      <c r="D607" s="334"/>
      <c r="E607" s="188">
        <f>SUM('ADICIONES  2021'!C607:I607)</f>
        <v>0</v>
      </c>
      <c r="F607" s="41"/>
      <c r="G607" s="41"/>
      <c r="H607" s="41"/>
      <c r="I607" s="41"/>
      <c r="J607" s="41"/>
      <c r="K607" s="128">
        <f t="shared" si="826"/>
        <v>0</v>
      </c>
      <c r="L607" s="41"/>
      <c r="M607" s="41"/>
      <c r="N607" s="41"/>
      <c r="O607" s="41"/>
      <c r="P607" s="41"/>
      <c r="Q607" s="409"/>
      <c r="R607" s="128">
        <f t="shared" si="647"/>
        <v>0</v>
      </c>
      <c r="S607" s="41"/>
      <c r="T607" s="41"/>
      <c r="U607" s="41"/>
      <c r="V607" s="41"/>
      <c r="W607" s="41"/>
      <c r="X607" s="41"/>
      <c r="Y607" s="41"/>
      <c r="Z607" s="41"/>
      <c r="AA607" s="128">
        <f t="shared" si="790"/>
        <v>0</v>
      </c>
      <c r="AB607" s="128">
        <f t="shared" si="827"/>
        <v>0</v>
      </c>
      <c r="AC607" s="175" t="e">
        <f t="shared" si="819"/>
        <v>#DIV/0!</v>
      </c>
    </row>
    <row r="608" spans="2:29" ht="14.25" hidden="1" x14ac:dyDescent="0.2">
      <c r="B608" s="76" t="s">
        <v>892</v>
      </c>
      <c r="C608" s="77" t="s">
        <v>306</v>
      </c>
      <c r="D608" s="334"/>
      <c r="E608" s="188">
        <f>SUM('ADICIONES  2021'!C608:I608)</f>
        <v>0</v>
      </c>
      <c r="F608" s="41"/>
      <c r="G608" s="41"/>
      <c r="H608" s="41"/>
      <c r="I608" s="41"/>
      <c r="J608" s="41"/>
      <c r="K608" s="128">
        <f t="shared" si="826"/>
        <v>0</v>
      </c>
      <c r="L608" s="41"/>
      <c r="M608" s="41"/>
      <c r="N608" s="41"/>
      <c r="O608" s="41"/>
      <c r="P608" s="41"/>
      <c r="Q608" s="409"/>
      <c r="R608" s="128">
        <f t="shared" si="647"/>
        <v>0</v>
      </c>
      <c r="S608" s="41"/>
      <c r="T608" s="41"/>
      <c r="U608" s="41"/>
      <c r="V608" s="41"/>
      <c r="W608" s="41"/>
      <c r="X608" s="41"/>
      <c r="Y608" s="41"/>
      <c r="Z608" s="41"/>
      <c r="AA608" s="128">
        <f t="shared" si="790"/>
        <v>0</v>
      </c>
      <c r="AB608" s="128">
        <f t="shared" si="827"/>
        <v>0</v>
      </c>
      <c r="AC608" s="175" t="e">
        <f t="shared" si="819"/>
        <v>#DIV/0!</v>
      </c>
    </row>
    <row r="609" spans="2:29" ht="28.5" hidden="1" x14ac:dyDescent="0.2">
      <c r="B609" s="76" t="s">
        <v>893</v>
      </c>
      <c r="C609" s="77" t="s">
        <v>894</v>
      </c>
      <c r="D609" s="334"/>
      <c r="E609" s="188">
        <f>SUM('ADICIONES  2021'!C609:I609)</f>
        <v>0</v>
      </c>
      <c r="F609" s="41"/>
      <c r="G609" s="41"/>
      <c r="H609" s="41"/>
      <c r="I609" s="41"/>
      <c r="J609" s="41"/>
      <c r="K609" s="128">
        <f t="shared" si="826"/>
        <v>0</v>
      </c>
      <c r="L609" s="41"/>
      <c r="M609" s="41"/>
      <c r="N609" s="41"/>
      <c r="O609" s="41"/>
      <c r="P609" s="41"/>
      <c r="Q609" s="409"/>
      <c r="R609" s="128">
        <f t="shared" si="647"/>
        <v>0</v>
      </c>
      <c r="S609" s="41"/>
      <c r="T609" s="41"/>
      <c r="U609" s="41"/>
      <c r="V609" s="41"/>
      <c r="W609" s="41"/>
      <c r="X609" s="41"/>
      <c r="Y609" s="41"/>
      <c r="Z609" s="41"/>
      <c r="AA609" s="128">
        <f t="shared" si="790"/>
        <v>0</v>
      </c>
      <c r="AB609" s="128">
        <f t="shared" si="827"/>
        <v>0</v>
      </c>
      <c r="AC609" s="175" t="e">
        <f t="shared" si="819"/>
        <v>#DIV/0!</v>
      </c>
    </row>
    <row r="610" spans="2:29" ht="28.5" hidden="1" x14ac:dyDescent="0.2">
      <c r="B610" s="76" t="s">
        <v>895</v>
      </c>
      <c r="C610" s="77" t="s">
        <v>896</v>
      </c>
      <c r="D610" s="334"/>
      <c r="E610" s="188">
        <f>SUM('ADICIONES  2021'!C610:I610)</f>
        <v>0</v>
      </c>
      <c r="F610" s="41"/>
      <c r="G610" s="41"/>
      <c r="H610" s="41"/>
      <c r="I610" s="41"/>
      <c r="J610" s="41"/>
      <c r="K610" s="128">
        <f t="shared" si="826"/>
        <v>0</v>
      </c>
      <c r="L610" s="41"/>
      <c r="M610" s="41"/>
      <c r="N610" s="41"/>
      <c r="O610" s="41"/>
      <c r="P610" s="41"/>
      <c r="Q610" s="409"/>
      <c r="R610" s="128">
        <f t="shared" si="647"/>
        <v>0</v>
      </c>
      <c r="S610" s="41"/>
      <c r="T610" s="41"/>
      <c r="U610" s="41"/>
      <c r="V610" s="41"/>
      <c r="W610" s="41"/>
      <c r="X610" s="41"/>
      <c r="Y610" s="41"/>
      <c r="Z610" s="41"/>
      <c r="AA610" s="128">
        <f t="shared" si="790"/>
        <v>0</v>
      </c>
      <c r="AB610" s="128">
        <f t="shared" si="827"/>
        <v>0</v>
      </c>
      <c r="AC610" s="175" t="e">
        <f t="shared" si="819"/>
        <v>#DIV/0!</v>
      </c>
    </row>
    <row r="611" spans="2:29" ht="14.25" hidden="1" x14ac:dyDescent="0.2">
      <c r="B611" s="76" t="s">
        <v>897</v>
      </c>
      <c r="C611" s="77" t="s">
        <v>898</v>
      </c>
      <c r="D611" s="334"/>
      <c r="E611" s="188">
        <f>SUM('ADICIONES  2021'!C611:I611)</f>
        <v>0</v>
      </c>
      <c r="F611" s="128"/>
      <c r="G611" s="128"/>
      <c r="H611" s="128"/>
      <c r="I611" s="128"/>
      <c r="J611" s="128"/>
      <c r="K611" s="128">
        <f t="shared" si="826"/>
        <v>0</v>
      </c>
      <c r="L611" s="128"/>
      <c r="M611" s="128"/>
      <c r="N611" s="128"/>
      <c r="O611" s="128"/>
      <c r="P611" s="128"/>
      <c r="Q611" s="413"/>
      <c r="R611" s="128">
        <f t="shared" si="647"/>
        <v>0</v>
      </c>
      <c r="S611" s="128"/>
      <c r="T611" s="128"/>
      <c r="U611" s="128"/>
      <c r="V611" s="128"/>
      <c r="W611" s="128"/>
      <c r="X611" s="128"/>
      <c r="Y611" s="128"/>
      <c r="Z611" s="128"/>
      <c r="AA611" s="128">
        <f t="shared" si="790"/>
        <v>0</v>
      </c>
      <c r="AB611" s="128">
        <f t="shared" si="827"/>
        <v>0</v>
      </c>
      <c r="AC611" s="175" t="e">
        <f t="shared" si="819"/>
        <v>#DIV/0!</v>
      </c>
    </row>
    <row r="612" spans="2:29" ht="14.25" hidden="1" x14ac:dyDescent="0.2">
      <c r="B612" s="76" t="s">
        <v>899</v>
      </c>
      <c r="C612" s="77" t="s">
        <v>900</v>
      </c>
      <c r="D612" s="334"/>
      <c r="E612" s="188">
        <f>SUM('ADICIONES  2021'!C612:I612)</f>
        <v>0</v>
      </c>
      <c r="F612" s="41"/>
      <c r="G612" s="41"/>
      <c r="H612" s="41"/>
      <c r="I612" s="41"/>
      <c r="J612" s="41"/>
      <c r="K612" s="128">
        <f t="shared" si="826"/>
        <v>0</v>
      </c>
      <c r="L612" s="41"/>
      <c r="M612" s="41"/>
      <c r="N612" s="41"/>
      <c r="O612" s="41"/>
      <c r="P612" s="41"/>
      <c r="Q612" s="409"/>
      <c r="R612" s="128">
        <f t="shared" si="647"/>
        <v>0</v>
      </c>
      <c r="S612" s="41"/>
      <c r="T612" s="41"/>
      <c r="U612" s="41"/>
      <c r="V612" s="41"/>
      <c r="W612" s="41"/>
      <c r="X612" s="41"/>
      <c r="Y612" s="41"/>
      <c r="Z612" s="41"/>
      <c r="AA612" s="128">
        <f t="shared" si="790"/>
        <v>0</v>
      </c>
      <c r="AB612" s="128">
        <f t="shared" si="827"/>
        <v>0</v>
      </c>
      <c r="AC612" s="175" t="e">
        <f t="shared" si="819"/>
        <v>#DIV/0!</v>
      </c>
    </row>
    <row r="613" spans="2:29" ht="14.25" hidden="1" x14ac:dyDescent="0.2">
      <c r="B613" s="76" t="s">
        <v>901</v>
      </c>
      <c r="C613" s="77" t="s">
        <v>325</v>
      </c>
      <c r="D613" s="334"/>
      <c r="E613" s="188">
        <f>SUM('ADICIONES  2021'!C613:I613)</f>
        <v>0</v>
      </c>
      <c r="F613" s="128"/>
      <c r="G613" s="128"/>
      <c r="H613" s="128"/>
      <c r="I613" s="128"/>
      <c r="J613" s="128"/>
      <c r="K613" s="128">
        <f t="shared" si="826"/>
        <v>0</v>
      </c>
      <c r="L613" s="128"/>
      <c r="M613" s="128"/>
      <c r="N613" s="128"/>
      <c r="O613" s="128"/>
      <c r="P613" s="128"/>
      <c r="Q613" s="413"/>
      <c r="R613" s="128">
        <f t="shared" si="647"/>
        <v>0</v>
      </c>
      <c r="S613" s="128"/>
      <c r="T613" s="128"/>
      <c r="U613" s="128"/>
      <c r="V613" s="128"/>
      <c r="W613" s="128"/>
      <c r="X613" s="128"/>
      <c r="Y613" s="128"/>
      <c r="Z613" s="128"/>
      <c r="AA613" s="128">
        <f t="shared" si="790"/>
        <v>0</v>
      </c>
      <c r="AB613" s="128">
        <f t="shared" si="827"/>
        <v>0</v>
      </c>
      <c r="AC613" s="175" t="e">
        <f t="shared" si="819"/>
        <v>#DIV/0!</v>
      </c>
    </row>
    <row r="614" spans="2:29" ht="28.5" hidden="1" x14ac:dyDescent="0.2">
      <c r="B614" s="76" t="s">
        <v>902</v>
      </c>
      <c r="C614" s="77" t="s">
        <v>903</v>
      </c>
      <c r="D614" s="334"/>
      <c r="E614" s="188">
        <f>SUM('ADICIONES  2021'!C614:I614)</f>
        <v>0</v>
      </c>
      <c r="F614" s="128"/>
      <c r="G614" s="128"/>
      <c r="H614" s="128"/>
      <c r="I614" s="128"/>
      <c r="J614" s="128"/>
      <c r="K614" s="128">
        <f t="shared" si="826"/>
        <v>0</v>
      </c>
      <c r="L614" s="128"/>
      <c r="M614" s="128"/>
      <c r="N614" s="128"/>
      <c r="O614" s="128"/>
      <c r="P614" s="128"/>
      <c r="Q614" s="413"/>
      <c r="R614" s="128">
        <f t="shared" si="647"/>
        <v>0</v>
      </c>
      <c r="S614" s="128"/>
      <c r="T614" s="128"/>
      <c r="U614" s="128"/>
      <c r="V614" s="128"/>
      <c r="W614" s="128"/>
      <c r="X614" s="128"/>
      <c r="Y614" s="128"/>
      <c r="Z614" s="128"/>
      <c r="AA614" s="128">
        <f t="shared" si="790"/>
        <v>0</v>
      </c>
      <c r="AB614" s="128">
        <f t="shared" si="827"/>
        <v>0</v>
      </c>
      <c r="AC614" s="175" t="e">
        <f t="shared" si="819"/>
        <v>#DIV/0!</v>
      </c>
    </row>
    <row r="615" spans="2:29" ht="28.5" hidden="1" x14ac:dyDescent="0.2">
      <c r="B615" s="76" t="s">
        <v>904</v>
      </c>
      <c r="C615" s="77" t="s">
        <v>905</v>
      </c>
      <c r="D615" s="334"/>
      <c r="E615" s="188">
        <f>SUM('ADICIONES  2021'!C615:I615)</f>
        <v>0</v>
      </c>
      <c r="F615" s="128"/>
      <c r="G615" s="128"/>
      <c r="H615" s="128"/>
      <c r="I615" s="128"/>
      <c r="J615" s="128"/>
      <c r="K615" s="128">
        <f t="shared" si="826"/>
        <v>0</v>
      </c>
      <c r="L615" s="128"/>
      <c r="M615" s="128"/>
      <c r="N615" s="128"/>
      <c r="O615" s="128"/>
      <c r="P615" s="128"/>
      <c r="Q615" s="413"/>
      <c r="R615" s="128">
        <f t="shared" si="647"/>
        <v>0</v>
      </c>
      <c r="S615" s="128"/>
      <c r="T615" s="128"/>
      <c r="U615" s="128"/>
      <c r="V615" s="128"/>
      <c r="W615" s="128"/>
      <c r="X615" s="128"/>
      <c r="Y615" s="128"/>
      <c r="Z615" s="128"/>
      <c r="AA615" s="128">
        <f t="shared" si="790"/>
        <v>0</v>
      </c>
      <c r="AB615" s="128">
        <f t="shared" si="827"/>
        <v>0</v>
      </c>
      <c r="AC615" s="175" t="e">
        <f t="shared" si="819"/>
        <v>#DIV/0!</v>
      </c>
    </row>
    <row r="616" spans="2:29" ht="28.5" hidden="1" x14ac:dyDescent="0.2">
      <c r="B616" s="76" t="s">
        <v>906</v>
      </c>
      <c r="C616" s="77" t="s">
        <v>307</v>
      </c>
      <c r="D616" s="334"/>
      <c r="E616" s="188">
        <f>SUM('ADICIONES  2021'!C616:I616)</f>
        <v>0</v>
      </c>
      <c r="F616" s="128"/>
      <c r="G616" s="128"/>
      <c r="H616" s="128"/>
      <c r="I616" s="128"/>
      <c r="J616" s="128"/>
      <c r="K616" s="128">
        <f t="shared" si="826"/>
        <v>0</v>
      </c>
      <c r="L616" s="128"/>
      <c r="M616" s="128">
        <v>1916524</v>
      </c>
      <c r="N616" s="128">
        <v>486469</v>
      </c>
      <c r="O616" s="128"/>
      <c r="P616" s="128">
        <v>58150835.5</v>
      </c>
      <c r="Q616" s="413">
        <v>4838089.75</v>
      </c>
      <c r="R616" s="128">
        <f t="shared" si="647"/>
        <v>65391918.25</v>
      </c>
      <c r="S616" s="128">
        <v>32684433.440000001</v>
      </c>
      <c r="T616" s="128"/>
      <c r="U616" s="128"/>
      <c r="V616" s="128"/>
      <c r="W616" s="128"/>
      <c r="X616" s="128"/>
      <c r="Y616" s="128"/>
      <c r="Z616" s="128"/>
      <c r="AA616" s="128">
        <f t="shared" si="790"/>
        <v>32684433.440000001</v>
      </c>
      <c r="AB616" s="128">
        <f t="shared" si="827"/>
        <v>98076351.689999998</v>
      </c>
      <c r="AC616" s="175">
        <v>0</v>
      </c>
    </row>
    <row r="617" spans="2:29" ht="14.25" hidden="1" x14ac:dyDescent="0.2">
      <c r="B617" s="76" t="s">
        <v>907</v>
      </c>
      <c r="C617" s="77" t="s">
        <v>908</v>
      </c>
      <c r="D617" s="334"/>
      <c r="E617" s="188">
        <f>SUM('ADICIONES  2021'!C617:I617)</f>
        <v>0</v>
      </c>
      <c r="F617" s="128"/>
      <c r="G617" s="128"/>
      <c r="H617" s="128"/>
      <c r="I617" s="128"/>
      <c r="J617" s="128"/>
      <c r="K617" s="128">
        <f t="shared" si="826"/>
        <v>0</v>
      </c>
      <c r="L617" s="128"/>
      <c r="M617" s="128"/>
      <c r="N617" s="128"/>
      <c r="O617" s="128"/>
      <c r="P617" s="128"/>
      <c r="Q617" s="413">
        <v>0</v>
      </c>
      <c r="R617" s="128">
        <f t="shared" si="647"/>
        <v>0</v>
      </c>
      <c r="S617" s="128"/>
      <c r="T617" s="128"/>
      <c r="U617" s="128"/>
      <c r="V617" s="128"/>
      <c r="W617" s="128"/>
      <c r="X617" s="128"/>
      <c r="Y617" s="128"/>
      <c r="Z617" s="128"/>
      <c r="AA617" s="128">
        <f t="shared" si="790"/>
        <v>0</v>
      </c>
      <c r="AB617" s="128">
        <f t="shared" si="827"/>
        <v>0</v>
      </c>
      <c r="AC617" s="175" t="e">
        <f t="shared" si="819"/>
        <v>#DIV/0!</v>
      </c>
    </row>
    <row r="618" spans="2:29" ht="14.25" hidden="1" x14ac:dyDescent="0.2">
      <c r="B618" s="76" t="s">
        <v>909</v>
      </c>
      <c r="C618" s="77" t="s">
        <v>910</v>
      </c>
      <c r="D618" s="334"/>
      <c r="E618" s="188">
        <f>SUM('ADICIONES  2021'!C618:I618)</f>
        <v>0</v>
      </c>
      <c r="F618" s="128"/>
      <c r="G618" s="128"/>
      <c r="H618" s="128"/>
      <c r="I618" s="128"/>
      <c r="J618" s="128"/>
      <c r="K618" s="128">
        <f t="shared" si="826"/>
        <v>0</v>
      </c>
      <c r="L618" s="128"/>
      <c r="M618" s="128"/>
      <c r="N618" s="128"/>
      <c r="O618" s="128"/>
      <c r="P618" s="128"/>
      <c r="Q618" s="413">
        <v>0</v>
      </c>
      <c r="R618" s="128">
        <f t="shared" si="647"/>
        <v>0</v>
      </c>
      <c r="S618" s="128"/>
      <c r="T618" s="128"/>
      <c r="U618" s="128"/>
      <c r="V618" s="128"/>
      <c r="W618" s="128"/>
      <c r="X618" s="128"/>
      <c r="Y618" s="128"/>
      <c r="Z618" s="128"/>
      <c r="AA618" s="128">
        <f t="shared" si="790"/>
        <v>0</v>
      </c>
      <c r="AB618" s="128">
        <f t="shared" si="827"/>
        <v>0</v>
      </c>
      <c r="AC618" s="175" t="e">
        <f t="shared" si="819"/>
        <v>#DIV/0!</v>
      </c>
    </row>
    <row r="619" spans="2:29" ht="14.25" hidden="1" x14ac:dyDescent="0.2">
      <c r="B619" s="76" t="s">
        <v>911</v>
      </c>
      <c r="C619" s="77" t="s">
        <v>912</v>
      </c>
      <c r="D619" s="334"/>
      <c r="E619" s="188">
        <f>SUM('ADICIONES  2021'!C619:I619)</f>
        <v>0</v>
      </c>
      <c r="F619" s="128"/>
      <c r="G619" s="128"/>
      <c r="H619" s="128"/>
      <c r="I619" s="128"/>
      <c r="J619" s="128"/>
      <c r="K619" s="128">
        <f t="shared" si="826"/>
        <v>0</v>
      </c>
      <c r="L619" s="128"/>
      <c r="M619" s="128"/>
      <c r="N619" s="128"/>
      <c r="O619" s="128"/>
      <c r="P619" s="128"/>
      <c r="Q619" s="413">
        <v>0</v>
      </c>
      <c r="R619" s="128">
        <f t="shared" si="647"/>
        <v>0</v>
      </c>
      <c r="S619" s="128"/>
      <c r="T619" s="128"/>
      <c r="U619" s="128"/>
      <c r="V619" s="128"/>
      <c r="W619" s="128"/>
      <c r="X619" s="128"/>
      <c r="Y619" s="128"/>
      <c r="Z619" s="128"/>
      <c r="AA619" s="128">
        <f t="shared" si="790"/>
        <v>0</v>
      </c>
      <c r="AB619" s="128">
        <f t="shared" si="827"/>
        <v>0</v>
      </c>
      <c r="AC619" s="175" t="e">
        <f t="shared" si="819"/>
        <v>#DIV/0!</v>
      </c>
    </row>
    <row r="620" spans="2:29" ht="14.25" hidden="1" x14ac:dyDescent="0.2">
      <c r="B620" s="76" t="s">
        <v>911</v>
      </c>
      <c r="C620" s="77" t="s">
        <v>912</v>
      </c>
      <c r="D620" s="334"/>
      <c r="E620" s="188">
        <f>SUM('ADICIONES  2021'!C620:I620)</f>
        <v>409565306.75</v>
      </c>
      <c r="F620" s="128"/>
      <c r="G620" s="128"/>
      <c r="H620" s="128"/>
      <c r="I620" s="128"/>
      <c r="J620" s="128"/>
      <c r="K620" s="128">
        <f t="shared" si="826"/>
        <v>409565306.75</v>
      </c>
      <c r="L620" s="128"/>
      <c r="M620" s="128"/>
      <c r="N620" s="128"/>
      <c r="O620" s="128"/>
      <c r="P620" s="128"/>
      <c r="Q620" s="413">
        <v>0</v>
      </c>
      <c r="R620" s="128">
        <f t="shared" si="647"/>
        <v>0</v>
      </c>
      <c r="S620" s="128"/>
      <c r="T620" s="128"/>
      <c r="U620" s="128"/>
      <c r="V620" s="128"/>
      <c r="W620" s="128"/>
      <c r="X620" s="128"/>
      <c r="Y620" s="128"/>
      <c r="Z620" s="128"/>
      <c r="AA620" s="128">
        <f t="shared" si="790"/>
        <v>0</v>
      </c>
      <c r="AB620" s="128">
        <f t="shared" si="827"/>
        <v>0</v>
      </c>
      <c r="AC620" s="175">
        <f t="shared" si="819"/>
        <v>0</v>
      </c>
    </row>
    <row r="621" spans="2:29" ht="14.25" hidden="1" x14ac:dyDescent="0.2">
      <c r="B621" s="76" t="s">
        <v>913</v>
      </c>
      <c r="C621" s="77" t="s">
        <v>914</v>
      </c>
      <c r="D621" s="334"/>
      <c r="E621" s="188">
        <f>SUM('ADICIONES  2021'!C621:I621)</f>
        <v>0</v>
      </c>
      <c r="F621" s="128"/>
      <c r="G621" s="128"/>
      <c r="H621" s="128"/>
      <c r="I621" s="128"/>
      <c r="J621" s="128"/>
      <c r="K621" s="128">
        <f t="shared" si="826"/>
        <v>0</v>
      </c>
      <c r="L621" s="128"/>
      <c r="M621" s="128"/>
      <c r="N621" s="128"/>
      <c r="O621" s="128"/>
      <c r="P621" s="128"/>
      <c r="Q621" s="413">
        <v>0</v>
      </c>
      <c r="R621" s="128">
        <f t="shared" si="647"/>
        <v>0</v>
      </c>
      <c r="S621" s="128"/>
      <c r="T621" s="128"/>
      <c r="U621" s="128"/>
      <c r="V621" s="128"/>
      <c r="W621" s="128"/>
      <c r="X621" s="128"/>
      <c r="Y621" s="128"/>
      <c r="Z621" s="128"/>
      <c r="AA621" s="128">
        <f t="shared" si="790"/>
        <v>0</v>
      </c>
      <c r="AB621" s="128">
        <f t="shared" si="827"/>
        <v>0</v>
      </c>
      <c r="AC621" s="175" t="e">
        <f t="shared" si="819"/>
        <v>#DIV/0!</v>
      </c>
    </row>
    <row r="622" spans="2:29" ht="14.25" hidden="1" x14ac:dyDescent="0.2">
      <c r="B622" s="76" t="s">
        <v>915</v>
      </c>
      <c r="C622" s="77" t="s">
        <v>916</v>
      </c>
      <c r="D622" s="334"/>
      <c r="E622" s="188">
        <f>SUM('ADICIONES  2021'!C622:I622)</f>
        <v>0</v>
      </c>
      <c r="F622" s="128"/>
      <c r="G622" s="128"/>
      <c r="H622" s="128"/>
      <c r="I622" s="128"/>
      <c r="J622" s="128"/>
      <c r="K622" s="128">
        <f t="shared" si="826"/>
        <v>0</v>
      </c>
      <c r="L622" s="128"/>
      <c r="M622" s="128"/>
      <c r="N622" s="128"/>
      <c r="O622" s="128"/>
      <c r="P622" s="128">
        <v>2049869.87</v>
      </c>
      <c r="Q622" s="413">
        <v>2996293</v>
      </c>
      <c r="R622" s="128">
        <f t="shared" si="647"/>
        <v>5046162.87</v>
      </c>
      <c r="S622" s="128"/>
      <c r="T622" s="128"/>
      <c r="U622" s="128"/>
      <c r="V622" s="128"/>
      <c r="W622" s="128"/>
      <c r="X622" s="128"/>
      <c r="Y622" s="128"/>
      <c r="Z622" s="128"/>
      <c r="AA622" s="128">
        <f t="shared" si="790"/>
        <v>0</v>
      </c>
      <c r="AB622" s="128">
        <f t="shared" si="827"/>
        <v>5046162.87</v>
      </c>
      <c r="AC622" s="175">
        <v>0</v>
      </c>
    </row>
    <row r="623" spans="2:29" ht="28.5" hidden="1" x14ac:dyDescent="0.2">
      <c r="B623" s="76" t="s">
        <v>917</v>
      </c>
      <c r="C623" s="77" t="s">
        <v>308</v>
      </c>
      <c r="D623" s="334"/>
      <c r="E623" s="188">
        <f>SUM('ADICIONES  2021'!C623:I623)</f>
        <v>0</v>
      </c>
      <c r="F623" s="41"/>
      <c r="G623" s="41"/>
      <c r="H623" s="41"/>
      <c r="I623" s="41"/>
      <c r="J623" s="41"/>
      <c r="K623" s="128">
        <f t="shared" si="826"/>
        <v>0</v>
      </c>
      <c r="L623" s="41"/>
      <c r="M623" s="41"/>
      <c r="N623" s="41">
        <v>3756634</v>
      </c>
      <c r="O623" s="41">
        <v>475284</v>
      </c>
      <c r="P623" s="41"/>
      <c r="Q623" s="409"/>
      <c r="R623" s="128">
        <f t="shared" si="647"/>
        <v>4231918</v>
      </c>
      <c r="S623" s="41">
        <v>3323474</v>
      </c>
      <c r="T623" s="41"/>
      <c r="U623" s="41"/>
      <c r="V623" s="41"/>
      <c r="W623" s="41"/>
      <c r="X623" s="41"/>
      <c r="Y623" s="41"/>
      <c r="Z623" s="41"/>
      <c r="AA623" s="128">
        <f t="shared" si="790"/>
        <v>3323474</v>
      </c>
      <c r="AB623" s="128">
        <f t="shared" si="827"/>
        <v>7555392</v>
      </c>
      <c r="AC623" s="175">
        <v>0</v>
      </c>
    </row>
    <row r="624" spans="2:29" ht="28.5" hidden="1" x14ac:dyDescent="0.2">
      <c r="B624" s="76" t="s">
        <v>918</v>
      </c>
      <c r="C624" s="77" t="s">
        <v>309</v>
      </c>
      <c r="D624" s="334"/>
      <c r="E624" s="188">
        <f>SUM('ADICIONES  2021'!C624:I624)</f>
        <v>0</v>
      </c>
      <c r="F624" s="41"/>
      <c r="G624" s="41"/>
      <c r="H624" s="41"/>
      <c r="I624" s="41"/>
      <c r="J624" s="41"/>
      <c r="K624" s="128">
        <f t="shared" si="826"/>
        <v>0</v>
      </c>
      <c r="L624" s="41"/>
      <c r="M624" s="41"/>
      <c r="N624" s="41"/>
      <c r="O624" s="41"/>
      <c r="P624" s="41">
        <v>343642.5</v>
      </c>
      <c r="Q624" s="409"/>
      <c r="R624" s="128">
        <f t="shared" si="647"/>
        <v>343642.5</v>
      </c>
      <c r="S624" s="41"/>
      <c r="T624" s="41"/>
      <c r="U624" s="41"/>
      <c r="V624" s="41"/>
      <c r="W624" s="41"/>
      <c r="X624" s="41"/>
      <c r="Y624" s="41"/>
      <c r="Z624" s="41"/>
      <c r="AA624" s="128">
        <f t="shared" si="790"/>
        <v>0</v>
      </c>
      <c r="AB624" s="128">
        <f t="shared" si="827"/>
        <v>343642.5</v>
      </c>
      <c r="AC624" s="175">
        <v>0</v>
      </c>
    </row>
    <row r="625" spans="2:29" ht="28.5" hidden="1" x14ac:dyDescent="0.2">
      <c r="B625" s="76" t="s">
        <v>919</v>
      </c>
      <c r="C625" s="77" t="s">
        <v>310</v>
      </c>
      <c r="D625" s="334"/>
      <c r="E625" s="188">
        <f>SUM('ADICIONES  2021'!C625:I625)</f>
        <v>0</v>
      </c>
      <c r="F625" s="41"/>
      <c r="G625" s="41"/>
      <c r="H625" s="41"/>
      <c r="I625" s="41"/>
      <c r="J625" s="41"/>
      <c r="K625" s="128">
        <f t="shared" si="826"/>
        <v>0</v>
      </c>
      <c r="L625" s="41"/>
      <c r="M625" s="41"/>
      <c r="N625" s="41"/>
      <c r="O625" s="41"/>
      <c r="P625" s="41"/>
      <c r="Q625" s="409"/>
      <c r="R625" s="128">
        <f t="shared" si="647"/>
        <v>0</v>
      </c>
      <c r="S625" s="41"/>
      <c r="T625" s="41"/>
      <c r="U625" s="41"/>
      <c r="V625" s="41"/>
      <c r="W625" s="41"/>
      <c r="X625" s="41"/>
      <c r="Y625" s="41"/>
      <c r="Z625" s="41"/>
      <c r="AA625" s="128">
        <f t="shared" si="790"/>
        <v>0</v>
      </c>
      <c r="AB625" s="128">
        <f t="shared" si="827"/>
        <v>0</v>
      </c>
      <c r="AC625" s="175" t="e">
        <f t="shared" si="819"/>
        <v>#DIV/0!</v>
      </c>
    </row>
    <row r="626" spans="2:29" ht="14.25" hidden="1" x14ac:dyDescent="0.2">
      <c r="B626" s="76" t="s">
        <v>920</v>
      </c>
      <c r="C626" s="77" t="s">
        <v>311</v>
      </c>
      <c r="D626" s="334"/>
      <c r="E626" s="188">
        <f>SUM('ADICIONES  2021'!C626:I626)</f>
        <v>0</v>
      </c>
      <c r="F626" s="41"/>
      <c r="G626" s="41"/>
      <c r="H626" s="41"/>
      <c r="I626" s="41"/>
      <c r="J626" s="41"/>
      <c r="K626" s="128">
        <f t="shared" si="826"/>
        <v>0</v>
      </c>
      <c r="L626" s="41"/>
      <c r="M626" s="41"/>
      <c r="N626" s="41"/>
      <c r="O626" s="41"/>
      <c r="P626" s="41"/>
      <c r="Q626" s="409"/>
      <c r="R626" s="128">
        <f t="shared" si="647"/>
        <v>0</v>
      </c>
      <c r="S626" s="41"/>
      <c r="T626" s="41"/>
      <c r="U626" s="41"/>
      <c r="V626" s="41"/>
      <c r="W626" s="41"/>
      <c r="X626" s="41"/>
      <c r="Y626" s="41"/>
      <c r="Z626" s="41"/>
      <c r="AA626" s="128">
        <f t="shared" si="790"/>
        <v>0</v>
      </c>
      <c r="AB626" s="128">
        <f t="shared" si="827"/>
        <v>0</v>
      </c>
      <c r="AC626" s="175" t="e">
        <f t="shared" si="819"/>
        <v>#DIV/0!</v>
      </c>
    </row>
    <row r="627" spans="2:29" ht="42.75" hidden="1" x14ac:dyDescent="0.2">
      <c r="B627" s="76" t="s">
        <v>921</v>
      </c>
      <c r="C627" s="77" t="s">
        <v>312</v>
      </c>
      <c r="D627" s="334"/>
      <c r="E627" s="188">
        <f>SUM('ADICIONES  2021'!C627:I627)</f>
        <v>0</v>
      </c>
      <c r="F627" s="41"/>
      <c r="G627" s="41"/>
      <c r="H627" s="41"/>
      <c r="I627" s="41"/>
      <c r="J627" s="41"/>
      <c r="K627" s="128">
        <f t="shared" si="826"/>
        <v>0</v>
      </c>
      <c r="L627" s="41"/>
      <c r="M627" s="41"/>
      <c r="N627" s="41"/>
      <c r="O627" s="41"/>
      <c r="P627" s="41"/>
      <c r="Q627" s="409">
        <v>48830.77</v>
      </c>
      <c r="R627" s="128">
        <f t="shared" si="647"/>
        <v>48830.77</v>
      </c>
      <c r="S627" s="41">
        <v>106193.29</v>
      </c>
      <c r="T627" s="41"/>
      <c r="U627" s="41"/>
      <c r="V627" s="41"/>
      <c r="W627" s="41"/>
      <c r="X627" s="41"/>
      <c r="Y627" s="41"/>
      <c r="Z627" s="41"/>
      <c r="AA627" s="128">
        <f t="shared" si="790"/>
        <v>106193.29</v>
      </c>
      <c r="AB627" s="128">
        <f t="shared" si="827"/>
        <v>155024.06</v>
      </c>
      <c r="AC627" s="175">
        <v>0</v>
      </c>
    </row>
    <row r="628" spans="2:29" ht="42.75" hidden="1" x14ac:dyDescent="0.2">
      <c r="B628" s="76" t="s">
        <v>922</v>
      </c>
      <c r="C628" s="77" t="s">
        <v>313</v>
      </c>
      <c r="D628" s="334"/>
      <c r="E628" s="188">
        <f>SUM('ADICIONES  2021'!C628:I628)</f>
        <v>0</v>
      </c>
      <c r="F628" s="41"/>
      <c r="G628" s="41"/>
      <c r="H628" s="41"/>
      <c r="I628" s="41"/>
      <c r="J628" s="41"/>
      <c r="K628" s="128">
        <f t="shared" si="826"/>
        <v>0</v>
      </c>
      <c r="L628" s="41"/>
      <c r="M628" s="41"/>
      <c r="N628" s="41"/>
      <c r="O628" s="41">
        <v>164431.26999999999</v>
      </c>
      <c r="P628" s="41"/>
      <c r="Q628" s="409">
        <v>71416.66</v>
      </c>
      <c r="R628" s="128">
        <f t="shared" si="647"/>
        <v>235847.93</v>
      </c>
      <c r="S628" s="41"/>
      <c r="T628" s="41"/>
      <c r="U628" s="41"/>
      <c r="V628" s="41"/>
      <c r="W628" s="41"/>
      <c r="X628" s="41"/>
      <c r="Y628" s="41"/>
      <c r="Z628" s="41"/>
      <c r="AA628" s="128">
        <f t="shared" si="790"/>
        <v>0</v>
      </c>
      <c r="AB628" s="128">
        <f t="shared" si="827"/>
        <v>235847.93</v>
      </c>
      <c r="AC628" s="175">
        <v>0</v>
      </c>
    </row>
    <row r="629" spans="2:29" ht="42.75" hidden="1" x14ac:dyDescent="0.2">
      <c r="B629" s="76" t="s">
        <v>923</v>
      </c>
      <c r="C629" s="77" t="s">
        <v>314</v>
      </c>
      <c r="D629" s="334"/>
      <c r="E629" s="188">
        <f>SUM('ADICIONES  2021'!C629:I629)</f>
        <v>0</v>
      </c>
      <c r="F629" s="41"/>
      <c r="G629" s="41"/>
      <c r="H629" s="41"/>
      <c r="I629" s="41"/>
      <c r="J629" s="41"/>
      <c r="K629" s="128">
        <f t="shared" si="826"/>
        <v>0</v>
      </c>
      <c r="L629" s="41"/>
      <c r="M629" s="41"/>
      <c r="N629" s="41"/>
      <c r="O629" s="41"/>
      <c r="P629" s="41">
        <v>87341978.129999995</v>
      </c>
      <c r="Q629" s="409"/>
      <c r="R629" s="128">
        <f t="shared" si="647"/>
        <v>87341978.129999995</v>
      </c>
      <c r="S629" s="41"/>
      <c r="T629" s="41"/>
      <c r="U629" s="41"/>
      <c r="V629" s="41"/>
      <c r="W629" s="41"/>
      <c r="X629" s="41"/>
      <c r="Y629" s="41"/>
      <c r="Z629" s="41"/>
      <c r="AA629" s="128">
        <f t="shared" si="790"/>
        <v>0</v>
      </c>
      <c r="AB629" s="128">
        <f t="shared" si="827"/>
        <v>87341978.129999995</v>
      </c>
      <c r="AC629" s="175">
        <v>0</v>
      </c>
    </row>
    <row r="630" spans="2:29" ht="42.75" hidden="1" x14ac:dyDescent="0.2">
      <c r="B630" s="76" t="s">
        <v>924</v>
      </c>
      <c r="C630" s="77" t="s">
        <v>315</v>
      </c>
      <c r="D630" s="334"/>
      <c r="E630" s="188">
        <f>SUM('ADICIONES  2021'!C630:I630)</f>
        <v>0</v>
      </c>
      <c r="F630" s="128"/>
      <c r="G630" s="128"/>
      <c r="H630" s="128"/>
      <c r="I630" s="128"/>
      <c r="J630" s="128"/>
      <c r="K630" s="128">
        <f t="shared" si="826"/>
        <v>0</v>
      </c>
      <c r="L630" s="128"/>
      <c r="M630" s="128"/>
      <c r="N630" s="128"/>
      <c r="O630" s="128"/>
      <c r="P630" s="128"/>
      <c r="Q630" s="413"/>
      <c r="R630" s="128">
        <f t="shared" si="647"/>
        <v>0</v>
      </c>
      <c r="S630" s="128"/>
      <c r="T630" s="128"/>
      <c r="U630" s="128"/>
      <c r="V630" s="128"/>
      <c r="W630" s="128"/>
      <c r="X630" s="128"/>
      <c r="Y630" s="128"/>
      <c r="Z630" s="128"/>
      <c r="AA630" s="128">
        <f t="shared" si="790"/>
        <v>0</v>
      </c>
      <c r="AB630" s="128">
        <f t="shared" si="827"/>
        <v>0</v>
      </c>
      <c r="AC630" s="175" t="e">
        <f t="shared" si="819"/>
        <v>#DIV/0!</v>
      </c>
    </row>
    <row r="631" spans="2:29" ht="57" hidden="1" x14ac:dyDescent="0.2">
      <c r="B631" s="76" t="s">
        <v>925</v>
      </c>
      <c r="C631" s="77" t="s">
        <v>316</v>
      </c>
      <c r="D631" s="334"/>
      <c r="E631" s="188">
        <f>SUM('ADICIONES  2021'!C631:I631)</f>
        <v>0</v>
      </c>
      <c r="F631" s="128"/>
      <c r="G631" s="128"/>
      <c r="H631" s="128"/>
      <c r="I631" s="128"/>
      <c r="J631" s="128"/>
      <c r="K631" s="128">
        <f t="shared" si="826"/>
        <v>0</v>
      </c>
      <c r="L631" s="128"/>
      <c r="M631" s="128"/>
      <c r="N631" s="128"/>
      <c r="O631" s="128"/>
      <c r="P631" s="128"/>
      <c r="Q631" s="413"/>
      <c r="R631" s="128">
        <f t="shared" ref="R631:R697" si="828">SUM(L631:Q631)</f>
        <v>0</v>
      </c>
      <c r="S631" s="128"/>
      <c r="T631" s="128"/>
      <c r="U631" s="128"/>
      <c r="V631" s="128"/>
      <c r="W631" s="128"/>
      <c r="X631" s="128"/>
      <c r="Y631" s="128"/>
      <c r="Z631" s="128"/>
      <c r="AA631" s="128">
        <f t="shared" si="790"/>
        <v>0</v>
      </c>
      <c r="AB631" s="128">
        <f t="shared" si="827"/>
        <v>0</v>
      </c>
      <c r="AC631" s="175" t="e">
        <f t="shared" si="819"/>
        <v>#DIV/0!</v>
      </c>
    </row>
    <row r="632" spans="2:29" ht="42.75" hidden="1" x14ac:dyDescent="0.2">
      <c r="B632" s="76" t="s">
        <v>926</v>
      </c>
      <c r="C632" s="77" t="s">
        <v>317</v>
      </c>
      <c r="D632" s="334"/>
      <c r="E632" s="188">
        <f>SUM('ADICIONES  2021'!C632:I632)</f>
        <v>0</v>
      </c>
      <c r="F632" s="128"/>
      <c r="G632" s="128"/>
      <c r="H632" s="128"/>
      <c r="I632" s="128"/>
      <c r="J632" s="128"/>
      <c r="K632" s="128">
        <f t="shared" si="826"/>
        <v>0</v>
      </c>
      <c r="L632" s="128"/>
      <c r="M632" s="128"/>
      <c r="N632" s="128"/>
      <c r="O632" s="128"/>
      <c r="P632" s="128"/>
      <c r="Q632" s="413"/>
      <c r="R632" s="128">
        <f t="shared" si="828"/>
        <v>0</v>
      </c>
      <c r="S632" s="128"/>
      <c r="T632" s="128"/>
      <c r="U632" s="128"/>
      <c r="V632" s="128"/>
      <c r="W632" s="128"/>
      <c r="X632" s="128"/>
      <c r="Y632" s="128"/>
      <c r="Z632" s="128"/>
      <c r="AA632" s="128">
        <f t="shared" si="790"/>
        <v>0</v>
      </c>
      <c r="AB632" s="128">
        <f t="shared" si="827"/>
        <v>0</v>
      </c>
      <c r="AC632" s="175" t="e">
        <f t="shared" si="819"/>
        <v>#DIV/0!</v>
      </c>
    </row>
    <row r="633" spans="2:29" ht="14.25" hidden="1" x14ac:dyDescent="0.2">
      <c r="B633" s="76" t="s">
        <v>927</v>
      </c>
      <c r="C633" s="77" t="s">
        <v>318</v>
      </c>
      <c r="D633" s="334"/>
      <c r="E633" s="188">
        <f>SUM('ADICIONES  2021'!C633:I633)</f>
        <v>0</v>
      </c>
      <c r="F633" s="128"/>
      <c r="G633" s="128"/>
      <c r="H633" s="128"/>
      <c r="I633" s="128"/>
      <c r="J633" s="128"/>
      <c r="K633" s="128">
        <f t="shared" si="826"/>
        <v>0</v>
      </c>
      <c r="L633" s="128"/>
      <c r="M633" s="128"/>
      <c r="N633" s="128"/>
      <c r="O633" s="128"/>
      <c r="P633" s="128">
        <v>64115</v>
      </c>
      <c r="Q633" s="413"/>
      <c r="R633" s="128">
        <f t="shared" si="828"/>
        <v>64115</v>
      </c>
      <c r="S633" s="128"/>
      <c r="T633" s="128"/>
      <c r="U633" s="128"/>
      <c r="V633" s="128"/>
      <c r="W633" s="128"/>
      <c r="X633" s="128"/>
      <c r="Y633" s="128"/>
      <c r="Z633" s="128"/>
      <c r="AA633" s="128">
        <f t="shared" si="790"/>
        <v>0</v>
      </c>
      <c r="AB633" s="128">
        <f t="shared" si="827"/>
        <v>64115</v>
      </c>
      <c r="AC633" s="175">
        <v>0</v>
      </c>
    </row>
    <row r="634" spans="2:29" ht="14.25" hidden="1" x14ac:dyDescent="0.2">
      <c r="B634" s="76" t="s">
        <v>928</v>
      </c>
      <c r="C634" s="77" t="s">
        <v>319</v>
      </c>
      <c r="D634" s="334"/>
      <c r="E634" s="188">
        <f>SUM('ADICIONES  2021'!C634:I634)</f>
        <v>0</v>
      </c>
      <c r="F634" s="41"/>
      <c r="G634" s="41"/>
      <c r="H634" s="41"/>
      <c r="I634" s="41"/>
      <c r="J634" s="41"/>
      <c r="K634" s="128">
        <f t="shared" si="826"/>
        <v>0</v>
      </c>
      <c r="L634" s="41"/>
      <c r="M634" s="41"/>
      <c r="N634" s="41"/>
      <c r="O634" s="41"/>
      <c r="P634" s="41">
        <v>745811</v>
      </c>
      <c r="Q634" s="409"/>
      <c r="R634" s="128">
        <f t="shared" si="828"/>
        <v>745811</v>
      </c>
      <c r="S634" s="41"/>
      <c r="T634" s="41"/>
      <c r="U634" s="41"/>
      <c r="V634" s="41"/>
      <c r="W634" s="41"/>
      <c r="X634" s="41"/>
      <c r="Y634" s="41"/>
      <c r="Z634" s="41"/>
      <c r="AA634" s="128">
        <f t="shared" si="790"/>
        <v>0</v>
      </c>
      <c r="AB634" s="128">
        <f t="shared" si="827"/>
        <v>745811</v>
      </c>
      <c r="AC634" s="175">
        <v>0</v>
      </c>
    </row>
    <row r="635" spans="2:29" ht="28.5" hidden="1" x14ac:dyDescent="0.2">
      <c r="B635" s="76" t="s">
        <v>929</v>
      </c>
      <c r="C635" s="77" t="s">
        <v>320</v>
      </c>
      <c r="D635" s="334"/>
      <c r="E635" s="188">
        <f>SUM('ADICIONES  2021'!C635:I635)</f>
        <v>0</v>
      </c>
      <c r="F635" s="41"/>
      <c r="G635" s="41"/>
      <c r="H635" s="41"/>
      <c r="I635" s="41"/>
      <c r="J635" s="41"/>
      <c r="K635" s="128">
        <f t="shared" si="826"/>
        <v>0</v>
      </c>
      <c r="L635" s="41"/>
      <c r="M635" s="41"/>
      <c r="N635" s="41"/>
      <c r="O635" s="41"/>
      <c r="P635" s="41"/>
      <c r="Q635" s="409"/>
      <c r="R635" s="128">
        <f t="shared" si="828"/>
        <v>0</v>
      </c>
      <c r="S635" s="41"/>
      <c r="T635" s="41"/>
      <c r="U635" s="41"/>
      <c r="V635" s="41"/>
      <c r="W635" s="41"/>
      <c r="X635" s="41"/>
      <c r="Y635" s="41"/>
      <c r="Z635" s="41"/>
      <c r="AA635" s="128">
        <f t="shared" si="790"/>
        <v>0</v>
      </c>
      <c r="AB635" s="128">
        <f t="shared" si="827"/>
        <v>0</v>
      </c>
      <c r="AC635" s="175" t="e">
        <f t="shared" si="819"/>
        <v>#DIV/0!</v>
      </c>
    </row>
    <row r="636" spans="2:29" ht="28.5" hidden="1" x14ac:dyDescent="0.2">
      <c r="B636" s="76" t="s">
        <v>930</v>
      </c>
      <c r="C636" s="77" t="s">
        <v>321</v>
      </c>
      <c r="D636" s="334"/>
      <c r="E636" s="188">
        <f>SUM('ADICIONES  2021'!C636:I636)</f>
        <v>0</v>
      </c>
      <c r="F636" s="128"/>
      <c r="G636" s="128"/>
      <c r="H636" s="128"/>
      <c r="I636" s="128"/>
      <c r="J636" s="128"/>
      <c r="K636" s="128">
        <f t="shared" si="826"/>
        <v>0</v>
      </c>
      <c r="L636" s="128"/>
      <c r="M636" s="128"/>
      <c r="N636" s="128">
        <v>7955946.2999999998</v>
      </c>
      <c r="O636" s="128"/>
      <c r="P636" s="128"/>
      <c r="Q636" s="413"/>
      <c r="R636" s="128">
        <f t="shared" si="828"/>
        <v>7955946.2999999998</v>
      </c>
      <c r="S636" s="128"/>
      <c r="T636" s="128"/>
      <c r="U636" s="128"/>
      <c r="V636" s="128"/>
      <c r="W636" s="128"/>
      <c r="X636" s="128"/>
      <c r="Y636" s="128"/>
      <c r="Z636" s="128"/>
      <c r="AA636" s="128">
        <f t="shared" ref="AA636:AA648" si="829">SUM(S636:Z636)</f>
        <v>0</v>
      </c>
      <c r="AB636" s="128">
        <f t="shared" si="827"/>
        <v>7955946.2999999998</v>
      </c>
      <c r="AC636" s="175">
        <v>0</v>
      </c>
    </row>
    <row r="637" spans="2:29" ht="14.25" hidden="1" x14ac:dyDescent="0.2">
      <c r="B637" s="76" t="s">
        <v>931</v>
      </c>
      <c r="C637" s="77" t="s">
        <v>322</v>
      </c>
      <c r="D637" s="334"/>
      <c r="E637" s="188">
        <f>SUM('ADICIONES  2021'!C637:I637)</f>
        <v>0</v>
      </c>
      <c r="F637" s="128"/>
      <c r="G637" s="128"/>
      <c r="H637" s="128"/>
      <c r="I637" s="128"/>
      <c r="J637" s="128"/>
      <c r="K637" s="128">
        <f t="shared" si="826"/>
        <v>0</v>
      </c>
      <c r="L637" s="128"/>
      <c r="M637" s="128"/>
      <c r="N637" s="128"/>
      <c r="O637" s="128"/>
      <c r="P637" s="128"/>
      <c r="Q637" s="413"/>
      <c r="R637" s="128">
        <f t="shared" si="828"/>
        <v>0</v>
      </c>
      <c r="S637" s="128"/>
      <c r="T637" s="128"/>
      <c r="U637" s="128"/>
      <c r="V637" s="128"/>
      <c r="W637" s="128"/>
      <c r="X637" s="128"/>
      <c r="Y637" s="128"/>
      <c r="Z637" s="128"/>
      <c r="AA637" s="128">
        <f t="shared" si="829"/>
        <v>0</v>
      </c>
      <c r="AB637" s="128">
        <f t="shared" si="827"/>
        <v>0</v>
      </c>
      <c r="AC637" s="175" t="e">
        <f t="shared" si="819"/>
        <v>#DIV/0!</v>
      </c>
    </row>
    <row r="638" spans="2:29" ht="14.25" hidden="1" x14ac:dyDescent="0.2">
      <c r="B638" s="76" t="s">
        <v>932</v>
      </c>
      <c r="C638" s="77" t="s">
        <v>323</v>
      </c>
      <c r="D638" s="334"/>
      <c r="E638" s="188">
        <f>SUM('ADICIONES  2021'!C638:I638)</f>
        <v>0</v>
      </c>
      <c r="F638" s="128"/>
      <c r="G638" s="128"/>
      <c r="H638" s="128"/>
      <c r="I638" s="128"/>
      <c r="J638" s="128"/>
      <c r="K638" s="128">
        <f t="shared" si="826"/>
        <v>0</v>
      </c>
      <c r="L638" s="128"/>
      <c r="M638" s="128"/>
      <c r="N638" s="128">
        <v>10126785.23</v>
      </c>
      <c r="O638" s="385">
        <v>299373.71000000002</v>
      </c>
      <c r="P638" s="128">
        <v>2310860.37</v>
      </c>
      <c r="Q638" s="413">
        <v>1452575.58</v>
      </c>
      <c r="R638" s="128">
        <f t="shared" si="828"/>
        <v>14189594.890000002</v>
      </c>
      <c r="S638" s="128">
        <v>2591167.67</v>
      </c>
      <c r="T638" s="128"/>
      <c r="U638" s="128"/>
      <c r="V638" s="128"/>
      <c r="W638" s="128"/>
      <c r="X638" s="128"/>
      <c r="Y638" s="128"/>
      <c r="Z638" s="128"/>
      <c r="AA638" s="128">
        <f t="shared" si="829"/>
        <v>2591167.67</v>
      </c>
      <c r="AB638" s="128">
        <f t="shared" si="827"/>
        <v>16780762.560000002</v>
      </c>
      <c r="AC638" s="175">
        <v>0</v>
      </c>
    </row>
    <row r="639" spans="2:29" ht="28.5" hidden="1" x14ac:dyDescent="0.2">
      <c r="B639" s="76" t="s">
        <v>933</v>
      </c>
      <c r="C639" s="77" t="s">
        <v>324</v>
      </c>
      <c r="D639" s="334"/>
      <c r="E639" s="188">
        <f>SUM('ADICIONES  2021'!C639:I639)</f>
        <v>0</v>
      </c>
      <c r="F639" s="128"/>
      <c r="G639" s="128"/>
      <c r="H639" s="128"/>
      <c r="I639" s="128"/>
      <c r="J639" s="128"/>
      <c r="K639" s="128">
        <f t="shared" si="826"/>
        <v>0</v>
      </c>
      <c r="L639" s="128"/>
      <c r="M639" s="128"/>
      <c r="N639" s="128"/>
      <c r="O639" s="128"/>
      <c r="P639" s="128"/>
      <c r="Q639" s="413">
        <v>0</v>
      </c>
      <c r="R639" s="128">
        <f t="shared" si="828"/>
        <v>0</v>
      </c>
      <c r="S639" s="128"/>
      <c r="T639" s="128"/>
      <c r="U639" s="128"/>
      <c r="V639" s="128"/>
      <c r="W639" s="128"/>
      <c r="X639" s="128"/>
      <c r="Y639" s="128"/>
      <c r="Z639" s="128"/>
      <c r="AA639" s="128">
        <f t="shared" si="829"/>
        <v>0</v>
      </c>
      <c r="AB639" s="128">
        <f t="shared" si="827"/>
        <v>0</v>
      </c>
      <c r="AC639" s="175" t="e">
        <f t="shared" si="819"/>
        <v>#DIV/0!</v>
      </c>
    </row>
    <row r="640" spans="2:29" ht="28.5" hidden="1" x14ac:dyDescent="0.2">
      <c r="B640" s="76" t="s">
        <v>934</v>
      </c>
      <c r="C640" s="77" t="s">
        <v>935</v>
      </c>
      <c r="D640" s="334"/>
      <c r="E640" s="188">
        <f>SUM('ADICIONES  2021'!C640:I640)</f>
        <v>0</v>
      </c>
      <c r="F640" s="128"/>
      <c r="G640" s="128"/>
      <c r="H640" s="128"/>
      <c r="I640" s="128"/>
      <c r="J640" s="128"/>
      <c r="K640" s="128">
        <f t="shared" si="826"/>
        <v>0</v>
      </c>
      <c r="L640" s="128"/>
      <c r="M640" s="128"/>
      <c r="N640" s="128">
        <v>23730.19</v>
      </c>
      <c r="O640" s="128">
        <v>8173.59</v>
      </c>
      <c r="P640" s="128">
        <v>249600.01</v>
      </c>
      <c r="Q640" s="413">
        <v>19916151.370000001</v>
      </c>
      <c r="R640" s="128">
        <f t="shared" si="828"/>
        <v>20197655.16</v>
      </c>
      <c r="S640" s="128">
        <v>7910.03</v>
      </c>
      <c r="T640" s="128"/>
      <c r="U640" s="128"/>
      <c r="V640" s="128"/>
      <c r="W640" s="128"/>
      <c r="X640" s="128"/>
      <c r="Y640" s="128"/>
      <c r="Z640" s="128"/>
      <c r="AA640" s="128">
        <f t="shared" si="829"/>
        <v>7910.03</v>
      </c>
      <c r="AB640" s="128">
        <f t="shared" si="827"/>
        <v>20205565.190000001</v>
      </c>
      <c r="AC640" s="175">
        <v>0</v>
      </c>
    </row>
    <row r="641" spans="1:29" ht="28.5" hidden="1" x14ac:dyDescent="0.2">
      <c r="B641" s="76" t="s">
        <v>936</v>
      </c>
      <c r="C641" s="77" t="s">
        <v>937</v>
      </c>
      <c r="D641" s="334"/>
      <c r="E641" s="188">
        <f>SUM('ADICIONES  2021'!C641:I641)</f>
        <v>0</v>
      </c>
      <c r="F641" s="41"/>
      <c r="G641" s="41"/>
      <c r="H641" s="41"/>
      <c r="I641" s="41"/>
      <c r="J641" s="41"/>
      <c r="K641" s="128">
        <f t="shared" si="826"/>
        <v>0</v>
      </c>
      <c r="L641" s="41"/>
      <c r="M641" s="41"/>
      <c r="N641" s="41"/>
      <c r="O641" s="41"/>
      <c r="P641" s="41"/>
      <c r="Q641" s="409"/>
      <c r="R641" s="128">
        <f t="shared" si="828"/>
        <v>0</v>
      </c>
      <c r="S641" s="41"/>
      <c r="T641" s="41"/>
      <c r="U641" s="41"/>
      <c r="V641" s="41"/>
      <c r="W641" s="41"/>
      <c r="X641" s="41"/>
      <c r="Y641" s="41"/>
      <c r="Z641" s="41"/>
      <c r="AA641" s="128">
        <f t="shared" si="829"/>
        <v>0</v>
      </c>
      <c r="AB641" s="128">
        <f t="shared" si="827"/>
        <v>0</v>
      </c>
      <c r="AC641" s="175" t="e">
        <f t="shared" si="819"/>
        <v>#DIV/0!</v>
      </c>
    </row>
    <row r="642" spans="1:29" ht="28.5" hidden="1" x14ac:dyDescent="0.2">
      <c r="B642" s="76" t="s">
        <v>938</v>
      </c>
      <c r="C642" s="77" t="s">
        <v>939</v>
      </c>
      <c r="D642" s="334"/>
      <c r="E642" s="188">
        <f>SUM('ADICIONES  2021'!C642:I642)</f>
        <v>0</v>
      </c>
      <c r="F642" s="41"/>
      <c r="G642" s="41"/>
      <c r="H642" s="41"/>
      <c r="I642" s="41"/>
      <c r="J642" s="41"/>
      <c r="K642" s="128">
        <f t="shared" si="826"/>
        <v>0</v>
      </c>
      <c r="L642" s="41"/>
      <c r="M642" s="41"/>
      <c r="N642" s="41"/>
      <c r="O642" s="41">
        <v>1204348.81</v>
      </c>
      <c r="P642" s="41"/>
      <c r="Q642" s="409"/>
      <c r="R642" s="128">
        <f t="shared" si="828"/>
        <v>1204348.81</v>
      </c>
      <c r="S642" s="41"/>
      <c r="T642" s="41"/>
      <c r="U642" s="41"/>
      <c r="V642" s="41"/>
      <c r="W642" s="41"/>
      <c r="X642" s="41"/>
      <c r="Y642" s="41"/>
      <c r="Z642" s="41"/>
      <c r="AA642" s="128">
        <f t="shared" si="829"/>
        <v>0</v>
      </c>
      <c r="AB642" s="128">
        <f t="shared" si="827"/>
        <v>1204348.81</v>
      </c>
      <c r="AC642" s="175">
        <v>0</v>
      </c>
    </row>
    <row r="643" spans="1:29" ht="28.5" hidden="1" x14ac:dyDescent="0.2">
      <c r="B643" s="76" t="s">
        <v>940</v>
      </c>
      <c r="C643" s="77" t="s">
        <v>941</v>
      </c>
      <c r="D643" s="334"/>
      <c r="E643" s="188">
        <f>SUM('ADICIONES  2021'!C643:I643)</f>
        <v>0</v>
      </c>
      <c r="F643" s="128"/>
      <c r="G643" s="128"/>
      <c r="H643" s="128"/>
      <c r="I643" s="128"/>
      <c r="J643" s="128"/>
      <c r="K643" s="128">
        <f t="shared" si="826"/>
        <v>0</v>
      </c>
      <c r="L643" s="128"/>
      <c r="M643" s="128"/>
      <c r="N643" s="128"/>
      <c r="O643" s="128"/>
      <c r="P643" s="128">
        <v>7290499.75</v>
      </c>
      <c r="Q643" s="413"/>
      <c r="R643" s="128">
        <f t="shared" si="828"/>
        <v>7290499.75</v>
      </c>
      <c r="S643" s="128"/>
      <c r="T643" s="128"/>
      <c r="U643" s="128"/>
      <c r="V643" s="128"/>
      <c r="W643" s="128"/>
      <c r="X643" s="128"/>
      <c r="Y643" s="128"/>
      <c r="Z643" s="128"/>
      <c r="AA643" s="128">
        <f t="shared" si="829"/>
        <v>0</v>
      </c>
      <c r="AB643" s="128">
        <f t="shared" si="827"/>
        <v>7290499.75</v>
      </c>
      <c r="AC643" s="175">
        <v>0</v>
      </c>
    </row>
    <row r="644" spans="1:29" ht="28.5" hidden="1" x14ac:dyDescent="0.2">
      <c r="B644" s="76" t="s">
        <v>942</v>
      </c>
      <c r="C644" s="77" t="s">
        <v>943</v>
      </c>
      <c r="D644" s="334"/>
      <c r="E644" s="188">
        <f>SUM('ADICIONES  2021'!C644:I644)</f>
        <v>0</v>
      </c>
      <c r="F644" s="128"/>
      <c r="G644" s="128"/>
      <c r="H644" s="128"/>
      <c r="I644" s="128"/>
      <c r="J644" s="128"/>
      <c r="K644" s="128">
        <f t="shared" si="826"/>
        <v>0</v>
      </c>
      <c r="L644" s="128"/>
      <c r="M644" s="128"/>
      <c r="N644" s="128"/>
      <c r="O644" s="128"/>
      <c r="P644" s="128"/>
      <c r="Q644" s="413"/>
      <c r="R644" s="128">
        <f t="shared" si="828"/>
        <v>0</v>
      </c>
      <c r="S644" s="128"/>
      <c r="T644" s="128"/>
      <c r="U644" s="128"/>
      <c r="V644" s="128"/>
      <c r="W644" s="128"/>
      <c r="X644" s="128"/>
      <c r="Y644" s="128"/>
      <c r="Z644" s="128"/>
      <c r="AA644" s="128">
        <f t="shared" si="829"/>
        <v>0</v>
      </c>
      <c r="AB644" s="128">
        <f t="shared" si="827"/>
        <v>0</v>
      </c>
      <c r="AC644" s="175" t="e">
        <f t="shared" si="819"/>
        <v>#DIV/0!</v>
      </c>
    </row>
    <row r="645" spans="1:29" ht="28.5" hidden="1" x14ac:dyDescent="0.2">
      <c r="B645" s="76" t="s">
        <v>944</v>
      </c>
      <c r="C645" s="77" t="s">
        <v>945</v>
      </c>
      <c r="D645" s="334"/>
      <c r="E645" s="188">
        <f>SUM('ADICIONES  2021'!C645:I645)</f>
        <v>0</v>
      </c>
      <c r="F645" s="41"/>
      <c r="G645" s="41"/>
      <c r="H645" s="41"/>
      <c r="I645" s="41"/>
      <c r="J645" s="41"/>
      <c r="K645" s="128">
        <f t="shared" si="826"/>
        <v>0</v>
      </c>
      <c r="L645" s="41"/>
      <c r="M645" s="41"/>
      <c r="N645" s="41"/>
      <c r="O645" s="41"/>
      <c r="P645" s="41">
        <v>27566.48</v>
      </c>
      <c r="Q645" s="409"/>
      <c r="R645" s="128">
        <f t="shared" si="828"/>
        <v>27566.48</v>
      </c>
      <c r="S645" s="41"/>
      <c r="T645" s="41"/>
      <c r="U645" s="41"/>
      <c r="V645" s="41"/>
      <c r="W645" s="41"/>
      <c r="X645" s="41"/>
      <c r="Y645" s="41"/>
      <c r="Z645" s="41"/>
      <c r="AA645" s="128">
        <f t="shared" si="829"/>
        <v>0</v>
      </c>
      <c r="AB645" s="128">
        <f t="shared" si="827"/>
        <v>27566.48</v>
      </c>
      <c r="AC645" s="175">
        <v>0</v>
      </c>
    </row>
    <row r="646" spans="1:29" ht="28.5" hidden="1" x14ac:dyDescent="0.2">
      <c r="B646" s="76" t="s">
        <v>946</v>
      </c>
      <c r="C646" s="77" t="s">
        <v>947</v>
      </c>
      <c r="D646" s="334"/>
      <c r="E646" s="188">
        <f>SUM('ADICIONES  2021'!C646:I646)</f>
        <v>0</v>
      </c>
      <c r="F646" s="41"/>
      <c r="G646" s="41"/>
      <c r="H646" s="41"/>
      <c r="I646" s="41"/>
      <c r="J646" s="41"/>
      <c r="K646" s="128">
        <f t="shared" si="826"/>
        <v>0</v>
      </c>
      <c r="L646" s="41"/>
      <c r="M646" s="41"/>
      <c r="N646" s="41"/>
      <c r="O646" s="41"/>
      <c r="P646" s="41"/>
      <c r="Q646" s="409"/>
      <c r="R646" s="128">
        <f t="shared" si="828"/>
        <v>0</v>
      </c>
      <c r="S646" s="41"/>
      <c r="T646" s="41"/>
      <c r="U646" s="41"/>
      <c r="V646" s="41"/>
      <c r="W646" s="41"/>
      <c r="X646" s="41"/>
      <c r="Y646" s="41"/>
      <c r="Z646" s="41"/>
      <c r="AA646" s="128">
        <f t="shared" si="829"/>
        <v>0</v>
      </c>
      <c r="AB646" s="128">
        <f t="shared" si="827"/>
        <v>0</v>
      </c>
      <c r="AC646" s="175" t="e">
        <f t="shared" si="819"/>
        <v>#DIV/0!</v>
      </c>
    </row>
    <row r="647" spans="1:29" ht="28.5" hidden="1" x14ac:dyDescent="0.2">
      <c r="B647" s="76" t="s">
        <v>948</v>
      </c>
      <c r="C647" s="77" t="s">
        <v>380</v>
      </c>
      <c r="D647" s="334"/>
      <c r="E647" s="188">
        <f>SUM('ADICIONES  2021'!C647:I647)</f>
        <v>0</v>
      </c>
      <c r="F647" s="41"/>
      <c r="G647" s="41"/>
      <c r="H647" s="41"/>
      <c r="I647" s="41"/>
      <c r="J647" s="41"/>
      <c r="K647" s="128">
        <f t="shared" si="826"/>
        <v>0</v>
      </c>
      <c r="L647" s="41"/>
      <c r="M647" s="41"/>
      <c r="N647" s="41"/>
      <c r="O647" s="41"/>
      <c r="P647" s="41"/>
      <c r="Q647" s="409"/>
      <c r="R647" s="128">
        <f t="shared" si="828"/>
        <v>0</v>
      </c>
      <c r="S647" s="41"/>
      <c r="T647" s="41"/>
      <c r="U647" s="41"/>
      <c r="V647" s="41"/>
      <c r="W647" s="41"/>
      <c r="X647" s="41"/>
      <c r="Y647" s="41"/>
      <c r="Z647" s="41"/>
      <c r="AA647" s="128">
        <f t="shared" si="829"/>
        <v>0</v>
      </c>
      <c r="AB647" s="128">
        <f t="shared" si="827"/>
        <v>0</v>
      </c>
      <c r="AC647" s="175" t="e">
        <f t="shared" si="819"/>
        <v>#DIV/0!</v>
      </c>
    </row>
    <row r="648" spans="1:29" ht="28.5" hidden="1" x14ac:dyDescent="0.2">
      <c r="B648" s="76" t="s">
        <v>949</v>
      </c>
      <c r="C648" s="77" t="s">
        <v>950</v>
      </c>
      <c r="D648" s="334"/>
      <c r="E648" s="188">
        <f>SUM('ADICIONES  2021'!C648:I648)</f>
        <v>0</v>
      </c>
      <c r="F648" s="128"/>
      <c r="G648" s="128"/>
      <c r="H648" s="128"/>
      <c r="I648" s="128"/>
      <c r="J648" s="128"/>
      <c r="K648" s="128">
        <f>+D648+E648-F648+G648-H648</f>
        <v>0</v>
      </c>
      <c r="L648" s="128"/>
      <c r="M648" s="128"/>
      <c r="N648" s="128"/>
      <c r="O648" s="128"/>
      <c r="P648" s="128"/>
      <c r="Q648" s="413"/>
      <c r="R648" s="128">
        <f>SUM(L648:Q648)</f>
        <v>0</v>
      </c>
      <c r="S648" s="128"/>
      <c r="T648" s="128"/>
      <c r="U648" s="128"/>
      <c r="V648" s="128"/>
      <c r="W648" s="128"/>
      <c r="X648" s="128"/>
      <c r="Y648" s="128"/>
      <c r="Z648" s="128"/>
      <c r="AA648" s="128">
        <f t="shared" si="829"/>
        <v>0</v>
      </c>
      <c r="AB648" s="128">
        <f t="shared" si="827"/>
        <v>0</v>
      </c>
      <c r="AC648" s="175" t="e">
        <f t="shared" si="819"/>
        <v>#DIV/0!</v>
      </c>
    </row>
    <row r="649" spans="1:29" ht="28.5" hidden="1" x14ac:dyDescent="0.2">
      <c r="B649" s="76" t="s">
        <v>951</v>
      </c>
      <c r="C649" s="77" t="s">
        <v>952</v>
      </c>
      <c r="D649" s="334"/>
      <c r="E649" s="188">
        <f>SUM('ADICIONES  2021'!C649:I649)</f>
        <v>0</v>
      </c>
      <c r="F649" s="128"/>
      <c r="G649" s="128"/>
      <c r="H649" s="128"/>
      <c r="I649" s="128"/>
      <c r="J649" s="128"/>
      <c r="K649" s="128">
        <f t="shared" si="826"/>
        <v>0</v>
      </c>
      <c r="L649" s="128"/>
      <c r="M649" s="128"/>
      <c r="N649" s="128">
        <v>15002674.26</v>
      </c>
      <c r="O649" s="128"/>
      <c r="P649" s="128">
        <v>94465838</v>
      </c>
      <c r="Q649" s="413"/>
      <c r="R649" s="128">
        <f t="shared" si="828"/>
        <v>109468512.26000001</v>
      </c>
      <c r="S649" s="128"/>
      <c r="T649" s="128"/>
      <c r="U649" s="128"/>
      <c r="V649" s="128"/>
      <c r="W649" s="128"/>
      <c r="X649" s="128"/>
      <c r="Y649" s="128"/>
      <c r="Z649" s="128"/>
      <c r="AA649" s="128">
        <f t="shared" ref="AA649:AA715" si="830">SUM(S649:Z649)</f>
        <v>0</v>
      </c>
      <c r="AB649" s="128">
        <f t="shared" si="827"/>
        <v>109468512.26000001</v>
      </c>
      <c r="AC649" s="175">
        <v>0</v>
      </c>
    </row>
    <row r="650" spans="1:29" ht="15.75" x14ac:dyDescent="0.2">
      <c r="A650" s="398">
        <v>1</v>
      </c>
      <c r="B650" s="82" t="s">
        <v>1626</v>
      </c>
      <c r="C650" s="83" t="s">
        <v>1627</v>
      </c>
      <c r="D650" s="78">
        <f>+D651</f>
        <v>0</v>
      </c>
      <c r="E650" s="187">
        <f>SUM('ADICIONES  2021'!C650:I650)</f>
        <v>6653868002.9099998</v>
      </c>
      <c r="F650" s="78">
        <f t="shared" ref="F650:J650" si="831">+F651</f>
        <v>0</v>
      </c>
      <c r="G650" s="78">
        <f t="shared" si="831"/>
        <v>0</v>
      </c>
      <c r="H650" s="78">
        <f t="shared" si="831"/>
        <v>0</v>
      </c>
      <c r="I650" s="78">
        <f t="shared" si="831"/>
        <v>0</v>
      </c>
      <c r="J650" s="78">
        <f t="shared" si="831"/>
        <v>0</v>
      </c>
      <c r="K650" s="128">
        <f t="shared" si="826"/>
        <v>6653868002.9099998</v>
      </c>
      <c r="L650" s="126">
        <f t="shared" ref="L650:Q650" si="832">+L651</f>
        <v>0</v>
      </c>
      <c r="M650" s="126">
        <f t="shared" si="832"/>
        <v>0</v>
      </c>
      <c r="N650" s="126">
        <f t="shared" si="832"/>
        <v>0</v>
      </c>
      <c r="O650" s="126">
        <f t="shared" si="832"/>
        <v>0</v>
      </c>
      <c r="P650" s="126">
        <f t="shared" si="832"/>
        <v>0</v>
      </c>
      <c r="Q650" s="126">
        <f t="shared" si="832"/>
        <v>0</v>
      </c>
      <c r="R650" s="127">
        <f t="shared" si="828"/>
        <v>0</v>
      </c>
      <c r="S650" s="126">
        <f t="shared" ref="S650:Z650" si="833">+S651</f>
        <v>0</v>
      </c>
      <c r="T650" s="78">
        <f t="shared" si="833"/>
        <v>0</v>
      </c>
      <c r="U650" s="78">
        <f t="shared" si="833"/>
        <v>0</v>
      </c>
      <c r="V650" s="78">
        <f t="shared" si="833"/>
        <v>0</v>
      </c>
      <c r="W650" s="78">
        <f t="shared" si="833"/>
        <v>0</v>
      </c>
      <c r="X650" s="78">
        <f t="shared" si="833"/>
        <v>0</v>
      </c>
      <c r="Y650" s="126">
        <f t="shared" si="833"/>
        <v>0</v>
      </c>
      <c r="Z650" s="78">
        <f t="shared" si="833"/>
        <v>0</v>
      </c>
      <c r="AA650" s="127">
        <f t="shared" si="830"/>
        <v>0</v>
      </c>
      <c r="AB650" s="128">
        <f t="shared" si="827"/>
        <v>0</v>
      </c>
      <c r="AC650" s="175">
        <f t="shared" ref="AC650:AC716" si="834">+AB650/K650</f>
        <v>0</v>
      </c>
    </row>
    <row r="651" spans="1:29" s="5" customFormat="1" ht="15.75" hidden="1" x14ac:dyDescent="0.2">
      <c r="A651" s="100"/>
      <c r="B651" s="81" t="s">
        <v>1628</v>
      </c>
      <c r="C651" s="79" t="s">
        <v>1629</v>
      </c>
      <c r="D651" s="78">
        <f>+D655+D652</f>
        <v>0</v>
      </c>
      <c r="E651" s="187">
        <f>SUM('ADICIONES  2021'!C651:I651)</f>
        <v>6653868002.9099998</v>
      </c>
      <c r="F651" s="78">
        <f t="shared" ref="F651:J651" si="835">+F655+F652</f>
        <v>0</v>
      </c>
      <c r="G651" s="78">
        <f t="shared" si="835"/>
        <v>0</v>
      </c>
      <c r="H651" s="78">
        <f t="shared" si="835"/>
        <v>0</v>
      </c>
      <c r="I651" s="78">
        <f t="shared" si="835"/>
        <v>0</v>
      </c>
      <c r="J651" s="78">
        <f t="shared" si="835"/>
        <v>0</v>
      </c>
      <c r="K651" s="127">
        <f t="shared" si="826"/>
        <v>6653868002.9099998</v>
      </c>
      <c r="L651" s="78">
        <f t="shared" ref="L651:Q651" si="836">+L655+L652</f>
        <v>0</v>
      </c>
      <c r="M651" s="78">
        <f t="shared" si="836"/>
        <v>0</v>
      </c>
      <c r="N651" s="78">
        <f t="shared" si="836"/>
        <v>0</v>
      </c>
      <c r="O651" s="78">
        <f t="shared" si="836"/>
        <v>0</v>
      </c>
      <c r="P651" s="78">
        <f t="shared" si="836"/>
        <v>0</v>
      </c>
      <c r="Q651" s="408">
        <f t="shared" si="836"/>
        <v>0</v>
      </c>
      <c r="R651" s="127">
        <f t="shared" si="828"/>
        <v>0</v>
      </c>
      <c r="S651" s="78">
        <f t="shared" ref="S651:Z651" si="837">+S655+S652</f>
        <v>0</v>
      </c>
      <c r="T651" s="78">
        <f t="shared" si="837"/>
        <v>0</v>
      </c>
      <c r="U651" s="78">
        <f t="shared" si="837"/>
        <v>0</v>
      </c>
      <c r="V651" s="78">
        <f t="shared" si="837"/>
        <v>0</v>
      </c>
      <c r="W651" s="78">
        <f t="shared" si="837"/>
        <v>0</v>
      </c>
      <c r="X651" s="78">
        <f t="shared" si="837"/>
        <v>0</v>
      </c>
      <c r="Y651" s="78">
        <f t="shared" si="837"/>
        <v>0</v>
      </c>
      <c r="Z651" s="78">
        <f t="shared" si="837"/>
        <v>0</v>
      </c>
      <c r="AA651" s="127">
        <f t="shared" si="830"/>
        <v>0</v>
      </c>
      <c r="AB651" s="127">
        <f t="shared" si="827"/>
        <v>0</v>
      </c>
      <c r="AC651" s="176">
        <f t="shared" si="834"/>
        <v>0</v>
      </c>
    </row>
    <row r="652" spans="1:29" s="5" customFormat="1" ht="15.75" hidden="1" x14ac:dyDescent="0.2">
      <c r="A652" s="100"/>
      <c r="B652" s="81" t="s">
        <v>1882</v>
      </c>
      <c r="C652" s="79" t="s">
        <v>1883</v>
      </c>
      <c r="D652" s="78">
        <f>SUM(D653:D654)</f>
        <v>0</v>
      </c>
      <c r="E652" s="187">
        <f>SUM('ADICIONES  2021'!C652:I652)</f>
        <v>1753741970.9100001</v>
      </c>
      <c r="F652" s="78">
        <f t="shared" ref="F652:J652" si="838">SUM(F653:F654)</f>
        <v>0</v>
      </c>
      <c r="G652" s="78">
        <f t="shared" si="838"/>
        <v>0</v>
      </c>
      <c r="H652" s="78">
        <f t="shared" si="838"/>
        <v>0</v>
      </c>
      <c r="I652" s="78">
        <f t="shared" si="838"/>
        <v>0</v>
      </c>
      <c r="J652" s="78">
        <f t="shared" si="838"/>
        <v>0</v>
      </c>
      <c r="K652" s="127">
        <f t="shared" si="826"/>
        <v>1753741970.9100001</v>
      </c>
      <c r="L652" s="78">
        <f t="shared" ref="L652:Q652" si="839">SUM(L653:L654)</f>
        <v>0</v>
      </c>
      <c r="M652" s="78">
        <f t="shared" si="839"/>
        <v>0</v>
      </c>
      <c r="N652" s="78">
        <f t="shared" si="839"/>
        <v>0</v>
      </c>
      <c r="O652" s="78">
        <f t="shared" si="839"/>
        <v>0</v>
      </c>
      <c r="P652" s="78">
        <f t="shared" si="839"/>
        <v>0</v>
      </c>
      <c r="Q652" s="408">
        <f t="shared" si="839"/>
        <v>0</v>
      </c>
      <c r="R652" s="127">
        <f t="shared" si="828"/>
        <v>0</v>
      </c>
      <c r="S652" s="78">
        <f t="shared" ref="S652:Z652" si="840">SUM(S653:S654)</f>
        <v>0</v>
      </c>
      <c r="T652" s="78">
        <f t="shared" si="840"/>
        <v>0</v>
      </c>
      <c r="U652" s="78">
        <f t="shared" si="840"/>
        <v>0</v>
      </c>
      <c r="V652" s="78">
        <f t="shared" si="840"/>
        <v>0</v>
      </c>
      <c r="W652" s="78">
        <f t="shared" si="840"/>
        <v>0</v>
      </c>
      <c r="X652" s="78">
        <f t="shared" si="840"/>
        <v>0</v>
      </c>
      <c r="Y652" s="78">
        <f t="shared" si="840"/>
        <v>0</v>
      </c>
      <c r="Z652" s="78">
        <f t="shared" si="840"/>
        <v>0</v>
      </c>
      <c r="AA652" s="127">
        <f t="shared" ref="AA652:AA654" si="841">SUM(S652:Z652)</f>
        <v>0</v>
      </c>
      <c r="AB652" s="127">
        <f t="shared" si="827"/>
        <v>0</v>
      </c>
      <c r="AC652" s="176">
        <f t="shared" si="834"/>
        <v>0</v>
      </c>
    </row>
    <row r="653" spans="1:29" ht="76.5" hidden="1" x14ac:dyDescent="0.2">
      <c r="B653" s="82" t="s">
        <v>1884</v>
      </c>
      <c r="C653" s="392" t="s">
        <v>1885</v>
      </c>
      <c r="D653" s="126"/>
      <c r="E653" s="188">
        <f>SUM('ADICIONES  2021'!C653:I653)</f>
        <v>1399970000</v>
      </c>
      <c r="F653" s="126"/>
      <c r="G653" s="126"/>
      <c r="H653" s="126"/>
      <c r="I653" s="126"/>
      <c r="J653" s="126"/>
      <c r="K653" s="128">
        <f t="shared" si="826"/>
        <v>1399970000</v>
      </c>
      <c r="L653" s="126"/>
      <c r="M653" s="126"/>
      <c r="N653" s="126"/>
      <c r="O653" s="126"/>
      <c r="P653" s="126"/>
      <c r="Q653" s="413"/>
      <c r="R653" s="128">
        <f t="shared" si="828"/>
        <v>0</v>
      </c>
      <c r="S653" s="126"/>
      <c r="T653" s="126"/>
      <c r="U653" s="126"/>
      <c r="V653" s="126"/>
      <c r="W653" s="126"/>
      <c r="X653" s="126"/>
      <c r="Y653" s="126"/>
      <c r="Z653" s="126"/>
      <c r="AA653" s="128">
        <f t="shared" si="841"/>
        <v>0</v>
      </c>
      <c r="AB653" s="128">
        <f t="shared" si="827"/>
        <v>0</v>
      </c>
      <c r="AC653" s="175">
        <f t="shared" si="834"/>
        <v>0</v>
      </c>
    </row>
    <row r="654" spans="1:29" ht="45" hidden="1" x14ac:dyDescent="0.2">
      <c r="B654" s="82" t="s">
        <v>1886</v>
      </c>
      <c r="C654" s="83" t="s">
        <v>1887</v>
      </c>
      <c r="D654" s="126"/>
      <c r="E654" s="188">
        <f>SUM('ADICIONES  2021'!C654:I654)</f>
        <v>353771970.91000003</v>
      </c>
      <c r="F654" s="126"/>
      <c r="G654" s="126"/>
      <c r="H654" s="126"/>
      <c r="I654" s="126"/>
      <c r="J654" s="126"/>
      <c r="K654" s="128">
        <f t="shared" si="826"/>
        <v>353771970.91000003</v>
      </c>
      <c r="L654" s="126"/>
      <c r="M654" s="126"/>
      <c r="N654" s="126"/>
      <c r="O654" s="126"/>
      <c r="P654" s="126"/>
      <c r="Q654" s="413"/>
      <c r="R654" s="128">
        <f t="shared" si="828"/>
        <v>0</v>
      </c>
      <c r="S654" s="126"/>
      <c r="T654" s="126"/>
      <c r="U654" s="126"/>
      <c r="V654" s="126"/>
      <c r="W654" s="126"/>
      <c r="X654" s="126"/>
      <c r="Y654" s="126"/>
      <c r="Z654" s="126"/>
      <c r="AA654" s="128">
        <f t="shared" si="841"/>
        <v>0</v>
      </c>
      <c r="AB654" s="128">
        <f t="shared" si="827"/>
        <v>0</v>
      </c>
      <c r="AC654" s="175">
        <f t="shared" si="834"/>
        <v>0</v>
      </c>
    </row>
    <row r="655" spans="1:29" s="5" customFormat="1" ht="15.75" hidden="1" x14ac:dyDescent="0.2">
      <c r="A655" s="100"/>
      <c r="B655" s="81" t="s">
        <v>1630</v>
      </c>
      <c r="C655" s="79" t="s">
        <v>1631</v>
      </c>
      <c r="D655" s="78">
        <f>+D656+D661</f>
        <v>0</v>
      </c>
      <c r="E655" s="187">
        <f>SUM('ADICIONES  2021'!C655:I655)</f>
        <v>4900126032</v>
      </c>
      <c r="F655" s="78">
        <f>+F656+F661</f>
        <v>0</v>
      </c>
      <c r="G655" s="78">
        <f>+G656+G661</f>
        <v>0</v>
      </c>
      <c r="H655" s="78">
        <f>+H656+H661</f>
        <v>0</v>
      </c>
      <c r="I655" s="78">
        <f>+I656+I661</f>
        <v>0</v>
      </c>
      <c r="J655" s="78">
        <f>+J656+J661</f>
        <v>0</v>
      </c>
      <c r="K655" s="127">
        <f t="shared" si="826"/>
        <v>4900126032</v>
      </c>
      <c r="L655" s="78">
        <f t="shared" ref="L655:Q655" si="842">+L656+L661</f>
        <v>0</v>
      </c>
      <c r="M655" s="78">
        <f t="shared" si="842"/>
        <v>0</v>
      </c>
      <c r="N655" s="78">
        <f t="shared" si="842"/>
        <v>0</v>
      </c>
      <c r="O655" s="78">
        <f t="shared" si="842"/>
        <v>0</v>
      </c>
      <c r="P655" s="78">
        <f t="shared" si="842"/>
        <v>0</v>
      </c>
      <c r="Q655" s="408">
        <f t="shared" si="842"/>
        <v>0</v>
      </c>
      <c r="R655" s="127">
        <f t="shared" si="828"/>
        <v>0</v>
      </c>
      <c r="S655" s="78">
        <f t="shared" ref="S655:Z655" si="843">+S656+S661</f>
        <v>0</v>
      </c>
      <c r="T655" s="78">
        <f t="shared" si="843"/>
        <v>0</v>
      </c>
      <c r="U655" s="78">
        <f t="shared" si="843"/>
        <v>0</v>
      </c>
      <c r="V655" s="78">
        <f t="shared" si="843"/>
        <v>0</v>
      </c>
      <c r="W655" s="78">
        <f t="shared" si="843"/>
        <v>0</v>
      </c>
      <c r="X655" s="78">
        <f t="shared" si="843"/>
        <v>0</v>
      </c>
      <c r="Y655" s="78">
        <f t="shared" si="843"/>
        <v>0</v>
      </c>
      <c r="Z655" s="78">
        <f t="shared" si="843"/>
        <v>0</v>
      </c>
      <c r="AA655" s="127">
        <f t="shared" si="830"/>
        <v>0</v>
      </c>
      <c r="AB655" s="127">
        <f t="shared" si="827"/>
        <v>0</v>
      </c>
      <c r="AC655" s="176">
        <f t="shared" si="834"/>
        <v>0</v>
      </c>
    </row>
    <row r="656" spans="1:29" s="5" customFormat="1" ht="78.75" hidden="1" x14ac:dyDescent="0.2">
      <c r="A656" s="100"/>
      <c r="B656" s="81" t="s">
        <v>1632</v>
      </c>
      <c r="C656" s="79" t="s">
        <v>1633</v>
      </c>
      <c r="D656" s="78">
        <f>SUM(D657:D660)</f>
        <v>0</v>
      </c>
      <c r="E656" s="187">
        <f>SUM('ADICIONES  2021'!C656:I656)</f>
        <v>2750126032</v>
      </c>
      <c r="F656" s="78">
        <f>SUM(F657:F660)</f>
        <v>0</v>
      </c>
      <c r="G656" s="78">
        <f>SUM(G657:G660)</f>
        <v>0</v>
      </c>
      <c r="H656" s="78">
        <f>SUM(H657:H660)</f>
        <v>0</v>
      </c>
      <c r="I656" s="78">
        <f>SUM(I657:I660)</f>
        <v>0</v>
      </c>
      <c r="J656" s="78">
        <f>SUM(J657:J660)</f>
        <v>0</v>
      </c>
      <c r="K656" s="127">
        <f t="shared" si="826"/>
        <v>2750126032</v>
      </c>
      <c r="L656" s="78">
        <f t="shared" ref="L656:Q656" si="844">SUM(L657:L660)</f>
        <v>0</v>
      </c>
      <c r="M656" s="78">
        <f t="shared" si="844"/>
        <v>0</v>
      </c>
      <c r="N656" s="78">
        <f t="shared" si="844"/>
        <v>0</v>
      </c>
      <c r="O656" s="78">
        <f t="shared" si="844"/>
        <v>0</v>
      </c>
      <c r="P656" s="78">
        <f t="shared" si="844"/>
        <v>0</v>
      </c>
      <c r="Q656" s="408">
        <f t="shared" si="844"/>
        <v>0</v>
      </c>
      <c r="R656" s="127">
        <f t="shared" si="828"/>
        <v>0</v>
      </c>
      <c r="S656" s="78">
        <f t="shared" ref="S656:Z656" si="845">SUM(S657:S660)</f>
        <v>0</v>
      </c>
      <c r="T656" s="78">
        <f t="shared" si="845"/>
        <v>0</v>
      </c>
      <c r="U656" s="78">
        <f t="shared" si="845"/>
        <v>0</v>
      </c>
      <c r="V656" s="78">
        <f t="shared" si="845"/>
        <v>0</v>
      </c>
      <c r="W656" s="78">
        <f t="shared" si="845"/>
        <v>0</v>
      </c>
      <c r="X656" s="78">
        <f t="shared" si="845"/>
        <v>0</v>
      </c>
      <c r="Y656" s="78">
        <f t="shared" si="845"/>
        <v>0</v>
      </c>
      <c r="Z656" s="78">
        <f t="shared" si="845"/>
        <v>0</v>
      </c>
      <c r="AA656" s="127">
        <f t="shared" si="830"/>
        <v>0</v>
      </c>
      <c r="AB656" s="127">
        <f t="shared" si="827"/>
        <v>0</v>
      </c>
      <c r="AC656" s="176">
        <f t="shared" si="834"/>
        <v>0</v>
      </c>
    </row>
    <row r="657" spans="1:29" ht="28.5" hidden="1" x14ac:dyDescent="0.2">
      <c r="B657" s="76" t="s">
        <v>1634</v>
      </c>
      <c r="C657" s="77" t="s">
        <v>1635</v>
      </c>
      <c r="D657" s="128"/>
      <c r="E657" s="188">
        <f>SUM('ADICIONES  2021'!C657:I657)</f>
        <v>2000000000</v>
      </c>
      <c r="F657" s="128"/>
      <c r="G657" s="128"/>
      <c r="H657" s="128"/>
      <c r="I657" s="128"/>
      <c r="J657" s="128"/>
      <c r="K657" s="128">
        <f t="shared" si="826"/>
        <v>2000000000</v>
      </c>
      <c r="L657" s="128"/>
      <c r="M657" s="128"/>
      <c r="N657" s="128"/>
      <c r="O657" s="128"/>
      <c r="P657" s="128"/>
      <c r="Q657" s="413"/>
      <c r="R657" s="128">
        <f t="shared" si="828"/>
        <v>0</v>
      </c>
      <c r="S657" s="128"/>
      <c r="T657" s="128"/>
      <c r="U657" s="128"/>
      <c r="V657" s="128"/>
      <c r="W657" s="128"/>
      <c r="X657" s="128"/>
      <c r="Y657" s="128"/>
      <c r="Z657" s="128"/>
      <c r="AA657" s="128">
        <f t="shared" si="830"/>
        <v>0</v>
      </c>
      <c r="AB657" s="128">
        <f t="shared" si="827"/>
        <v>0</v>
      </c>
      <c r="AC657" s="175">
        <f t="shared" si="834"/>
        <v>0</v>
      </c>
    </row>
    <row r="658" spans="1:29" ht="28.5" hidden="1" x14ac:dyDescent="0.2">
      <c r="B658" s="76" t="s">
        <v>1636</v>
      </c>
      <c r="C658" s="77" t="s">
        <v>1637</v>
      </c>
      <c r="D658" s="128"/>
      <c r="E658" s="188">
        <f>SUM('ADICIONES  2021'!C658:I658)</f>
        <v>250000000</v>
      </c>
      <c r="F658" s="128"/>
      <c r="G658" s="128"/>
      <c r="H658" s="128"/>
      <c r="I658" s="128"/>
      <c r="J658" s="128"/>
      <c r="K658" s="128">
        <f t="shared" si="826"/>
        <v>250000000</v>
      </c>
      <c r="L658" s="128"/>
      <c r="M658" s="128"/>
      <c r="N658" s="128"/>
      <c r="O658" s="128"/>
      <c r="P658" s="128"/>
      <c r="Q658" s="413"/>
      <c r="R658" s="128">
        <f t="shared" si="828"/>
        <v>0</v>
      </c>
      <c r="S658" s="128"/>
      <c r="T658" s="128"/>
      <c r="U658" s="128"/>
      <c r="V658" s="128"/>
      <c r="W658" s="128"/>
      <c r="X658" s="128"/>
      <c r="Y658" s="128"/>
      <c r="Z658" s="128"/>
      <c r="AA658" s="128">
        <f t="shared" si="830"/>
        <v>0</v>
      </c>
      <c r="AB658" s="128">
        <f t="shared" si="827"/>
        <v>0</v>
      </c>
      <c r="AC658" s="175">
        <f t="shared" si="834"/>
        <v>0</v>
      </c>
    </row>
    <row r="659" spans="1:29" ht="28.5" hidden="1" x14ac:dyDescent="0.2">
      <c r="B659" s="76" t="s">
        <v>1638</v>
      </c>
      <c r="C659" s="77" t="s">
        <v>1639</v>
      </c>
      <c r="D659" s="128"/>
      <c r="E659" s="188">
        <f>SUM('ADICIONES  2021'!C659:I659)</f>
        <v>400000000</v>
      </c>
      <c r="F659" s="128"/>
      <c r="G659" s="128"/>
      <c r="H659" s="128"/>
      <c r="I659" s="128"/>
      <c r="J659" s="128"/>
      <c r="K659" s="128">
        <f t="shared" si="826"/>
        <v>400000000</v>
      </c>
      <c r="L659" s="128"/>
      <c r="M659" s="128"/>
      <c r="N659" s="128"/>
      <c r="O659" s="128"/>
      <c r="P659" s="128"/>
      <c r="Q659" s="413"/>
      <c r="R659" s="128">
        <f t="shared" si="828"/>
        <v>0</v>
      </c>
      <c r="S659" s="128"/>
      <c r="T659" s="128"/>
      <c r="U659" s="128"/>
      <c r="V659" s="128"/>
      <c r="W659" s="128"/>
      <c r="X659" s="128"/>
      <c r="Y659" s="128"/>
      <c r="Z659" s="128"/>
      <c r="AA659" s="128">
        <f t="shared" si="830"/>
        <v>0</v>
      </c>
      <c r="AB659" s="128">
        <f t="shared" si="827"/>
        <v>0</v>
      </c>
      <c r="AC659" s="175">
        <f t="shared" si="834"/>
        <v>0</v>
      </c>
    </row>
    <row r="660" spans="1:29" ht="28.5" hidden="1" x14ac:dyDescent="0.2">
      <c r="B660" s="76" t="s">
        <v>1640</v>
      </c>
      <c r="C660" s="77" t="s">
        <v>1639</v>
      </c>
      <c r="D660" s="128"/>
      <c r="E660" s="188">
        <f>SUM('ADICIONES  2021'!C660:I660)</f>
        <v>100126032</v>
      </c>
      <c r="F660" s="128"/>
      <c r="G660" s="128"/>
      <c r="H660" s="128"/>
      <c r="I660" s="128"/>
      <c r="J660" s="128"/>
      <c r="K660" s="128">
        <f t="shared" si="826"/>
        <v>100126032</v>
      </c>
      <c r="L660" s="128"/>
      <c r="M660" s="128"/>
      <c r="N660" s="128"/>
      <c r="O660" s="128"/>
      <c r="P660" s="128"/>
      <c r="Q660" s="413"/>
      <c r="R660" s="128">
        <f t="shared" si="828"/>
        <v>0</v>
      </c>
      <c r="S660" s="128"/>
      <c r="T660" s="128"/>
      <c r="U660" s="128"/>
      <c r="V660" s="128"/>
      <c r="W660" s="128"/>
      <c r="X660" s="128"/>
      <c r="Y660" s="128"/>
      <c r="Z660" s="128"/>
      <c r="AA660" s="128">
        <f t="shared" si="830"/>
        <v>0</v>
      </c>
      <c r="AB660" s="128">
        <f t="shared" si="827"/>
        <v>0</v>
      </c>
      <c r="AC660" s="175">
        <f t="shared" si="834"/>
        <v>0</v>
      </c>
    </row>
    <row r="661" spans="1:29" ht="75" hidden="1" x14ac:dyDescent="0.2">
      <c r="B661" s="81" t="s">
        <v>1641</v>
      </c>
      <c r="C661" s="194" t="s">
        <v>1642</v>
      </c>
      <c r="D661" s="78">
        <f>SUM(D662:D666)</f>
        <v>0</v>
      </c>
      <c r="E661" s="187">
        <f>SUM('ADICIONES  2021'!C661:I661)</f>
        <v>2150000000</v>
      </c>
      <c r="F661" s="78">
        <f>SUM(F662:F666)</f>
        <v>0</v>
      </c>
      <c r="G661" s="78">
        <f>SUM(G662:G666)</f>
        <v>0</v>
      </c>
      <c r="H661" s="78">
        <f>SUM(H662:H666)</f>
        <v>0</v>
      </c>
      <c r="I661" s="78">
        <f>SUM(I662:I666)</f>
        <v>0</v>
      </c>
      <c r="J661" s="78">
        <f>SUM(J662:J666)</f>
        <v>0</v>
      </c>
      <c r="K661" s="128">
        <f t="shared" si="826"/>
        <v>2150000000</v>
      </c>
      <c r="L661" s="78">
        <f t="shared" ref="L661:Q661" si="846">SUM(L662:L666)</f>
        <v>0</v>
      </c>
      <c r="M661" s="78">
        <f t="shared" si="846"/>
        <v>0</v>
      </c>
      <c r="N661" s="78">
        <f t="shared" si="846"/>
        <v>0</v>
      </c>
      <c r="O661" s="78">
        <f t="shared" si="846"/>
        <v>0</v>
      </c>
      <c r="P661" s="78">
        <f t="shared" si="846"/>
        <v>0</v>
      </c>
      <c r="Q661" s="408">
        <f t="shared" si="846"/>
        <v>0</v>
      </c>
      <c r="R661" s="128">
        <f t="shared" si="828"/>
        <v>0</v>
      </c>
      <c r="S661" s="78">
        <f t="shared" ref="S661:Z661" si="847">SUM(S662:S666)</f>
        <v>0</v>
      </c>
      <c r="T661" s="78">
        <f t="shared" si="847"/>
        <v>0</v>
      </c>
      <c r="U661" s="78">
        <f t="shared" si="847"/>
        <v>0</v>
      </c>
      <c r="V661" s="78">
        <f t="shared" si="847"/>
        <v>0</v>
      </c>
      <c r="W661" s="78">
        <f t="shared" si="847"/>
        <v>0</v>
      </c>
      <c r="X661" s="78">
        <f t="shared" si="847"/>
        <v>0</v>
      </c>
      <c r="Y661" s="78">
        <f t="shared" si="847"/>
        <v>0</v>
      </c>
      <c r="Z661" s="78">
        <f t="shared" si="847"/>
        <v>0</v>
      </c>
      <c r="AA661" s="128">
        <f t="shared" si="830"/>
        <v>0</v>
      </c>
      <c r="AB661" s="128">
        <f t="shared" si="827"/>
        <v>0</v>
      </c>
      <c r="AC661" s="175">
        <f t="shared" si="834"/>
        <v>0</v>
      </c>
    </row>
    <row r="662" spans="1:29" ht="28.5" hidden="1" x14ac:dyDescent="0.2">
      <c r="B662" s="76" t="s">
        <v>1643</v>
      </c>
      <c r="C662" s="77" t="s">
        <v>1644</v>
      </c>
      <c r="D662" s="128"/>
      <c r="E662" s="188">
        <f>SUM('ADICIONES  2021'!C662:I662)</f>
        <v>900000000</v>
      </c>
      <c r="F662" s="128"/>
      <c r="G662" s="128"/>
      <c r="H662" s="128"/>
      <c r="I662" s="128"/>
      <c r="J662" s="128"/>
      <c r="K662" s="128">
        <f t="shared" si="826"/>
        <v>900000000</v>
      </c>
      <c r="L662" s="128"/>
      <c r="M662" s="128"/>
      <c r="N662" s="128"/>
      <c r="O662" s="128"/>
      <c r="P662" s="128"/>
      <c r="Q662" s="413"/>
      <c r="R662" s="128">
        <f t="shared" si="828"/>
        <v>0</v>
      </c>
      <c r="S662" s="128"/>
      <c r="T662" s="128"/>
      <c r="U662" s="128"/>
      <c r="V662" s="128"/>
      <c r="W662" s="128"/>
      <c r="X662" s="128"/>
      <c r="Y662" s="128"/>
      <c r="Z662" s="128"/>
      <c r="AA662" s="128">
        <f t="shared" si="830"/>
        <v>0</v>
      </c>
      <c r="AB662" s="128">
        <f t="shared" si="827"/>
        <v>0</v>
      </c>
      <c r="AC662" s="175">
        <f t="shared" si="834"/>
        <v>0</v>
      </c>
    </row>
    <row r="663" spans="1:29" ht="28.5" hidden="1" x14ac:dyDescent="0.2">
      <c r="B663" s="76" t="s">
        <v>1645</v>
      </c>
      <c r="C663" s="77" t="s">
        <v>1646</v>
      </c>
      <c r="D663" s="128"/>
      <c r="E663" s="188">
        <f>SUM('ADICIONES  2021'!C663:I663)</f>
        <v>250000000</v>
      </c>
      <c r="F663" s="128"/>
      <c r="G663" s="128"/>
      <c r="H663" s="128"/>
      <c r="I663" s="128"/>
      <c r="J663" s="128"/>
      <c r="K663" s="128">
        <f t="shared" si="826"/>
        <v>250000000</v>
      </c>
      <c r="L663" s="128"/>
      <c r="M663" s="128"/>
      <c r="N663" s="128"/>
      <c r="O663" s="128"/>
      <c r="P663" s="128"/>
      <c r="Q663" s="413"/>
      <c r="R663" s="128">
        <f t="shared" si="828"/>
        <v>0</v>
      </c>
      <c r="S663" s="128"/>
      <c r="T663" s="128"/>
      <c r="U663" s="128"/>
      <c r="V663" s="128"/>
      <c r="W663" s="128"/>
      <c r="X663" s="128"/>
      <c r="Y663" s="128"/>
      <c r="Z663" s="128"/>
      <c r="AA663" s="128">
        <f t="shared" si="830"/>
        <v>0</v>
      </c>
      <c r="AB663" s="128">
        <f t="shared" si="827"/>
        <v>0</v>
      </c>
      <c r="AC663" s="175">
        <f t="shared" si="834"/>
        <v>0</v>
      </c>
    </row>
    <row r="664" spans="1:29" ht="28.5" hidden="1" x14ac:dyDescent="0.2">
      <c r="B664" s="76" t="s">
        <v>1647</v>
      </c>
      <c r="C664" s="77" t="s">
        <v>1648</v>
      </c>
      <c r="D664" s="128"/>
      <c r="E664" s="188">
        <f>SUM('ADICIONES  2021'!C664:I664)</f>
        <v>280000000</v>
      </c>
      <c r="F664" s="128"/>
      <c r="G664" s="128"/>
      <c r="H664" s="128"/>
      <c r="I664" s="128"/>
      <c r="J664" s="128"/>
      <c r="K664" s="128">
        <f t="shared" si="826"/>
        <v>280000000</v>
      </c>
      <c r="L664" s="128"/>
      <c r="M664" s="128"/>
      <c r="N664" s="128"/>
      <c r="O664" s="128"/>
      <c r="P664" s="128"/>
      <c r="Q664" s="413"/>
      <c r="R664" s="128">
        <f t="shared" si="828"/>
        <v>0</v>
      </c>
      <c r="S664" s="128"/>
      <c r="T664" s="128"/>
      <c r="U664" s="128"/>
      <c r="V664" s="128"/>
      <c r="W664" s="128"/>
      <c r="X664" s="128"/>
      <c r="Y664" s="128"/>
      <c r="Z664" s="128"/>
      <c r="AA664" s="128">
        <f t="shared" si="830"/>
        <v>0</v>
      </c>
      <c r="AB664" s="128">
        <f t="shared" si="827"/>
        <v>0</v>
      </c>
      <c r="AC664" s="175">
        <f t="shared" si="834"/>
        <v>0</v>
      </c>
    </row>
    <row r="665" spans="1:29" ht="28.5" hidden="1" x14ac:dyDescent="0.2">
      <c r="B665" s="76" t="s">
        <v>1649</v>
      </c>
      <c r="C665" s="77" t="s">
        <v>1650</v>
      </c>
      <c r="D665" s="128"/>
      <c r="E665" s="188">
        <f>SUM('ADICIONES  2021'!C665:I665)</f>
        <v>220000000</v>
      </c>
      <c r="F665" s="128"/>
      <c r="G665" s="128"/>
      <c r="H665" s="128"/>
      <c r="I665" s="128"/>
      <c r="J665" s="128"/>
      <c r="K665" s="128">
        <f t="shared" si="826"/>
        <v>220000000</v>
      </c>
      <c r="L665" s="128"/>
      <c r="M665" s="128"/>
      <c r="N665" s="128"/>
      <c r="O665" s="128"/>
      <c r="P665" s="128"/>
      <c r="Q665" s="413"/>
      <c r="R665" s="128">
        <f t="shared" si="828"/>
        <v>0</v>
      </c>
      <c r="S665" s="128"/>
      <c r="T665" s="128"/>
      <c r="U665" s="128"/>
      <c r="V665" s="128"/>
      <c r="W665" s="128"/>
      <c r="X665" s="128"/>
      <c r="Y665" s="128"/>
      <c r="Z665" s="128"/>
      <c r="AA665" s="128">
        <f t="shared" si="830"/>
        <v>0</v>
      </c>
      <c r="AB665" s="128">
        <f t="shared" si="827"/>
        <v>0</v>
      </c>
      <c r="AC665" s="175">
        <f t="shared" si="834"/>
        <v>0</v>
      </c>
    </row>
    <row r="666" spans="1:29" ht="28.5" hidden="1" x14ac:dyDescent="0.2">
      <c r="B666" s="76" t="s">
        <v>1651</v>
      </c>
      <c r="C666" s="77" t="s">
        <v>1652</v>
      </c>
      <c r="D666" s="128"/>
      <c r="E666" s="188">
        <f>SUM('ADICIONES  2021'!C666:I666)</f>
        <v>500000000</v>
      </c>
      <c r="F666" s="128"/>
      <c r="G666" s="128"/>
      <c r="H666" s="128"/>
      <c r="I666" s="128"/>
      <c r="J666" s="128"/>
      <c r="K666" s="128">
        <f t="shared" si="826"/>
        <v>500000000</v>
      </c>
      <c r="L666" s="128"/>
      <c r="M666" s="128"/>
      <c r="N666" s="128"/>
      <c r="O666" s="128"/>
      <c r="P666" s="128"/>
      <c r="Q666" s="413"/>
      <c r="R666" s="128">
        <f t="shared" si="828"/>
        <v>0</v>
      </c>
      <c r="S666" s="128"/>
      <c r="T666" s="128"/>
      <c r="U666" s="128"/>
      <c r="V666" s="128"/>
      <c r="W666" s="128"/>
      <c r="X666" s="128"/>
      <c r="Y666" s="128"/>
      <c r="Z666" s="128"/>
      <c r="AA666" s="128">
        <f t="shared" si="830"/>
        <v>0</v>
      </c>
      <c r="AB666" s="128">
        <f t="shared" si="827"/>
        <v>0</v>
      </c>
      <c r="AC666" s="175">
        <f t="shared" si="834"/>
        <v>0</v>
      </c>
    </row>
    <row r="667" spans="1:29" s="214" customFormat="1" ht="19.5" hidden="1" x14ac:dyDescent="0.2">
      <c r="A667" s="211"/>
      <c r="B667" s="161" t="s">
        <v>1653</v>
      </c>
      <c r="C667" s="160" t="s">
        <v>1654</v>
      </c>
      <c r="D667" s="162">
        <f>+D668</f>
        <v>0</v>
      </c>
      <c r="E667" s="306">
        <f>SUM('ADICIONES  2021'!C667:I667)</f>
        <v>137470491076.75</v>
      </c>
      <c r="F667" s="162">
        <f t="shared" ref="F667:J670" si="848">+F668</f>
        <v>0</v>
      </c>
      <c r="G667" s="162">
        <f t="shared" si="848"/>
        <v>0</v>
      </c>
      <c r="H667" s="162">
        <f t="shared" si="848"/>
        <v>0</v>
      </c>
      <c r="I667" s="162">
        <f t="shared" si="848"/>
        <v>0</v>
      </c>
      <c r="J667" s="162">
        <f t="shared" si="848"/>
        <v>0</v>
      </c>
      <c r="K667" s="206">
        <f t="shared" si="826"/>
        <v>137470491076.75</v>
      </c>
      <c r="L667" s="162">
        <f t="shared" ref="L667:Q670" si="849">+L668</f>
        <v>0</v>
      </c>
      <c r="M667" s="162">
        <f t="shared" si="849"/>
        <v>0</v>
      </c>
      <c r="N667" s="162">
        <f t="shared" si="849"/>
        <v>0</v>
      </c>
      <c r="O667" s="162">
        <f t="shared" si="849"/>
        <v>0</v>
      </c>
      <c r="P667" s="162">
        <f t="shared" si="849"/>
        <v>0</v>
      </c>
      <c r="Q667" s="418">
        <f t="shared" si="849"/>
        <v>0</v>
      </c>
      <c r="R667" s="206">
        <f t="shared" si="828"/>
        <v>0</v>
      </c>
      <c r="S667" s="162">
        <f t="shared" ref="S667:Z670" si="850">+S668</f>
        <v>81854176518.970001</v>
      </c>
      <c r="T667" s="162">
        <f t="shared" si="850"/>
        <v>0</v>
      </c>
      <c r="U667" s="162">
        <f t="shared" si="850"/>
        <v>0</v>
      </c>
      <c r="V667" s="162">
        <f t="shared" si="850"/>
        <v>0</v>
      </c>
      <c r="W667" s="162">
        <f t="shared" si="850"/>
        <v>0</v>
      </c>
      <c r="X667" s="162">
        <f t="shared" si="850"/>
        <v>0</v>
      </c>
      <c r="Y667" s="162">
        <f t="shared" si="850"/>
        <v>0</v>
      </c>
      <c r="Z667" s="162">
        <f t="shared" si="850"/>
        <v>0</v>
      </c>
      <c r="AA667" s="206">
        <f t="shared" si="830"/>
        <v>81854176518.970001</v>
      </c>
      <c r="AB667" s="206">
        <f t="shared" si="827"/>
        <v>81854176518.970001</v>
      </c>
      <c r="AC667" s="207">
        <f t="shared" si="834"/>
        <v>0.59543088758787277</v>
      </c>
    </row>
    <row r="668" spans="1:29" ht="15.75" hidden="1" x14ac:dyDescent="0.2">
      <c r="B668" s="81" t="s">
        <v>1655</v>
      </c>
      <c r="C668" s="79" t="s">
        <v>1164</v>
      </c>
      <c r="D668" s="78">
        <f>+D669</f>
        <v>0</v>
      </c>
      <c r="E668" s="187">
        <f>SUM('ADICIONES  2021'!C668:I668)</f>
        <v>137470491076.75</v>
      </c>
      <c r="F668" s="78">
        <f t="shared" si="848"/>
        <v>0</v>
      </c>
      <c r="G668" s="78">
        <f t="shared" si="848"/>
        <v>0</v>
      </c>
      <c r="H668" s="78">
        <f t="shared" si="848"/>
        <v>0</v>
      </c>
      <c r="I668" s="78">
        <f t="shared" si="848"/>
        <v>0</v>
      </c>
      <c r="J668" s="78">
        <f t="shared" si="848"/>
        <v>0</v>
      </c>
      <c r="K668" s="128">
        <f t="shared" si="826"/>
        <v>137470491076.75</v>
      </c>
      <c r="L668" s="78">
        <f t="shared" si="849"/>
        <v>0</v>
      </c>
      <c r="M668" s="78">
        <f t="shared" si="849"/>
        <v>0</v>
      </c>
      <c r="N668" s="78">
        <f t="shared" si="849"/>
        <v>0</v>
      </c>
      <c r="O668" s="78">
        <f t="shared" si="849"/>
        <v>0</v>
      </c>
      <c r="P668" s="78">
        <f t="shared" si="849"/>
        <v>0</v>
      </c>
      <c r="Q668" s="408">
        <f t="shared" si="849"/>
        <v>0</v>
      </c>
      <c r="R668" s="128">
        <f t="shared" si="828"/>
        <v>0</v>
      </c>
      <c r="S668" s="78">
        <f t="shared" si="850"/>
        <v>81854176518.970001</v>
      </c>
      <c r="T668" s="78">
        <f t="shared" si="850"/>
        <v>0</v>
      </c>
      <c r="U668" s="78">
        <f t="shared" si="850"/>
        <v>0</v>
      </c>
      <c r="V668" s="78">
        <f t="shared" si="850"/>
        <v>0</v>
      </c>
      <c r="W668" s="78">
        <f t="shared" si="850"/>
        <v>0</v>
      </c>
      <c r="X668" s="78">
        <f t="shared" si="850"/>
        <v>0</v>
      </c>
      <c r="Y668" s="78">
        <f t="shared" si="850"/>
        <v>0</v>
      </c>
      <c r="Z668" s="78">
        <f t="shared" si="850"/>
        <v>0</v>
      </c>
      <c r="AA668" s="128">
        <f t="shared" si="830"/>
        <v>81854176518.970001</v>
      </c>
      <c r="AB668" s="128">
        <f t="shared" si="827"/>
        <v>81854176518.970001</v>
      </c>
      <c r="AC668" s="175">
        <f t="shared" si="834"/>
        <v>0.59543088758787277</v>
      </c>
    </row>
    <row r="669" spans="1:29" ht="16.5" thickBot="1" x14ac:dyDescent="0.25">
      <c r="A669" s="398">
        <v>1</v>
      </c>
      <c r="B669" s="81" t="s">
        <v>1656</v>
      </c>
      <c r="C669" s="79" t="s">
        <v>1657</v>
      </c>
      <c r="D669" s="78">
        <f>+D670</f>
        <v>0</v>
      </c>
      <c r="E669" s="187">
        <f>SUM('ADICIONES  2021'!C669:I669)</f>
        <v>137470491076.75</v>
      </c>
      <c r="F669" s="78">
        <f t="shared" si="848"/>
        <v>0</v>
      </c>
      <c r="G669" s="78">
        <f t="shared" si="848"/>
        <v>0</v>
      </c>
      <c r="H669" s="78">
        <f t="shared" si="848"/>
        <v>0</v>
      </c>
      <c r="I669" s="78">
        <f t="shared" si="848"/>
        <v>0</v>
      </c>
      <c r="J669" s="78">
        <f t="shared" si="848"/>
        <v>0</v>
      </c>
      <c r="K669" s="128">
        <f t="shared" si="826"/>
        <v>137470491076.75</v>
      </c>
      <c r="L669" s="78">
        <f t="shared" si="849"/>
        <v>0</v>
      </c>
      <c r="M669" s="78">
        <f t="shared" si="849"/>
        <v>0</v>
      </c>
      <c r="N669" s="78">
        <f t="shared" si="849"/>
        <v>0</v>
      </c>
      <c r="O669" s="78">
        <f t="shared" si="849"/>
        <v>0</v>
      </c>
      <c r="P669" s="78">
        <f t="shared" si="849"/>
        <v>0</v>
      </c>
      <c r="Q669" s="78">
        <f t="shared" si="849"/>
        <v>0</v>
      </c>
      <c r="R669" s="128">
        <f t="shared" si="828"/>
        <v>0</v>
      </c>
      <c r="S669" s="78">
        <f t="shared" si="850"/>
        <v>81854176518.970001</v>
      </c>
      <c r="T669" s="78">
        <f t="shared" si="850"/>
        <v>0</v>
      </c>
      <c r="U669" s="78">
        <f t="shared" si="850"/>
        <v>0</v>
      </c>
      <c r="V669" s="78">
        <f t="shared" si="850"/>
        <v>0</v>
      </c>
      <c r="W669" s="78">
        <f t="shared" si="850"/>
        <v>0</v>
      </c>
      <c r="X669" s="78">
        <f t="shared" si="850"/>
        <v>0</v>
      </c>
      <c r="Y669" s="78">
        <f t="shared" si="850"/>
        <v>0</v>
      </c>
      <c r="Z669" s="78">
        <f t="shared" si="850"/>
        <v>0</v>
      </c>
      <c r="AA669" s="128">
        <f t="shared" si="830"/>
        <v>81854176518.970001</v>
      </c>
      <c r="AB669" s="78">
        <f t="shared" si="827"/>
        <v>81854176518.970001</v>
      </c>
      <c r="AC669" s="175">
        <f t="shared" si="834"/>
        <v>0.59543088758787277</v>
      </c>
    </row>
    <row r="670" spans="1:29" ht="16.5" hidden="1" thickBot="1" x14ac:dyDescent="0.25">
      <c r="B670" s="81" t="s">
        <v>1658</v>
      </c>
      <c r="C670" s="79" t="s">
        <v>1659</v>
      </c>
      <c r="D670" s="78">
        <f>+D671</f>
        <v>0</v>
      </c>
      <c r="E670" s="187">
        <f>SUM('ADICIONES  2021'!C670:I670)</f>
        <v>137470491076.75</v>
      </c>
      <c r="F670" s="78">
        <f t="shared" si="848"/>
        <v>0</v>
      </c>
      <c r="G670" s="78">
        <f t="shared" si="848"/>
        <v>0</v>
      </c>
      <c r="H670" s="78">
        <f t="shared" si="848"/>
        <v>0</v>
      </c>
      <c r="I670" s="78">
        <f t="shared" si="848"/>
        <v>0</v>
      </c>
      <c r="J670" s="78">
        <f t="shared" si="848"/>
        <v>0</v>
      </c>
      <c r="K670" s="128">
        <f t="shared" si="826"/>
        <v>137470491076.75</v>
      </c>
      <c r="L670" s="78">
        <f t="shared" si="849"/>
        <v>0</v>
      </c>
      <c r="M670" s="78">
        <f t="shared" si="849"/>
        <v>0</v>
      </c>
      <c r="N670" s="78">
        <f t="shared" si="849"/>
        <v>0</v>
      </c>
      <c r="O670" s="78">
        <f t="shared" si="849"/>
        <v>0</v>
      </c>
      <c r="P670" s="78">
        <f t="shared" si="849"/>
        <v>0</v>
      </c>
      <c r="Q670" s="408">
        <f t="shared" si="849"/>
        <v>0</v>
      </c>
      <c r="R670" s="128">
        <f t="shared" si="828"/>
        <v>0</v>
      </c>
      <c r="S670" s="78">
        <f t="shared" si="850"/>
        <v>81854176518.970001</v>
      </c>
      <c r="T670" s="78">
        <f t="shared" si="850"/>
        <v>0</v>
      </c>
      <c r="U670" s="78">
        <f t="shared" si="850"/>
        <v>0</v>
      </c>
      <c r="V670" s="78">
        <f t="shared" si="850"/>
        <v>0</v>
      </c>
      <c r="W670" s="78">
        <f t="shared" si="850"/>
        <v>0</v>
      </c>
      <c r="X670" s="78">
        <f t="shared" si="850"/>
        <v>0</v>
      </c>
      <c r="Y670" s="78">
        <f t="shared" si="850"/>
        <v>0</v>
      </c>
      <c r="Z670" s="78">
        <f t="shared" si="850"/>
        <v>0</v>
      </c>
      <c r="AA670" s="128">
        <f t="shared" si="830"/>
        <v>81854176518.970001</v>
      </c>
      <c r="AB670" s="128">
        <f t="shared" si="827"/>
        <v>81854176518.970001</v>
      </c>
      <c r="AC670" s="175">
        <f t="shared" si="834"/>
        <v>0.59543088758787277</v>
      </c>
    </row>
    <row r="671" spans="1:29" ht="32.25" hidden="1" thickBot="1" x14ac:dyDescent="0.25">
      <c r="B671" s="81" t="s">
        <v>1660</v>
      </c>
      <c r="C671" s="79" t="s">
        <v>1661</v>
      </c>
      <c r="D671" s="78">
        <f>+D672+D677+D679+D681+D683+D685+D687+D689+D691+D693+D701+D706+D717+D719</f>
        <v>0</v>
      </c>
      <c r="E671" s="187">
        <f>SUM('ADICIONES  2021'!C671:I671)</f>
        <v>137470491076.75</v>
      </c>
      <c r="F671" s="78">
        <f>+F672+F677+F679+F681+F683+F685+F687+F689+F691+F693+F701+F706+F717+F719</f>
        <v>0</v>
      </c>
      <c r="G671" s="78">
        <f>+G672+G677+G679+G681+G683+G685+G687+G689+G691+G693+G701+G706+G717+G719</f>
        <v>0</v>
      </c>
      <c r="H671" s="78">
        <f>+H672+H677+H679+H681+H683+H685+H687+H689+H691+H693+H701+H706+H717+H719</f>
        <v>0</v>
      </c>
      <c r="I671" s="78">
        <f>+I672+I677+I679+I681+I683+I685+I687+I689+I691+I693+I701+I706+I717+I719</f>
        <v>0</v>
      </c>
      <c r="J671" s="78">
        <f>+J672+J677+J679+J681+J683+J685+J687+J689+J691+J693+J701+J706+J717+J719</f>
        <v>0</v>
      </c>
      <c r="K671" s="128">
        <f t="shared" si="826"/>
        <v>137470491076.75</v>
      </c>
      <c r="L671" s="78">
        <f t="shared" ref="L671:Q671" si="851">+L672+L677+L679+L681+L683+L685+L687+L689+L691+L693+L701+L706+L717+L719</f>
        <v>0</v>
      </c>
      <c r="M671" s="78">
        <f t="shared" si="851"/>
        <v>0</v>
      </c>
      <c r="N671" s="78">
        <f t="shared" si="851"/>
        <v>0</v>
      </c>
      <c r="O671" s="78">
        <f t="shared" si="851"/>
        <v>0</v>
      </c>
      <c r="P671" s="78">
        <f t="shared" si="851"/>
        <v>0</v>
      </c>
      <c r="Q671" s="408">
        <f t="shared" si="851"/>
        <v>0</v>
      </c>
      <c r="R671" s="128">
        <f t="shared" si="828"/>
        <v>0</v>
      </c>
      <c r="S671" s="78">
        <f>+S672+S677+S679+S681+S683+S685+S687+S689+S691+S693+S701+S706+S717+S719</f>
        <v>81854176518.970001</v>
      </c>
      <c r="T671" s="78">
        <f t="shared" ref="T671:Z671" si="852">+T672+T677+T679+T681+T683+T685+T687+T689+T691+T693+T701+T706+T717+T719</f>
        <v>0</v>
      </c>
      <c r="U671" s="78">
        <f t="shared" si="852"/>
        <v>0</v>
      </c>
      <c r="V671" s="78">
        <f t="shared" si="852"/>
        <v>0</v>
      </c>
      <c r="W671" s="78">
        <f t="shared" si="852"/>
        <v>0</v>
      </c>
      <c r="X671" s="78">
        <f t="shared" si="852"/>
        <v>0</v>
      </c>
      <c r="Y671" s="78">
        <f t="shared" si="852"/>
        <v>0</v>
      </c>
      <c r="Z671" s="78">
        <f t="shared" si="852"/>
        <v>0</v>
      </c>
      <c r="AA671" s="128">
        <f t="shared" si="830"/>
        <v>81854176518.970001</v>
      </c>
      <c r="AB671" s="128">
        <f t="shared" si="827"/>
        <v>81854176518.970001</v>
      </c>
      <c r="AC671" s="175">
        <f t="shared" si="834"/>
        <v>0.59543088758787277</v>
      </c>
    </row>
    <row r="672" spans="1:29" ht="16.5" hidden="1" thickBot="1" x14ac:dyDescent="0.25">
      <c r="B672" s="81" t="s">
        <v>1662</v>
      </c>
      <c r="C672" s="79" t="s">
        <v>1663</v>
      </c>
      <c r="D672" s="78">
        <f>+D673</f>
        <v>0</v>
      </c>
      <c r="E672" s="187">
        <f>SUM('ADICIONES  2021'!C672:I672)</f>
        <v>9474523795.8700008</v>
      </c>
      <c r="F672" s="78">
        <f>+F673</f>
        <v>0</v>
      </c>
      <c r="G672" s="78">
        <f>+G673</f>
        <v>0</v>
      </c>
      <c r="H672" s="78">
        <f>+H673</f>
        <v>0</v>
      </c>
      <c r="I672" s="78">
        <f>+I673</f>
        <v>0</v>
      </c>
      <c r="J672" s="78">
        <f>+J673</f>
        <v>0</v>
      </c>
      <c r="K672" s="128">
        <f t="shared" si="826"/>
        <v>9474523795.8700008</v>
      </c>
      <c r="L672" s="78">
        <f t="shared" ref="L672:Q672" si="853">+L673</f>
        <v>0</v>
      </c>
      <c r="M672" s="78">
        <f t="shared" si="853"/>
        <v>0</v>
      </c>
      <c r="N672" s="78">
        <f t="shared" si="853"/>
        <v>0</v>
      </c>
      <c r="O672" s="78">
        <f t="shared" si="853"/>
        <v>0</v>
      </c>
      <c r="P672" s="78">
        <f t="shared" si="853"/>
        <v>0</v>
      </c>
      <c r="Q672" s="408">
        <f t="shared" si="853"/>
        <v>0</v>
      </c>
      <c r="R672" s="128">
        <f t="shared" si="828"/>
        <v>0</v>
      </c>
      <c r="S672" s="78">
        <f>+S673</f>
        <v>9474523795.8700008</v>
      </c>
      <c r="T672" s="78">
        <f t="shared" ref="T672:Z672" si="854">+T673</f>
        <v>0</v>
      </c>
      <c r="U672" s="78">
        <f t="shared" si="854"/>
        <v>0</v>
      </c>
      <c r="V672" s="78">
        <f t="shared" si="854"/>
        <v>0</v>
      </c>
      <c r="W672" s="78">
        <f t="shared" si="854"/>
        <v>0</v>
      </c>
      <c r="X672" s="78">
        <f t="shared" si="854"/>
        <v>0</v>
      </c>
      <c r="Y672" s="78">
        <f t="shared" si="854"/>
        <v>0</v>
      </c>
      <c r="Z672" s="78">
        <f t="shared" si="854"/>
        <v>0</v>
      </c>
      <c r="AA672" s="128">
        <f t="shared" si="830"/>
        <v>9474523795.8700008</v>
      </c>
      <c r="AB672" s="128">
        <f t="shared" si="827"/>
        <v>9474523795.8700008</v>
      </c>
      <c r="AC672" s="175">
        <f t="shared" si="834"/>
        <v>1</v>
      </c>
    </row>
    <row r="673" spans="2:29" ht="48" hidden="1" thickBot="1" x14ac:dyDescent="0.25">
      <c r="B673" s="81" t="s">
        <v>1664</v>
      </c>
      <c r="C673" s="79" t="s">
        <v>1665</v>
      </c>
      <c r="D673" s="78">
        <f>SUM(D674:D676)</f>
        <v>0</v>
      </c>
      <c r="E673" s="187">
        <f>SUM('ADICIONES  2021'!C673:I673)</f>
        <v>9474523795.8700008</v>
      </c>
      <c r="F673" s="78">
        <f>SUM(F674:F676)</f>
        <v>0</v>
      </c>
      <c r="G673" s="78">
        <f>SUM(G674:G676)</f>
        <v>0</v>
      </c>
      <c r="H673" s="78">
        <f>SUM(H674:H676)</f>
        <v>0</v>
      </c>
      <c r="I673" s="78">
        <f>SUM(I674:I676)</f>
        <v>0</v>
      </c>
      <c r="J673" s="78">
        <f>SUM(J674:J676)</f>
        <v>0</v>
      </c>
      <c r="K673" s="128">
        <f t="shared" si="826"/>
        <v>9474523795.8700008</v>
      </c>
      <c r="L673" s="78">
        <f t="shared" ref="L673:Q673" si="855">SUM(L674:L676)</f>
        <v>0</v>
      </c>
      <c r="M673" s="78">
        <f t="shared" si="855"/>
        <v>0</v>
      </c>
      <c r="N673" s="78">
        <f t="shared" si="855"/>
        <v>0</v>
      </c>
      <c r="O673" s="78">
        <f t="shared" si="855"/>
        <v>0</v>
      </c>
      <c r="P673" s="78">
        <f t="shared" si="855"/>
        <v>0</v>
      </c>
      <c r="Q673" s="408">
        <f t="shared" si="855"/>
        <v>0</v>
      </c>
      <c r="R673" s="128">
        <f t="shared" si="828"/>
        <v>0</v>
      </c>
      <c r="S673" s="78">
        <f>SUM(S674:S676)</f>
        <v>9474523795.8700008</v>
      </c>
      <c r="T673" s="78">
        <f t="shared" ref="T673:Z673" si="856">SUM(T674:T676)</f>
        <v>0</v>
      </c>
      <c r="U673" s="78">
        <f t="shared" si="856"/>
        <v>0</v>
      </c>
      <c r="V673" s="78">
        <f t="shared" si="856"/>
        <v>0</v>
      </c>
      <c r="W673" s="78">
        <f t="shared" si="856"/>
        <v>0</v>
      </c>
      <c r="X673" s="78">
        <f t="shared" si="856"/>
        <v>0</v>
      </c>
      <c r="Y673" s="78">
        <f t="shared" si="856"/>
        <v>0</v>
      </c>
      <c r="Z673" s="78">
        <f t="shared" si="856"/>
        <v>0</v>
      </c>
      <c r="AA673" s="128">
        <f t="shared" si="830"/>
        <v>9474523795.8700008</v>
      </c>
      <c r="AB673" s="128">
        <f t="shared" si="827"/>
        <v>9474523795.8700008</v>
      </c>
      <c r="AC673" s="175">
        <f t="shared" si="834"/>
        <v>1</v>
      </c>
    </row>
    <row r="674" spans="2:29" hidden="1" thickBot="1" x14ac:dyDescent="0.25">
      <c r="B674" s="76" t="s">
        <v>1666</v>
      </c>
      <c r="C674" s="77" t="s">
        <v>1667</v>
      </c>
      <c r="D674" s="128"/>
      <c r="E674" s="188">
        <f>SUM('ADICIONES  2021'!C674:I674)</f>
        <v>9462323795.8700008</v>
      </c>
      <c r="F674" s="128"/>
      <c r="G674" s="128"/>
      <c r="H674" s="128"/>
      <c r="I674" s="128"/>
      <c r="J674" s="128"/>
      <c r="K674" s="128">
        <f t="shared" si="826"/>
        <v>9462323795.8700008</v>
      </c>
      <c r="L674" s="128"/>
      <c r="M674" s="128"/>
      <c r="N674" s="128"/>
      <c r="O674" s="128"/>
      <c r="P674" s="128"/>
      <c r="Q674" s="413"/>
      <c r="R674" s="128">
        <f t="shared" si="828"/>
        <v>0</v>
      </c>
      <c r="S674" s="128">
        <v>9462323795.8700008</v>
      </c>
      <c r="T674" s="128"/>
      <c r="U674" s="128"/>
      <c r="V674" s="128"/>
      <c r="W674" s="128"/>
      <c r="X674" s="128"/>
      <c r="Y674" s="128"/>
      <c r="Z674" s="128"/>
      <c r="AA674" s="128">
        <f t="shared" si="830"/>
        <v>9462323795.8700008</v>
      </c>
      <c r="AB674" s="128">
        <f t="shared" si="827"/>
        <v>9462323795.8700008</v>
      </c>
      <c r="AC674" s="175">
        <f t="shared" si="834"/>
        <v>1</v>
      </c>
    </row>
    <row r="675" spans="2:29" hidden="1" thickBot="1" x14ac:dyDescent="0.25">
      <c r="B675" s="76" t="s">
        <v>1668</v>
      </c>
      <c r="C675" s="77" t="s">
        <v>1669</v>
      </c>
      <c r="D675" s="128"/>
      <c r="E675" s="188">
        <f>SUM('ADICIONES  2021'!C675:I675)</f>
        <v>9500000</v>
      </c>
      <c r="F675" s="128"/>
      <c r="G675" s="128"/>
      <c r="H675" s="128"/>
      <c r="I675" s="128"/>
      <c r="J675" s="128"/>
      <c r="K675" s="128">
        <f t="shared" si="826"/>
        <v>9500000</v>
      </c>
      <c r="L675" s="128"/>
      <c r="M675" s="128"/>
      <c r="N675" s="128"/>
      <c r="O675" s="128"/>
      <c r="P675" s="128"/>
      <c r="Q675" s="413"/>
      <c r="R675" s="128">
        <f t="shared" si="828"/>
        <v>0</v>
      </c>
      <c r="S675" s="128">
        <v>9500000</v>
      </c>
      <c r="T675" s="128"/>
      <c r="U675" s="128"/>
      <c r="V675" s="128"/>
      <c r="W675" s="128"/>
      <c r="X675" s="128"/>
      <c r="Y675" s="128"/>
      <c r="Z675" s="128"/>
      <c r="AA675" s="128">
        <f t="shared" si="830"/>
        <v>9500000</v>
      </c>
      <c r="AB675" s="128">
        <f t="shared" si="827"/>
        <v>9500000</v>
      </c>
      <c r="AC675" s="175">
        <f t="shared" si="834"/>
        <v>1</v>
      </c>
    </row>
    <row r="676" spans="2:29" hidden="1" thickBot="1" x14ac:dyDescent="0.25">
      <c r="B676" s="76" t="s">
        <v>1670</v>
      </c>
      <c r="C676" s="77" t="s">
        <v>1671</v>
      </c>
      <c r="D676" s="128"/>
      <c r="E676" s="188">
        <f>SUM('ADICIONES  2021'!C676:I676)</f>
        <v>2700000</v>
      </c>
      <c r="F676" s="128"/>
      <c r="G676" s="128"/>
      <c r="H676" s="128"/>
      <c r="I676" s="128"/>
      <c r="J676" s="128"/>
      <c r="K676" s="128">
        <f t="shared" si="826"/>
        <v>2700000</v>
      </c>
      <c r="L676" s="128"/>
      <c r="M676" s="128"/>
      <c r="N676" s="128"/>
      <c r="O676" s="128"/>
      <c r="P676" s="128"/>
      <c r="Q676" s="413"/>
      <c r="R676" s="128">
        <f t="shared" si="828"/>
        <v>0</v>
      </c>
      <c r="S676" s="128">
        <v>2700000</v>
      </c>
      <c r="T676" s="128"/>
      <c r="U676" s="128"/>
      <c r="V676" s="128"/>
      <c r="W676" s="128"/>
      <c r="X676" s="128"/>
      <c r="Y676" s="128"/>
      <c r="Z676" s="128"/>
      <c r="AA676" s="128">
        <f t="shared" si="830"/>
        <v>2700000</v>
      </c>
      <c r="AB676" s="128">
        <f t="shared" si="827"/>
        <v>2700000</v>
      </c>
      <c r="AC676" s="175">
        <f t="shared" si="834"/>
        <v>1</v>
      </c>
    </row>
    <row r="677" spans="2:29" ht="32.25" hidden="1" thickBot="1" x14ac:dyDescent="0.25">
      <c r="B677" s="81" t="s">
        <v>1672</v>
      </c>
      <c r="C677" s="79" t="s">
        <v>1673</v>
      </c>
      <c r="D677" s="78">
        <f>+D678</f>
        <v>0</v>
      </c>
      <c r="E677" s="187">
        <f>SUM('ADICIONES  2021'!C677:I677)</f>
        <v>36050864285.730003</v>
      </c>
      <c r="F677" s="78">
        <f>+F678</f>
        <v>0</v>
      </c>
      <c r="G677" s="78">
        <f>+G678</f>
        <v>0</v>
      </c>
      <c r="H677" s="78">
        <f>+H678</f>
        <v>0</v>
      </c>
      <c r="I677" s="78">
        <f>+I678</f>
        <v>0</v>
      </c>
      <c r="J677" s="78">
        <f>+J678</f>
        <v>0</v>
      </c>
      <c r="K677" s="128">
        <f t="shared" si="826"/>
        <v>36050864285.730003</v>
      </c>
      <c r="L677" s="78">
        <f t="shared" ref="L677:Q677" si="857">+L678</f>
        <v>0</v>
      </c>
      <c r="M677" s="78">
        <f t="shared" si="857"/>
        <v>0</v>
      </c>
      <c r="N677" s="78">
        <f t="shared" si="857"/>
        <v>0</v>
      </c>
      <c r="O677" s="78">
        <f t="shared" si="857"/>
        <v>0</v>
      </c>
      <c r="P677" s="78">
        <f t="shared" si="857"/>
        <v>0</v>
      </c>
      <c r="Q677" s="408">
        <f t="shared" si="857"/>
        <v>0</v>
      </c>
      <c r="R677" s="128">
        <f t="shared" si="828"/>
        <v>0</v>
      </c>
      <c r="S677" s="78">
        <f t="shared" ref="S677:Z677" si="858">+S678</f>
        <v>0</v>
      </c>
      <c r="T677" s="78">
        <f t="shared" si="858"/>
        <v>0</v>
      </c>
      <c r="U677" s="78">
        <f t="shared" si="858"/>
        <v>0</v>
      </c>
      <c r="V677" s="78">
        <f t="shared" si="858"/>
        <v>0</v>
      </c>
      <c r="W677" s="78">
        <f t="shared" si="858"/>
        <v>0</v>
      </c>
      <c r="X677" s="78">
        <f t="shared" si="858"/>
        <v>0</v>
      </c>
      <c r="Y677" s="78">
        <f t="shared" si="858"/>
        <v>0</v>
      </c>
      <c r="Z677" s="78">
        <f t="shared" si="858"/>
        <v>0</v>
      </c>
      <c r="AA677" s="128">
        <f t="shared" si="830"/>
        <v>0</v>
      </c>
      <c r="AB677" s="128">
        <f t="shared" si="827"/>
        <v>0</v>
      </c>
      <c r="AC677" s="175">
        <f t="shared" si="834"/>
        <v>0</v>
      </c>
    </row>
    <row r="678" spans="2:29" ht="29.25" hidden="1" thickBot="1" x14ac:dyDescent="0.25">
      <c r="B678" s="76" t="s">
        <v>1674</v>
      </c>
      <c r="C678" s="77" t="s">
        <v>1675</v>
      </c>
      <c r="D678" s="128"/>
      <c r="E678" s="188">
        <f>SUM('ADICIONES  2021'!C678:I678)</f>
        <v>36050864285.730003</v>
      </c>
      <c r="F678" s="128"/>
      <c r="G678" s="128"/>
      <c r="H678" s="128"/>
      <c r="I678" s="128"/>
      <c r="J678" s="128"/>
      <c r="K678" s="128">
        <f t="shared" si="826"/>
        <v>36050864285.730003</v>
      </c>
      <c r="L678" s="128"/>
      <c r="M678" s="128"/>
      <c r="N678" s="128"/>
      <c r="O678" s="128"/>
      <c r="P678" s="128"/>
      <c r="Q678" s="413"/>
      <c r="R678" s="128">
        <f t="shared" si="828"/>
        <v>0</v>
      </c>
      <c r="S678" s="128"/>
      <c r="T678" s="128"/>
      <c r="U678" s="128"/>
      <c r="V678" s="128"/>
      <c r="W678" s="128"/>
      <c r="X678" s="128"/>
      <c r="Y678" s="128"/>
      <c r="Z678" s="128"/>
      <c r="AA678" s="128">
        <f t="shared" si="830"/>
        <v>0</v>
      </c>
      <c r="AB678" s="128">
        <f t="shared" si="827"/>
        <v>0</v>
      </c>
      <c r="AC678" s="175">
        <f t="shared" si="834"/>
        <v>0</v>
      </c>
    </row>
    <row r="679" spans="2:29" ht="16.5" hidden="1" thickBot="1" x14ac:dyDescent="0.25">
      <c r="B679" s="81" t="s">
        <v>1676</v>
      </c>
      <c r="C679" s="79" t="s">
        <v>1677</v>
      </c>
      <c r="D679" s="78">
        <f>+D680</f>
        <v>0</v>
      </c>
      <c r="E679" s="187">
        <f>SUM('ADICIONES  2021'!C679:I679)</f>
        <v>10500000</v>
      </c>
      <c r="F679" s="78">
        <f>+F680</f>
        <v>0</v>
      </c>
      <c r="G679" s="78">
        <f>+G680</f>
        <v>0</v>
      </c>
      <c r="H679" s="78">
        <f>+H680</f>
        <v>0</v>
      </c>
      <c r="I679" s="78">
        <f>+I680</f>
        <v>0</v>
      </c>
      <c r="J679" s="78">
        <f>+J680</f>
        <v>0</v>
      </c>
      <c r="K679" s="128">
        <f t="shared" si="826"/>
        <v>10500000</v>
      </c>
      <c r="L679" s="78">
        <f t="shared" ref="L679:Q679" si="859">+L680</f>
        <v>0</v>
      </c>
      <c r="M679" s="78">
        <f t="shared" si="859"/>
        <v>0</v>
      </c>
      <c r="N679" s="78">
        <f t="shared" si="859"/>
        <v>0</v>
      </c>
      <c r="O679" s="78">
        <f t="shared" si="859"/>
        <v>0</v>
      </c>
      <c r="P679" s="78">
        <f t="shared" si="859"/>
        <v>0</v>
      </c>
      <c r="Q679" s="408">
        <f t="shared" si="859"/>
        <v>0</v>
      </c>
      <c r="R679" s="128">
        <f t="shared" si="828"/>
        <v>0</v>
      </c>
      <c r="S679" s="78">
        <f t="shared" ref="S679:Z679" si="860">+S680</f>
        <v>10500000</v>
      </c>
      <c r="T679" s="78">
        <f t="shared" si="860"/>
        <v>0</v>
      </c>
      <c r="U679" s="78">
        <f t="shared" si="860"/>
        <v>0</v>
      </c>
      <c r="V679" s="78">
        <f t="shared" si="860"/>
        <v>0</v>
      </c>
      <c r="W679" s="78">
        <f t="shared" si="860"/>
        <v>0</v>
      </c>
      <c r="X679" s="78">
        <f t="shared" si="860"/>
        <v>0</v>
      </c>
      <c r="Y679" s="78">
        <f t="shared" si="860"/>
        <v>0</v>
      </c>
      <c r="Z679" s="78">
        <f t="shared" si="860"/>
        <v>0</v>
      </c>
      <c r="AA679" s="128">
        <f t="shared" si="830"/>
        <v>10500000</v>
      </c>
      <c r="AB679" s="128">
        <f t="shared" si="827"/>
        <v>10500000</v>
      </c>
      <c r="AC679" s="175">
        <f t="shared" si="834"/>
        <v>1</v>
      </c>
    </row>
    <row r="680" spans="2:29" hidden="1" thickBot="1" x14ac:dyDescent="0.25">
      <c r="B680" s="76" t="s">
        <v>1678</v>
      </c>
      <c r="C680" s="77" t="s">
        <v>1679</v>
      </c>
      <c r="D680" s="128"/>
      <c r="E680" s="188">
        <f>SUM('ADICIONES  2021'!C680:I680)</f>
        <v>10500000</v>
      </c>
      <c r="F680" s="128"/>
      <c r="G680" s="128"/>
      <c r="H680" s="128"/>
      <c r="I680" s="128"/>
      <c r="J680" s="128"/>
      <c r="K680" s="128">
        <f t="shared" si="826"/>
        <v>10500000</v>
      </c>
      <c r="L680" s="128"/>
      <c r="M680" s="128"/>
      <c r="N680" s="128"/>
      <c r="O680" s="128"/>
      <c r="P680" s="128"/>
      <c r="Q680" s="413"/>
      <c r="R680" s="128">
        <f t="shared" si="828"/>
        <v>0</v>
      </c>
      <c r="S680" s="128">
        <v>10500000</v>
      </c>
      <c r="T680" s="128"/>
      <c r="U680" s="128"/>
      <c r="V680" s="128"/>
      <c r="W680" s="128"/>
      <c r="X680" s="128"/>
      <c r="Y680" s="128"/>
      <c r="Z680" s="128"/>
      <c r="AA680" s="128">
        <f t="shared" si="830"/>
        <v>10500000</v>
      </c>
      <c r="AB680" s="128">
        <f t="shared" si="827"/>
        <v>10500000</v>
      </c>
      <c r="AC680" s="175">
        <f t="shared" si="834"/>
        <v>1</v>
      </c>
    </row>
    <row r="681" spans="2:29" ht="32.25" hidden="1" thickBot="1" x14ac:dyDescent="0.25">
      <c r="B681" s="81" t="s">
        <v>1680</v>
      </c>
      <c r="C681" s="79" t="s">
        <v>1681</v>
      </c>
      <c r="D681" s="78">
        <f>+D682</f>
        <v>0</v>
      </c>
      <c r="E681" s="187">
        <f>SUM('ADICIONES  2021'!C681:I681)</f>
        <v>7462000</v>
      </c>
      <c r="F681" s="78">
        <f>+F682</f>
        <v>0</v>
      </c>
      <c r="G681" s="78">
        <f>+G682</f>
        <v>0</v>
      </c>
      <c r="H681" s="78">
        <f>+H682</f>
        <v>0</v>
      </c>
      <c r="I681" s="78">
        <f>+I682</f>
        <v>0</v>
      </c>
      <c r="J681" s="78">
        <f>+J682</f>
        <v>0</v>
      </c>
      <c r="K681" s="128">
        <f t="shared" si="826"/>
        <v>7462000</v>
      </c>
      <c r="L681" s="78">
        <f t="shared" ref="L681:Q681" si="861">+L682</f>
        <v>0</v>
      </c>
      <c r="M681" s="78">
        <f t="shared" si="861"/>
        <v>0</v>
      </c>
      <c r="N681" s="78">
        <f t="shared" si="861"/>
        <v>0</v>
      </c>
      <c r="O681" s="78">
        <f t="shared" si="861"/>
        <v>0</v>
      </c>
      <c r="P681" s="78">
        <f t="shared" si="861"/>
        <v>0</v>
      </c>
      <c r="Q681" s="408">
        <f t="shared" si="861"/>
        <v>0</v>
      </c>
      <c r="R681" s="128">
        <f t="shared" si="828"/>
        <v>0</v>
      </c>
      <c r="S681" s="78">
        <f t="shared" ref="S681:Z681" si="862">+S682</f>
        <v>7462000</v>
      </c>
      <c r="T681" s="78">
        <f t="shared" si="862"/>
        <v>0</v>
      </c>
      <c r="U681" s="78">
        <f t="shared" si="862"/>
        <v>0</v>
      </c>
      <c r="V681" s="78">
        <f t="shared" si="862"/>
        <v>0</v>
      </c>
      <c r="W681" s="78">
        <f t="shared" si="862"/>
        <v>0</v>
      </c>
      <c r="X681" s="78">
        <f t="shared" si="862"/>
        <v>0</v>
      </c>
      <c r="Y681" s="78">
        <f t="shared" si="862"/>
        <v>0</v>
      </c>
      <c r="Z681" s="78">
        <f t="shared" si="862"/>
        <v>0</v>
      </c>
      <c r="AA681" s="128">
        <f t="shared" si="830"/>
        <v>7462000</v>
      </c>
      <c r="AB681" s="128">
        <f t="shared" si="827"/>
        <v>7462000</v>
      </c>
      <c r="AC681" s="175">
        <f t="shared" si="834"/>
        <v>1</v>
      </c>
    </row>
    <row r="682" spans="2:29" hidden="1" thickBot="1" x14ac:dyDescent="0.25">
      <c r="B682" s="76" t="s">
        <v>1682</v>
      </c>
      <c r="C682" s="77" t="s">
        <v>1683</v>
      </c>
      <c r="D682" s="128"/>
      <c r="E682" s="188">
        <f>SUM('ADICIONES  2021'!C682:I682)</f>
        <v>7462000</v>
      </c>
      <c r="F682" s="128"/>
      <c r="G682" s="128"/>
      <c r="H682" s="128"/>
      <c r="I682" s="128"/>
      <c r="J682" s="128"/>
      <c r="K682" s="128">
        <f t="shared" si="826"/>
        <v>7462000</v>
      </c>
      <c r="L682" s="128"/>
      <c r="M682" s="128"/>
      <c r="N682" s="128"/>
      <c r="O682" s="128"/>
      <c r="P682" s="128"/>
      <c r="Q682" s="413"/>
      <c r="R682" s="128">
        <f t="shared" si="828"/>
        <v>0</v>
      </c>
      <c r="S682" s="128">
        <v>7462000</v>
      </c>
      <c r="T682" s="128"/>
      <c r="U682" s="128"/>
      <c r="V682" s="128"/>
      <c r="W682" s="128"/>
      <c r="X682" s="128"/>
      <c r="Y682" s="128"/>
      <c r="Z682" s="128"/>
      <c r="AA682" s="128">
        <f t="shared" si="830"/>
        <v>7462000</v>
      </c>
      <c r="AB682" s="128">
        <f t="shared" si="827"/>
        <v>7462000</v>
      </c>
      <c r="AC682" s="175">
        <f t="shared" si="834"/>
        <v>1</v>
      </c>
    </row>
    <row r="683" spans="2:29" ht="48" hidden="1" thickBot="1" x14ac:dyDescent="0.25">
      <c r="B683" s="81" t="s">
        <v>1684</v>
      </c>
      <c r="C683" s="79" t="s">
        <v>1685</v>
      </c>
      <c r="D683" s="78">
        <f>+D684</f>
        <v>0</v>
      </c>
      <c r="E683" s="187">
        <f>SUM('ADICIONES  2021'!C683:I683)</f>
        <v>27103488.100000001</v>
      </c>
      <c r="F683" s="78">
        <f>+F684</f>
        <v>0</v>
      </c>
      <c r="G683" s="78">
        <f>+G684</f>
        <v>0</v>
      </c>
      <c r="H683" s="78">
        <f>+H684</f>
        <v>0</v>
      </c>
      <c r="I683" s="78">
        <f>+I684</f>
        <v>0</v>
      </c>
      <c r="J683" s="78">
        <f>+J684</f>
        <v>0</v>
      </c>
      <c r="K683" s="128">
        <f t="shared" si="826"/>
        <v>27103488.100000001</v>
      </c>
      <c r="L683" s="78">
        <f t="shared" ref="L683:Q683" si="863">+L684</f>
        <v>0</v>
      </c>
      <c r="M683" s="78">
        <f t="shared" si="863"/>
        <v>0</v>
      </c>
      <c r="N683" s="78">
        <f t="shared" si="863"/>
        <v>0</v>
      </c>
      <c r="O683" s="78">
        <f t="shared" si="863"/>
        <v>0</v>
      </c>
      <c r="P683" s="78">
        <f t="shared" si="863"/>
        <v>0</v>
      </c>
      <c r="Q683" s="408">
        <f t="shared" si="863"/>
        <v>0</v>
      </c>
      <c r="R683" s="128">
        <f t="shared" si="828"/>
        <v>0</v>
      </c>
      <c r="S683" s="78">
        <f t="shared" ref="S683:Z683" si="864">+S684</f>
        <v>27103488.100000001</v>
      </c>
      <c r="T683" s="78">
        <f t="shared" si="864"/>
        <v>0</v>
      </c>
      <c r="U683" s="78">
        <f t="shared" si="864"/>
        <v>0</v>
      </c>
      <c r="V683" s="78">
        <f t="shared" si="864"/>
        <v>0</v>
      </c>
      <c r="W683" s="78">
        <f t="shared" si="864"/>
        <v>0</v>
      </c>
      <c r="X683" s="78">
        <f t="shared" si="864"/>
        <v>0</v>
      </c>
      <c r="Y683" s="78">
        <f t="shared" si="864"/>
        <v>0</v>
      </c>
      <c r="Z683" s="78">
        <f t="shared" si="864"/>
        <v>0</v>
      </c>
      <c r="AA683" s="128">
        <f t="shared" si="830"/>
        <v>27103488.100000001</v>
      </c>
      <c r="AB683" s="128">
        <f t="shared" si="827"/>
        <v>27103488.100000001</v>
      </c>
      <c r="AC683" s="175">
        <f t="shared" si="834"/>
        <v>1</v>
      </c>
    </row>
    <row r="684" spans="2:29" ht="43.5" hidden="1" thickBot="1" x14ac:dyDescent="0.25">
      <c r="B684" s="76" t="s">
        <v>1686</v>
      </c>
      <c r="C684" s="77" t="s">
        <v>1685</v>
      </c>
      <c r="D684" s="128"/>
      <c r="E684" s="188">
        <f>SUM('ADICIONES  2021'!C684:I684)</f>
        <v>27103488.100000001</v>
      </c>
      <c r="F684" s="128"/>
      <c r="G684" s="128"/>
      <c r="H684" s="128"/>
      <c r="I684" s="128"/>
      <c r="J684" s="128"/>
      <c r="K684" s="128">
        <f t="shared" si="826"/>
        <v>27103488.100000001</v>
      </c>
      <c r="L684" s="128"/>
      <c r="M684" s="128"/>
      <c r="N684" s="128"/>
      <c r="O684" s="128"/>
      <c r="P684" s="128"/>
      <c r="Q684" s="413"/>
      <c r="R684" s="128">
        <f t="shared" si="828"/>
        <v>0</v>
      </c>
      <c r="S684" s="128">
        <v>27103488.100000001</v>
      </c>
      <c r="T684" s="128"/>
      <c r="U684" s="128"/>
      <c r="V684" s="128"/>
      <c r="W684" s="128"/>
      <c r="X684" s="128"/>
      <c r="Y684" s="128"/>
      <c r="Z684" s="128"/>
      <c r="AA684" s="128">
        <f t="shared" si="830"/>
        <v>27103488.100000001</v>
      </c>
      <c r="AB684" s="128">
        <f t="shared" si="827"/>
        <v>27103488.100000001</v>
      </c>
      <c r="AC684" s="175">
        <f t="shared" si="834"/>
        <v>1</v>
      </c>
    </row>
    <row r="685" spans="2:29" ht="16.5" hidden="1" thickBot="1" x14ac:dyDescent="0.25">
      <c r="B685" s="81" t="s">
        <v>1687</v>
      </c>
      <c r="C685" s="79" t="s">
        <v>1688</v>
      </c>
      <c r="D685" s="78">
        <f>+D686</f>
        <v>0</v>
      </c>
      <c r="E685" s="187">
        <f>SUM('ADICIONES  2021'!C685:I685)</f>
        <v>259662713</v>
      </c>
      <c r="F685" s="78">
        <f>+F686</f>
        <v>0</v>
      </c>
      <c r="G685" s="78">
        <f>+G686</f>
        <v>0</v>
      </c>
      <c r="H685" s="78">
        <f>+H686</f>
        <v>0</v>
      </c>
      <c r="I685" s="78">
        <f>+I686</f>
        <v>0</v>
      </c>
      <c r="J685" s="78">
        <f>+J686</f>
        <v>0</v>
      </c>
      <c r="K685" s="128">
        <f t="shared" si="826"/>
        <v>259662713</v>
      </c>
      <c r="L685" s="78">
        <f t="shared" ref="L685:Q685" si="865">+L686</f>
        <v>0</v>
      </c>
      <c r="M685" s="78">
        <f t="shared" si="865"/>
        <v>0</v>
      </c>
      <c r="N685" s="78">
        <f t="shared" si="865"/>
        <v>0</v>
      </c>
      <c r="O685" s="78">
        <f t="shared" si="865"/>
        <v>0</v>
      </c>
      <c r="P685" s="78">
        <f t="shared" si="865"/>
        <v>0</v>
      </c>
      <c r="Q685" s="408">
        <f t="shared" si="865"/>
        <v>0</v>
      </c>
      <c r="R685" s="128">
        <f t="shared" si="828"/>
        <v>0</v>
      </c>
      <c r="S685" s="78">
        <f t="shared" ref="S685:Z685" si="866">+S686</f>
        <v>259662713</v>
      </c>
      <c r="T685" s="78">
        <f t="shared" si="866"/>
        <v>0</v>
      </c>
      <c r="U685" s="78">
        <f t="shared" si="866"/>
        <v>0</v>
      </c>
      <c r="V685" s="78">
        <f t="shared" si="866"/>
        <v>0</v>
      </c>
      <c r="W685" s="78">
        <f t="shared" si="866"/>
        <v>0</v>
      </c>
      <c r="X685" s="78">
        <f t="shared" si="866"/>
        <v>0</v>
      </c>
      <c r="Y685" s="78">
        <f t="shared" si="866"/>
        <v>0</v>
      </c>
      <c r="Z685" s="78">
        <f t="shared" si="866"/>
        <v>0</v>
      </c>
      <c r="AA685" s="128">
        <f t="shared" si="830"/>
        <v>259662713</v>
      </c>
      <c r="AB685" s="128">
        <f t="shared" si="827"/>
        <v>259662713</v>
      </c>
      <c r="AC685" s="175">
        <f t="shared" si="834"/>
        <v>1</v>
      </c>
    </row>
    <row r="686" spans="2:29" hidden="1" thickBot="1" x14ac:dyDescent="0.25">
      <c r="B686" s="76" t="s">
        <v>1689</v>
      </c>
      <c r="C686" s="77" t="s">
        <v>1516</v>
      </c>
      <c r="D686" s="128"/>
      <c r="E686" s="188">
        <f>SUM('ADICIONES  2021'!C686:I686)</f>
        <v>259662713</v>
      </c>
      <c r="F686" s="128"/>
      <c r="G686" s="128"/>
      <c r="H686" s="128"/>
      <c r="I686" s="128"/>
      <c r="J686" s="128"/>
      <c r="K686" s="128">
        <f t="shared" si="826"/>
        <v>259662713</v>
      </c>
      <c r="L686" s="128"/>
      <c r="M686" s="128"/>
      <c r="N686" s="128"/>
      <c r="O686" s="128"/>
      <c r="P686" s="128"/>
      <c r="Q686" s="413"/>
      <c r="R686" s="128">
        <f t="shared" si="828"/>
        <v>0</v>
      </c>
      <c r="S686" s="128">
        <v>259662713</v>
      </c>
      <c r="T686" s="128"/>
      <c r="U686" s="128"/>
      <c r="V686" s="128"/>
      <c r="W686" s="128"/>
      <c r="X686" s="128"/>
      <c r="Y686" s="128"/>
      <c r="Z686" s="128"/>
      <c r="AA686" s="128">
        <f t="shared" si="830"/>
        <v>259662713</v>
      </c>
      <c r="AB686" s="128">
        <f t="shared" si="827"/>
        <v>259662713</v>
      </c>
      <c r="AC686" s="175">
        <f t="shared" si="834"/>
        <v>1</v>
      </c>
    </row>
    <row r="687" spans="2:29" ht="48" hidden="1" thickBot="1" x14ac:dyDescent="0.25">
      <c r="B687" s="81" t="s">
        <v>1690</v>
      </c>
      <c r="C687" s="79" t="s">
        <v>1691</v>
      </c>
      <c r="D687" s="78">
        <f>+D688</f>
        <v>0</v>
      </c>
      <c r="E687" s="187">
        <f>SUM('ADICIONES  2021'!C687:I687)</f>
        <v>98246400</v>
      </c>
      <c r="F687" s="78">
        <f>+F688</f>
        <v>0</v>
      </c>
      <c r="G687" s="78">
        <f>+G688</f>
        <v>0</v>
      </c>
      <c r="H687" s="78">
        <f>+H688</f>
        <v>0</v>
      </c>
      <c r="I687" s="78">
        <f>+I688</f>
        <v>0</v>
      </c>
      <c r="J687" s="78">
        <f>+J688</f>
        <v>0</v>
      </c>
      <c r="K687" s="128">
        <f t="shared" si="826"/>
        <v>98246400</v>
      </c>
      <c r="L687" s="78">
        <f t="shared" ref="L687:Q687" si="867">+L688</f>
        <v>0</v>
      </c>
      <c r="M687" s="78">
        <f t="shared" si="867"/>
        <v>0</v>
      </c>
      <c r="N687" s="78">
        <f t="shared" si="867"/>
        <v>0</v>
      </c>
      <c r="O687" s="78">
        <f t="shared" si="867"/>
        <v>0</v>
      </c>
      <c r="P687" s="78">
        <f t="shared" si="867"/>
        <v>0</v>
      </c>
      <c r="Q687" s="408">
        <f t="shared" si="867"/>
        <v>0</v>
      </c>
      <c r="R687" s="128">
        <f t="shared" si="828"/>
        <v>0</v>
      </c>
      <c r="S687" s="78">
        <f t="shared" ref="S687:Z687" si="868">+S688</f>
        <v>98246400</v>
      </c>
      <c r="T687" s="78">
        <f t="shared" si="868"/>
        <v>0</v>
      </c>
      <c r="U687" s="78">
        <f t="shared" si="868"/>
        <v>0</v>
      </c>
      <c r="V687" s="78">
        <f t="shared" si="868"/>
        <v>0</v>
      </c>
      <c r="W687" s="78">
        <f t="shared" si="868"/>
        <v>0</v>
      </c>
      <c r="X687" s="78">
        <f t="shared" si="868"/>
        <v>0</v>
      </c>
      <c r="Y687" s="78">
        <f t="shared" si="868"/>
        <v>0</v>
      </c>
      <c r="Z687" s="78">
        <f t="shared" si="868"/>
        <v>0</v>
      </c>
      <c r="AA687" s="128">
        <f t="shared" si="830"/>
        <v>98246400</v>
      </c>
      <c r="AB687" s="128">
        <f t="shared" si="827"/>
        <v>98246400</v>
      </c>
      <c r="AC687" s="175">
        <f t="shared" si="834"/>
        <v>1</v>
      </c>
    </row>
    <row r="688" spans="2:29" ht="29.25" hidden="1" thickBot="1" x14ac:dyDescent="0.25">
      <c r="B688" s="76" t="s">
        <v>1692</v>
      </c>
      <c r="C688" s="77" t="s">
        <v>1693</v>
      </c>
      <c r="D688" s="128"/>
      <c r="E688" s="188">
        <f>SUM('ADICIONES  2021'!C688:I688)</f>
        <v>98246400</v>
      </c>
      <c r="F688" s="128"/>
      <c r="G688" s="128"/>
      <c r="H688" s="128"/>
      <c r="I688" s="128"/>
      <c r="J688" s="128"/>
      <c r="K688" s="128">
        <f t="shared" si="826"/>
        <v>98246400</v>
      </c>
      <c r="L688" s="128"/>
      <c r="M688" s="128"/>
      <c r="N688" s="128"/>
      <c r="O688" s="128"/>
      <c r="P688" s="128"/>
      <c r="Q688" s="413"/>
      <c r="R688" s="128">
        <f t="shared" si="828"/>
        <v>0</v>
      </c>
      <c r="S688" s="128">
        <v>98246400</v>
      </c>
      <c r="T688" s="128"/>
      <c r="U688" s="128"/>
      <c r="V688" s="128"/>
      <c r="W688" s="128"/>
      <c r="X688" s="128"/>
      <c r="Y688" s="128"/>
      <c r="Z688" s="128"/>
      <c r="AA688" s="128">
        <f t="shared" si="830"/>
        <v>98246400</v>
      </c>
      <c r="AB688" s="128">
        <f t="shared" si="827"/>
        <v>98246400</v>
      </c>
      <c r="AC688" s="175">
        <f t="shared" si="834"/>
        <v>1</v>
      </c>
    </row>
    <row r="689" spans="2:29" ht="32.25" hidden="1" thickBot="1" x14ac:dyDescent="0.25">
      <c r="B689" s="81" t="s">
        <v>1694</v>
      </c>
      <c r="C689" s="79" t="s">
        <v>1695</v>
      </c>
      <c r="D689" s="78">
        <f>+D690</f>
        <v>0</v>
      </c>
      <c r="E689" s="187">
        <f>SUM('ADICIONES  2021'!C689:I689)</f>
        <v>506016671</v>
      </c>
      <c r="F689" s="78">
        <f>+F690</f>
        <v>0</v>
      </c>
      <c r="G689" s="78">
        <f>+G690</f>
        <v>0</v>
      </c>
      <c r="H689" s="78">
        <f>+H690</f>
        <v>0</v>
      </c>
      <c r="I689" s="78">
        <f>+I690</f>
        <v>0</v>
      </c>
      <c r="J689" s="78">
        <f>+J690</f>
        <v>0</v>
      </c>
      <c r="K689" s="128">
        <f t="shared" si="826"/>
        <v>506016671</v>
      </c>
      <c r="L689" s="78">
        <f t="shared" ref="L689:Q689" si="869">+L690</f>
        <v>0</v>
      </c>
      <c r="M689" s="78">
        <f t="shared" si="869"/>
        <v>0</v>
      </c>
      <c r="N689" s="78">
        <f t="shared" si="869"/>
        <v>0</v>
      </c>
      <c r="O689" s="78">
        <f t="shared" si="869"/>
        <v>0</v>
      </c>
      <c r="P689" s="78">
        <f t="shared" si="869"/>
        <v>0</v>
      </c>
      <c r="Q689" s="408">
        <f t="shared" si="869"/>
        <v>0</v>
      </c>
      <c r="R689" s="128">
        <f t="shared" si="828"/>
        <v>0</v>
      </c>
      <c r="S689" s="78">
        <f t="shared" ref="S689:Z689" si="870">+S690</f>
        <v>506016671</v>
      </c>
      <c r="T689" s="78">
        <f t="shared" si="870"/>
        <v>0</v>
      </c>
      <c r="U689" s="78">
        <f t="shared" si="870"/>
        <v>0</v>
      </c>
      <c r="V689" s="78">
        <f t="shared" si="870"/>
        <v>0</v>
      </c>
      <c r="W689" s="78">
        <f t="shared" si="870"/>
        <v>0</v>
      </c>
      <c r="X689" s="78">
        <f t="shared" si="870"/>
        <v>0</v>
      </c>
      <c r="Y689" s="78">
        <f t="shared" si="870"/>
        <v>0</v>
      </c>
      <c r="Z689" s="78">
        <f t="shared" si="870"/>
        <v>0</v>
      </c>
      <c r="AA689" s="128">
        <f t="shared" si="830"/>
        <v>506016671</v>
      </c>
      <c r="AB689" s="128">
        <f t="shared" si="827"/>
        <v>506016671</v>
      </c>
      <c r="AC689" s="175">
        <f t="shared" si="834"/>
        <v>1</v>
      </c>
    </row>
    <row r="690" spans="2:29" ht="29.25" hidden="1" thickBot="1" x14ac:dyDescent="0.25">
      <c r="B690" s="76" t="s">
        <v>1696</v>
      </c>
      <c r="C690" s="77" t="s">
        <v>1697</v>
      </c>
      <c r="D690" s="128"/>
      <c r="E690" s="188">
        <f>SUM('ADICIONES  2021'!C690:I690)</f>
        <v>506016671</v>
      </c>
      <c r="F690" s="128"/>
      <c r="G690" s="128"/>
      <c r="H690" s="128"/>
      <c r="I690" s="128"/>
      <c r="J690" s="128"/>
      <c r="K690" s="128">
        <f t="shared" si="826"/>
        <v>506016671</v>
      </c>
      <c r="L690" s="128"/>
      <c r="M690" s="128"/>
      <c r="N690" s="128"/>
      <c r="O690" s="128"/>
      <c r="P690" s="128"/>
      <c r="Q690" s="413"/>
      <c r="R690" s="128">
        <f t="shared" si="828"/>
        <v>0</v>
      </c>
      <c r="S690" s="128">
        <v>506016671</v>
      </c>
      <c r="T690" s="128"/>
      <c r="U690" s="128"/>
      <c r="V690" s="128"/>
      <c r="W690" s="128"/>
      <c r="X690" s="128"/>
      <c r="Y690" s="128"/>
      <c r="Z690" s="128"/>
      <c r="AA690" s="128">
        <f t="shared" si="830"/>
        <v>506016671</v>
      </c>
      <c r="AB690" s="128">
        <f t="shared" si="827"/>
        <v>506016671</v>
      </c>
      <c r="AC690" s="175">
        <f t="shared" si="834"/>
        <v>1</v>
      </c>
    </row>
    <row r="691" spans="2:29" ht="32.25" hidden="1" thickBot="1" x14ac:dyDescent="0.25">
      <c r="B691" s="81" t="s">
        <v>1698</v>
      </c>
      <c r="C691" s="79" t="s">
        <v>1699</v>
      </c>
      <c r="D691" s="78">
        <f>+D692</f>
        <v>0</v>
      </c>
      <c r="E691" s="187">
        <f>SUM('ADICIONES  2021'!C691:I691)</f>
        <v>1984436974.3900001</v>
      </c>
      <c r="F691" s="78">
        <f>+F692</f>
        <v>0</v>
      </c>
      <c r="G691" s="78">
        <f>+G692</f>
        <v>0</v>
      </c>
      <c r="H691" s="78">
        <f>+H692</f>
        <v>0</v>
      </c>
      <c r="I691" s="78">
        <f>+I692</f>
        <v>0</v>
      </c>
      <c r="J691" s="78">
        <f>+J692</f>
        <v>0</v>
      </c>
      <c r="K691" s="128">
        <f t="shared" si="826"/>
        <v>1984436974.3900001</v>
      </c>
      <c r="L691" s="78">
        <f t="shared" ref="L691:Q691" si="871">+L692</f>
        <v>0</v>
      </c>
      <c r="M691" s="78">
        <f t="shared" si="871"/>
        <v>0</v>
      </c>
      <c r="N691" s="78">
        <f t="shared" si="871"/>
        <v>0</v>
      </c>
      <c r="O691" s="78">
        <f t="shared" si="871"/>
        <v>0</v>
      </c>
      <c r="P691" s="78">
        <f t="shared" si="871"/>
        <v>0</v>
      </c>
      <c r="Q691" s="408">
        <f t="shared" si="871"/>
        <v>0</v>
      </c>
      <c r="R691" s="128">
        <f t="shared" si="828"/>
        <v>0</v>
      </c>
      <c r="S691" s="78">
        <f t="shared" ref="S691:Z691" si="872">+S692</f>
        <v>1984436974.3900001</v>
      </c>
      <c r="T691" s="78">
        <f t="shared" si="872"/>
        <v>0</v>
      </c>
      <c r="U691" s="78">
        <f t="shared" si="872"/>
        <v>0</v>
      </c>
      <c r="V691" s="78">
        <f t="shared" si="872"/>
        <v>0</v>
      </c>
      <c r="W691" s="78">
        <f t="shared" si="872"/>
        <v>0</v>
      </c>
      <c r="X691" s="78">
        <f t="shared" si="872"/>
        <v>0</v>
      </c>
      <c r="Y691" s="78">
        <f t="shared" si="872"/>
        <v>0</v>
      </c>
      <c r="Z691" s="78">
        <f t="shared" si="872"/>
        <v>0</v>
      </c>
      <c r="AA691" s="128">
        <f t="shared" si="830"/>
        <v>1984436974.3900001</v>
      </c>
      <c r="AB691" s="128">
        <f t="shared" si="827"/>
        <v>1984436974.3900001</v>
      </c>
      <c r="AC691" s="175">
        <f t="shared" si="834"/>
        <v>1</v>
      </c>
    </row>
    <row r="692" spans="2:29" ht="29.25" hidden="1" thickBot="1" x14ac:dyDescent="0.25">
      <c r="B692" s="76" t="s">
        <v>1700</v>
      </c>
      <c r="C692" s="77" t="s">
        <v>1701</v>
      </c>
      <c r="D692" s="128"/>
      <c r="E692" s="188">
        <f>SUM('ADICIONES  2021'!C692:I692)</f>
        <v>1984436974.3900001</v>
      </c>
      <c r="F692" s="128"/>
      <c r="G692" s="128"/>
      <c r="H692" s="128"/>
      <c r="I692" s="128"/>
      <c r="J692" s="128"/>
      <c r="K692" s="128">
        <f t="shared" si="826"/>
        <v>1984436974.3900001</v>
      </c>
      <c r="L692" s="128"/>
      <c r="M692" s="128"/>
      <c r="N692" s="128"/>
      <c r="O692" s="128"/>
      <c r="P692" s="128"/>
      <c r="Q692" s="413"/>
      <c r="R692" s="128">
        <f t="shared" si="828"/>
        <v>0</v>
      </c>
      <c r="S692" s="128">
        <v>1984436974.3900001</v>
      </c>
      <c r="T692" s="128"/>
      <c r="U692" s="128"/>
      <c r="V692" s="128"/>
      <c r="W692" s="128"/>
      <c r="X692" s="128"/>
      <c r="Y692" s="128"/>
      <c r="Z692" s="128"/>
      <c r="AA692" s="128">
        <f t="shared" si="830"/>
        <v>1984436974.3900001</v>
      </c>
      <c r="AB692" s="128">
        <f t="shared" si="827"/>
        <v>1984436974.3900001</v>
      </c>
      <c r="AC692" s="175">
        <f t="shared" si="834"/>
        <v>1</v>
      </c>
    </row>
    <row r="693" spans="2:29" ht="16.5" hidden="1" thickBot="1" x14ac:dyDescent="0.25">
      <c r="B693" s="81" t="s">
        <v>1702</v>
      </c>
      <c r="C693" s="79" t="s">
        <v>1703</v>
      </c>
      <c r="D693" s="78">
        <f>+D694+D697+D699</f>
        <v>0</v>
      </c>
      <c r="E693" s="187">
        <f>SUM('ADICIONES  2021'!C693:I693)</f>
        <v>9114153339.3700008</v>
      </c>
      <c r="F693" s="78">
        <f>+F694+F697+F699</f>
        <v>0</v>
      </c>
      <c r="G693" s="78">
        <f>+G694+G697+G699</f>
        <v>0</v>
      </c>
      <c r="H693" s="78">
        <f>+H694+H697+H699</f>
        <v>0</v>
      </c>
      <c r="I693" s="78">
        <f>+I694+I697+I699</f>
        <v>0</v>
      </c>
      <c r="J693" s="78">
        <f>+J694+J697+J699</f>
        <v>0</v>
      </c>
      <c r="K693" s="128">
        <f t="shared" si="826"/>
        <v>9114153339.3700008</v>
      </c>
      <c r="L693" s="78">
        <f t="shared" ref="L693:Q693" si="873">+L694+L697+L699</f>
        <v>0</v>
      </c>
      <c r="M693" s="78">
        <f t="shared" si="873"/>
        <v>0</v>
      </c>
      <c r="N693" s="78">
        <f t="shared" si="873"/>
        <v>0</v>
      </c>
      <c r="O693" s="78">
        <f t="shared" si="873"/>
        <v>0</v>
      </c>
      <c r="P693" s="78">
        <f t="shared" si="873"/>
        <v>0</v>
      </c>
      <c r="Q693" s="408">
        <f t="shared" si="873"/>
        <v>0</v>
      </c>
      <c r="R693" s="128">
        <f t="shared" si="828"/>
        <v>0</v>
      </c>
      <c r="S693" s="78">
        <f t="shared" ref="S693:Z693" si="874">+S694+S697+S699</f>
        <v>9114153339.3700008</v>
      </c>
      <c r="T693" s="78">
        <f t="shared" si="874"/>
        <v>0</v>
      </c>
      <c r="U693" s="78">
        <f t="shared" si="874"/>
        <v>0</v>
      </c>
      <c r="V693" s="78">
        <f t="shared" si="874"/>
        <v>0</v>
      </c>
      <c r="W693" s="78">
        <f t="shared" si="874"/>
        <v>0</v>
      </c>
      <c r="X693" s="78">
        <f t="shared" si="874"/>
        <v>0</v>
      </c>
      <c r="Y693" s="78">
        <f t="shared" si="874"/>
        <v>0</v>
      </c>
      <c r="Z693" s="78">
        <f t="shared" si="874"/>
        <v>0</v>
      </c>
      <c r="AA693" s="128">
        <f t="shared" si="830"/>
        <v>9114153339.3700008</v>
      </c>
      <c r="AB693" s="128">
        <f t="shared" si="827"/>
        <v>9114153339.3700008</v>
      </c>
      <c r="AC693" s="175">
        <f t="shared" si="834"/>
        <v>1</v>
      </c>
    </row>
    <row r="694" spans="2:29" ht="16.5" hidden="1" thickBot="1" x14ac:dyDescent="0.25">
      <c r="B694" s="81" t="s">
        <v>1704</v>
      </c>
      <c r="C694" s="79" t="s">
        <v>1705</v>
      </c>
      <c r="D694" s="78">
        <f>SUM(D695:D696)</f>
        <v>0</v>
      </c>
      <c r="E694" s="187">
        <f>SUM('ADICIONES  2021'!C694:I694)</f>
        <v>3130592786.1300001</v>
      </c>
      <c r="F694" s="78">
        <f>SUM(F695:F696)</f>
        <v>0</v>
      </c>
      <c r="G694" s="78">
        <f>SUM(G695:G696)</f>
        <v>0</v>
      </c>
      <c r="H694" s="78">
        <f>SUM(H695:H696)</f>
        <v>0</v>
      </c>
      <c r="I694" s="78">
        <f>SUM(I695:I696)</f>
        <v>0</v>
      </c>
      <c r="J694" s="78">
        <f>SUM(J695:J696)</f>
        <v>0</v>
      </c>
      <c r="K694" s="128">
        <f t="shared" si="826"/>
        <v>3130592786.1300001</v>
      </c>
      <c r="L694" s="78">
        <f t="shared" ref="L694:Q694" si="875">SUM(L695:L696)</f>
        <v>0</v>
      </c>
      <c r="M694" s="78">
        <f t="shared" si="875"/>
        <v>0</v>
      </c>
      <c r="N694" s="78">
        <f t="shared" si="875"/>
        <v>0</v>
      </c>
      <c r="O694" s="78">
        <f t="shared" si="875"/>
        <v>0</v>
      </c>
      <c r="P694" s="78">
        <f t="shared" si="875"/>
        <v>0</v>
      </c>
      <c r="Q694" s="408">
        <f t="shared" si="875"/>
        <v>0</v>
      </c>
      <c r="R694" s="128">
        <f t="shared" si="828"/>
        <v>0</v>
      </c>
      <c r="S694" s="78">
        <f t="shared" ref="S694:Z694" si="876">SUM(S695:S696)</f>
        <v>3130592786.1300001</v>
      </c>
      <c r="T694" s="78">
        <f t="shared" si="876"/>
        <v>0</v>
      </c>
      <c r="U694" s="78">
        <f t="shared" si="876"/>
        <v>0</v>
      </c>
      <c r="V694" s="78">
        <f t="shared" si="876"/>
        <v>0</v>
      </c>
      <c r="W694" s="78">
        <f t="shared" si="876"/>
        <v>0</v>
      </c>
      <c r="X694" s="78">
        <f t="shared" si="876"/>
        <v>0</v>
      </c>
      <c r="Y694" s="78">
        <f t="shared" si="876"/>
        <v>0</v>
      </c>
      <c r="Z694" s="78">
        <f t="shared" si="876"/>
        <v>0</v>
      </c>
      <c r="AA694" s="128">
        <f t="shared" si="830"/>
        <v>3130592786.1300001</v>
      </c>
      <c r="AB694" s="128">
        <f t="shared" si="827"/>
        <v>3130592786.1300001</v>
      </c>
      <c r="AC694" s="175">
        <f t="shared" si="834"/>
        <v>1</v>
      </c>
    </row>
    <row r="695" spans="2:29" ht="29.25" hidden="1" thickBot="1" x14ac:dyDescent="0.25">
      <c r="B695" s="76" t="s">
        <v>1706</v>
      </c>
      <c r="C695" s="77" t="s">
        <v>1707</v>
      </c>
      <c r="D695" s="128"/>
      <c r="E695" s="188">
        <f>SUM('ADICIONES  2021'!C695:I695)</f>
        <v>2075464682.5699999</v>
      </c>
      <c r="F695" s="128"/>
      <c r="G695" s="128"/>
      <c r="H695" s="128"/>
      <c r="I695" s="128"/>
      <c r="J695" s="128"/>
      <c r="K695" s="128">
        <f t="shared" si="826"/>
        <v>2075464682.5699999</v>
      </c>
      <c r="L695" s="128"/>
      <c r="M695" s="128"/>
      <c r="N695" s="128"/>
      <c r="O695" s="128"/>
      <c r="P695" s="128"/>
      <c r="Q695" s="413"/>
      <c r="R695" s="128">
        <f t="shared" si="828"/>
        <v>0</v>
      </c>
      <c r="S695" s="128">
        <v>2075464682.5699999</v>
      </c>
      <c r="T695" s="128"/>
      <c r="U695" s="128"/>
      <c r="V695" s="128"/>
      <c r="W695" s="128"/>
      <c r="X695" s="128"/>
      <c r="Y695" s="128"/>
      <c r="Z695" s="128"/>
      <c r="AA695" s="128">
        <f t="shared" si="830"/>
        <v>2075464682.5699999</v>
      </c>
      <c r="AB695" s="128">
        <f t="shared" si="827"/>
        <v>2075464682.5699999</v>
      </c>
      <c r="AC695" s="175">
        <f t="shared" si="834"/>
        <v>1</v>
      </c>
    </row>
    <row r="696" spans="2:29" ht="29.25" hidden="1" thickBot="1" x14ac:dyDescent="0.25">
      <c r="B696" s="76" t="s">
        <v>1708</v>
      </c>
      <c r="C696" s="77" t="s">
        <v>1709</v>
      </c>
      <c r="D696" s="128"/>
      <c r="E696" s="188">
        <f>SUM('ADICIONES  2021'!C696:I696)</f>
        <v>1055128103.5599999</v>
      </c>
      <c r="F696" s="128"/>
      <c r="G696" s="128"/>
      <c r="H696" s="128"/>
      <c r="I696" s="128"/>
      <c r="J696" s="128"/>
      <c r="K696" s="128">
        <f t="shared" si="826"/>
        <v>1055128103.5599999</v>
      </c>
      <c r="L696" s="128"/>
      <c r="M696" s="128"/>
      <c r="N696" s="128"/>
      <c r="O696" s="128"/>
      <c r="P696" s="128"/>
      <c r="Q696" s="413"/>
      <c r="R696" s="128">
        <f t="shared" si="828"/>
        <v>0</v>
      </c>
      <c r="S696" s="128">
        <v>1055128103.5599999</v>
      </c>
      <c r="T696" s="128"/>
      <c r="U696" s="128"/>
      <c r="V696" s="128"/>
      <c r="W696" s="128"/>
      <c r="X696" s="128"/>
      <c r="Y696" s="128"/>
      <c r="Z696" s="128"/>
      <c r="AA696" s="128">
        <f t="shared" si="830"/>
        <v>1055128103.5599999</v>
      </c>
      <c r="AB696" s="128">
        <f t="shared" si="827"/>
        <v>1055128103.5599999</v>
      </c>
      <c r="AC696" s="175">
        <f t="shared" si="834"/>
        <v>1</v>
      </c>
    </row>
    <row r="697" spans="2:29" ht="32.25" hidden="1" thickBot="1" x14ac:dyDescent="0.25">
      <c r="B697" s="81" t="s">
        <v>1710</v>
      </c>
      <c r="C697" s="79" t="s">
        <v>1711</v>
      </c>
      <c r="D697" s="78">
        <f>+D698</f>
        <v>0</v>
      </c>
      <c r="E697" s="187">
        <f>SUM('ADICIONES  2021'!C697:I697)</f>
        <v>5521777550.8400002</v>
      </c>
      <c r="F697" s="78">
        <f>+F698</f>
        <v>0</v>
      </c>
      <c r="G697" s="78">
        <f>+G698</f>
        <v>0</v>
      </c>
      <c r="H697" s="78">
        <f>+H698</f>
        <v>0</v>
      </c>
      <c r="I697" s="78">
        <f>+I698</f>
        <v>0</v>
      </c>
      <c r="J697" s="78">
        <f>+J698</f>
        <v>0</v>
      </c>
      <c r="K697" s="128">
        <f t="shared" si="826"/>
        <v>5521777550.8400002</v>
      </c>
      <c r="L697" s="78">
        <f t="shared" ref="L697:Q697" si="877">+L698</f>
        <v>0</v>
      </c>
      <c r="M697" s="78">
        <f t="shared" si="877"/>
        <v>0</v>
      </c>
      <c r="N697" s="78">
        <f t="shared" si="877"/>
        <v>0</v>
      </c>
      <c r="O697" s="78">
        <f t="shared" si="877"/>
        <v>0</v>
      </c>
      <c r="P697" s="78">
        <f t="shared" si="877"/>
        <v>0</v>
      </c>
      <c r="Q697" s="408">
        <f t="shared" si="877"/>
        <v>0</v>
      </c>
      <c r="R697" s="128">
        <f t="shared" si="828"/>
        <v>0</v>
      </c>
      <c r="S697" s="78">
        <f t="shared" ref="S697:Z697" si="878">+S698</f>
        <v>5521777550.8400002</v>
      </c>
      <c r="T697" s="78">
        <f t="shared" si="878"/>
        <v>0</v>
      </c>
      <c r="U697" s="78">
        <f t="shared" si="878"/>
        <v>0</v>
      </c>
      <c r="V697" s="78">
        <f t="shared" si="878"/>
        <v>0</v>
      </c>
      <c r="W697" s="78">
        <f t="shared" si="878"/>
        <v>0</v>
      </c>
      <c r="X697" s="78">
        <f t="shared" si="878"/>
        <v>0</v>
      </c>
      <c r="Y697" s="78">
        <f t="shared" si="878"/>
        <v>0</v>
      </c>
      <c r="Z697" s="78">
        <f t="shared" si="878"/>
        <v>0</v>
      </c>
      <c r="AA697" s="128">
        <f t="shared" si="830"/>
        <v>5521777550.8400002</v>
      </c>
      <c r="AB697" s="128">
        <f t="shared" si="827"/>
        <v>5521777550.8400002</v>
      </c>
      <c r="AC697" s="175">
        <f t="shared" si="834"/>
        <v>1</v>
      </c>
    </row>
    <row r="698" spans="2:29" hidden="1" thickBot="1" x14ac:dyDescent="0.25">
      <c r="B698" s="76" t="s">
        <v>1712</v>
      </c>
      <c r="C698" s="77" t="s">
        <v>1713</v>
      </c>
      <c r="D698" s="128"/>
      <c r="E698" s="188">
        <f>SUM('ADICIONES  2021'!C698:I698)</f>
        <v>5521777550.8400002</v>
      </c>
      <c r="F698" s="128"/>
      <c r="G698" s="128"/>
      <c r="H698" s="128"/>
      <c r="I698" s="128"/>
      <c r="J698" s="128"/>
      <c r="K698" s="128">
        <f t="shared" si="826"/>
        <v>5521777550.8400002</v>
      </c>
      <c r="L698" s="128"/>
      <c r="M698" s="128"/>
      <c r="N698" s="128"/>
      <c r="O698" s="128"/>
      <c r="P698" s="128"/>
      <c r="Q698" s="413"/>
      <c r="R698" s="128">
        <f t="shared" ref="R698:R761" si="879">SUM(L698:Q698)</f>
        <v>0</v>
      </c>
      <c r="S698" s="128">
        <v>5521777550.8400002</v>
      </c>
      <c r="T698" s="128"/>
      <c r="U698" s="128"/>
      <c r="V698" s="128"/>
      <c r="W698" s="128"/>
      <c r="X698" s="128"/>
      <c r="Y698" s="128"/>
      <c r="Z698" s="128"/>
      <c r="AA698" s="128">
        <f t="shared" si="830"/>
        <v>5521777550.8400002</v>
      </c>
      <c r="AB698" s="128">
        <f t="shared" si="827"/>
        <v>5521777550.8400002</v>
      </c>
      <c r="AC698" s="175">
        <f t="shared" si="834"/>
        <v>1</v>
      </c>
    </row>
    <row r="699" spans="2:29" ht="16.5" hidden="1" thickBot="1" x14ac:dyDescent="0.25">
      <c r="B699" s="81" t="s">
        <v>1714</v>
      </c>
      <c r="C699" s="79" t="s">
        <v>1715</v>
      </c>
      <c r="D699" s="78">
        <f>+D700</f>
        <v>0</v>
      </c>
      <c r="E699" s="187">
        <f>SUM('ADICIONES  2021'!C699:I699)</f>
        <v>461783002.39999998</v>
      </c>
      <c r="F699" s="78">
        <f>+F700</f>
        <v>0</v>
      </c>
      <c r="G699" s="78">
        <f>+G700</f>
        <v>0</v>
      </c>
      <c r="H699" s="78">
        <f>+H700</f>
        <v>0</v>
      </c>
      <c r="I699" s="78">
        <f>+I700</f>
        <v>0</v>
      </c>
      <c r="J699" s="78">
        <f>+J700</f>
        <v>0</v>
      </c>
      <c r="K699" s="128">
        <f t="shared" si="826"/>
        <v>461783002.39999998</v>
      </c>
      <c r="L699" s="78">
        <f t="shared" ref="L699:Q699" si="880">+L700</f>
        <v>0</v>
      </c>
      <c r="M699" s="78">
        <f t="shared" si="880"/>
        <v>0</v>
      </c>
      <c r="N699" s="78">
        <f t="shared" si="880"/>
        <v>0</v>
      </c>
      <c r="O699" s="78">
        <f t="shared" si="880"/>
        <v>0</v>
      </c>
      <c r="P699" s="78">
        <f t="shared" si="880"/>
        <v>0</v>
      </c>
      <c r="Q699" s="408">
        <f t="shared" si="880"/>
        <v>0</v>
      </c>
      <c r="R699" s="128">
        <f t="shared" si="879"/>
        <v>0</v>
      </c>
      <c r="S699" s="78">
        <f t="shared" ref="S699:Z699" si="881">+S700</f>
        <v>461783002.39999998</v>
      </c>
      <c r="T699" s="78">
        <f t="shared" si="881"/>
        <v>0</v>
      </c>
      <c r="U699" s="78">
        <f t="shared" si="881"/>
        <v>0</v>
      </c>
      <c r="V699" s="78">
        <f t="shared" si="881"/>
        <v>0</v>
      </c>
      <c r="W699" s="78">
        <f t="shared" si="881"/>
        <v>0</v>
      </c>
      <c r="X699" s="78">
        <f t="shared" si="881"/>
        <v>0</v>
      </c>
      <c r="Y699" s="78">
        <f t="shared" si="881"/>
        <v>0</v>
      </c>
      <c r="Z699" s="78">
        <f t="shared" si="881"/>
        <v>0</v>
      </c>
      <c r="AA699" s="128">
        <f t="shared" si="830"/>
        <v>461783002.39999998</v>
      </c>
      <c r="AB699" s="128">
        <f t="shared" si="827"/>
        <v>461783002.39999998</v>
      </c>
      <c r="AC699" s="175">
        <f t="shared" si="834"/>
        <v>1</v>
      </c>
    </row>
    <row r="700" spans="2:29" hidden="1" thickBot="1" x14ac:dyDescent="0.25">
      <c r="B700" s="76" t="s">
        <v>1716</v>
      </c>
      <c r="C700" s="77" t="s">
        <v>1717</v>
      </c>
      <c r="D700" s="128"/>
      <c r="E700" s="188">
        <f>SUM('ADICIONES  2021'!C700:I700)</f>
        <v>461783002.39999998</v>
      </c>
      <c r="F700" s="128"/>
      <c r="G700" s="128"/>
      <c r="H700" s="128"/>
      <c r="I700" s="128"/>
      <c r="J700" s="128"/>
      <c r="K700" s="128">
        <f t="shared" si="826"/>
        <v>461783002.39999998</v>
      </c>
      <c r="L700" s="128"/>
      <c r="M700" s="128"/>
      <c r="N700" s="128"/>
      <c r="O700" s="128"/>
      <c r="P700" s="128"/>
      <c r="Q700" s="413"/>
      <c r="R700" s="128">
        <f t="shared" si="879"/>
        <v>0</v>
      </c>
      <c r="S700" s="128">
        <v>461783002.39999998</v>
      </c>
      <c r="T700" s="128"/>
      <c r="U700" s="128"/>
      <c r="V700" s="128"/>
      <c r="W700" s="128"/>
      <c r="X700" s="128"/>
      <c r="Y700" s="128"/>
      <c r="Z700" s="128"/>
      <c r="AA700" s="128">
        <f t="shared" si="830"/>
        <v>461783002.39999998</v>
      </c>
      <c r="AB700" s="128">
        <f t="shared" si="827"/>
        <v>461783002.39999998</v>
      </c>
      <c r="AC700" s="175">
        <f t="shared" si="834"/>
        <v>1</v>
      </c>
    </row>
    <row r="701" spans="2:29" ht="32.25" hidden="1" thickBot="1" x14ac:dyDescent="0.25">
      <c r="B701" s="81" t="s">
        <v>1718</v>
      </c>
      <c r="C701" s="79" t="s">
        <v>1719</v>
      </c>
      <c r="D701" s="78">
        <f>SUM(D702:D705)</f>
        <v>0</v>
      </c>
      <c r="E701" s="187">
        <f>SUM('ADICIONES  2021'!C701:I701)</f>
        <v>1470257557.6600001</v>
      </c>
      <c r="F701" s="78">
        <f>SUM(F702:F705)</f>
        <v>0</v>
      </c>
      <c r="G701" s="78">
        <f>SUM(G702:G705)</f>
        <v>0</v>
      </c>
      <c r="H701" s="78">
        <f>SUM(H702:H705)</f>
        <v>0</v>
      </c>
      <c r="I701" s="78">
        <f>SUM(I702:I705)</f>
        <v>0</v>
      </c>
      <c r="J701" s="78">
        <f>SUM(J702:J705)</f>
        <v>0</v>
      </c>
      <c r="K701" s="128">
        <f t="shared" si="826"/>
        <v>1470257557.6600001</v>
      </c>
      <c r="L701" s="78">
        <f t="shared" ref="L701:Q701" si="882">SUM(L702:L705)</f>
        <v>0</v>
      </c>
      <c r="M701" s="78">
        <f t="shared" si="882"/>
        <v>0</v>
      </c>
      <c r="N701" s="78">
        <f t="shared" si="882"/>
        <v>0</v>
      </c>
      <c r="O701" s="78">
        <f t="shared" si="882"/>
        <v>0</v>
      </c>
      <c r="P701" s="78">
        <f t="shared" si="882"/>
        <v>0</v>
      </c>
      <c r="Q701" s="408">
        <f t="shared" si="882"/>
        <v>0</v>
      </c>
      <c r="R701" s="128">
        <f t="shared" si="879"/>
        <v>0</v>
      </c>
      <c r="S701" s="78">
        <f t="shared" ref="S701:Z701" si="883">SUM(S702:S705)</f>
        <v>1470257557.6600001</v>
      </c>
      <c r="T701" s="78">
        <f t="shared" si="883"/>
        <v>0</v>
      </c>
      <c r="U701" s="78">
        <f t="shared" si="883"/>
        <v>0</v>
      </c>
      <c r="V701" s="78">
        <f t="shared" si="883"/>
        <v>0</v>
      </c>
      <c r="W701" s="78">
        <f t="shared" si="883"/>
        <v>0</v>
      </c>
      <c r="X701" s="78">
        <f t="shared" si="883"/>
        <v>0</v>
      </c>
      <c r="Y701" s="78">
        <f t="shared" si="883"/>
        <v>0</v>
      </c>
      <c r="Z701" s="78">
        <f t="shared" si="883"/>
        <v>0</v>
      </c>
      <c r="AA701" s="128">
        <f t="shared" si="830"/>
        <v>1470257557.6600001</v>
      </c>
      <c r="AB701" s="128">
        <f t="shared" si="827"/>
        <v>1470257557.6600001</v>
      </c>
      <c r="AC701" s="175">
        <f t="shared" si="834"/>
        <v>1</v>
      </c>
    </row>
    <row r="702" spans="2:29" ht="29.25" hidden="1" thickBot="1" x14ac:dyDescent="0.25">
      <c r="B702" s="76" t="s">
        <v>1720</v>
      </c>
      <c r="C702" s="77" t="s">
        <v>1721</v>
      </c>
      <c r="D702" s="128"/>
      <c r="E702" s="188">
        <f>SUM('ADICIONES  2021'!C702:I702)</f>
        <v>387647145.37</v>
      </c>
      <c r="F702" s="128"/>
      <c r="G702" s="128"/>
      <c r="H702" s="128"/>
      <c r="I702" s="128"/>
      <c r="J702" s="128"/>
      <c r="K702" s="128">
        <f t="shared" si="826"/>
        <v>387647145.37</v>
      </c>
      <c r="L702" s="128"/>
      <c r="M702" s="128"/>
      <c r="N702" s="128"/>
      <c r="O702" s="128"/>
      <c r="P702" s="128"/>
      <c r="Q702" s="413"/>
      <c r="R702" s="128">
        <f t="shared" si="879"/>
        <v>0</v>
      </c>
      <c r="S702" s="128">
        <v>387647145.37</v>
      </c>
      <c r="T702" s="128"/>
      <c r="U702" s="128"/>
      <c r="V702" s="128"/>
      <c r="W702" s="128"/>
      <c r="X702" s="128"/>
      <c r="Y702" s="128"/>
      <c r="Z702" s="128"/>
      <c r="AA702" s="128">
        <f t="shared" si="830"/>
        <v>387647145.37</v>
      </c>
      <c r="AB702" s="128">
        <f t="shared" si="827"/>
        <v>387647145.37</v>
      </c>
      <c r="AC702" s="175">
        <f t="shared" si="834"/>
        <v>1</v>
      </c>
    </row>
    <row r="703" spans="2:29" ht="29.25" hidden="1" thickBot="1" x14ac:dyDescent="0.25">
      <c r="B703" s="76" t="s">
        <v>1722</v>
      </c>
      <c r="C703" s="77" t="s">
        <v>1723</v>
      </c>
      <c r="D703" s="128"/>
      <c r="E703" s="188">
        <f>SUM('ADICIONES  2021'!C703:I703)</f>
        <v>2113377.75</v>
      </c>
      <c r="F703" s="128"/>
      <c r="G703" s="128"/>
      <c r="H703" s="128"/>
      <c r="I703" s="128"/>
      <c r="J703" s="128"/>
      <c r="K703" s="128">
        <f t="shared" si="826"/>
        <v>2113377.75</v>
      </c>
      <c r="L703" s="128"/>
      <c r="M703" s="128"/>
      <c r="N703" s="128"/>
      <c r="O703" s="128"/>
      <c r="P703" s="128"/>
      <c r="Q703" s="413"/>
      <c r="R703" s="128">
        <f t="shared" si="879"/>
        <v>0</v>
      </c>
      <c r="S703" s="128">
        <v>2113377.75</v>
      </c>
      <c r="T703" s="128"/>
      <c r="U703" s="128"/>
      <c r="V703" s="128"/>
      <c r="W703" s="128"/>
      <c r="X703" s="128"/>
      <c r="Y703" s="128"/>
      <c r="Z703" s="128"/>
      <c r="AA703" s="128">
        <f t="shared" si="830"/>
        <v>2113377.75</v>
      </c>
      <c r="AB703" s="128">
        <f t="shared" si="827"/>
        <v>2113377.75</v>
      </c>
      <c r="AC703" s="175">
        <f t="shared" si="834"/>
        <v>1</v>
      </c>
    </row>
    <row r="704" spans="2:29" ht="29.25" hidden="1" thickBot="1" x14ac:dyDescent="0.25">
      <c r="B704" s="76" t="s">
        <v>1724</v>
      </c>
      <c r="C704" s="77" t="s">
        <v>1725</v>
      </c>
      <c r="D704" s="128"/>
      <c r="E704" s="188">
        <f>SUM('ADICIONES  2021'!C704:I704)</f>
        <v>751847814.38</v>
      </c>
      <c r="F704" s="128"/>
      <c r="G704" s="128"/>
      <c r="H704" s="128"/>
      <c r="I704" s="128"/>
      <c r="J704" s="128"/>
      <c r="K704" s="128">
        <f t="shared" si="826"/>
        <v>751847814.38</v>
      </c>
      <c r="L704" s="128"/>
      <c r="M704" s="128"/>
      <c r="N704" s="128"/>
      <c r="O704" s="128"/>
      <c r="P704" s="128"/>
      <c r="Q704" s="413"/>
      <c r="R704" s="128">
        <f t="shared" si="879"/>
        <v>0</v>
      </c>
      <c r="S704" s="128">
        <v>751847814.38</v>
      </c>
      <c r="T704" s="128"/>
      <c r="U704" s="128"/>
      <c r="V704" s="128"/>
      <c r="W704" s="128"/>
      <c r="X704" s="128"/>
      <c r="Y704" s="128"/>
      <c r="Z704" s="128"/>
      <c r="AA704" s="128">
        <f t="shared" si="830"/>
        <v>751847814.38</v>
      </c>
      <c r="AB704" s="128">
        <f t="shared" si="827"/>
        <v>751847814.38</v>
      </c>
      <c r="AC704" s="175">
        <f t="shared" si="834"/>
        <v>1</v>
      </c>
    </row>
    <row r="705" spans="2:29" ht="29.25" hidden="1" thickBot="1" x14ac:dyDescent="0.25">
      <c r="B705" s="76" t="s">
        <v>1726</v>
      </c>
      <c r="C705" s="77" t="s">
        <v>1727</v>
      </c>
      <c r="D705" s="128"/>
      <c r="E705" s="188">
        <f>SUM('ADICIONES  2021'!C705:I705)</f>
        <v>328649220.16000003</v>
      </c>
      <c r="F705" s="128"/>
      <c r="G705" s="128"/>
      <c r="H705" s="128"/>
      <c r="I705" s="128"/>
      <c r="J705" s="128"/>
      <c r="K705" s="128">
        <f t="shared" si="826"/>
        <v>328649220.16000003</v>
      </c>
      <c r="L705" s="128"/>
      <c r="M705" s="128"/>
      <c r="N705" s="128"/>
      <c r="O705" s="128"/>
      <c r="P705" s="128"/>
      <c r="Q705" s="413"/>
      <c r="R705" s="128">
        <f t="shared" si="879"/>
        <v>0</v>
      </c>
      <c r="S705" s="128">
        <v>328649220.16000003</v>
      </c>
      <c r="T705" s="128"/>
      <c r="U705" s="128"/>
      <c r="V705" s="128"/>
      <c r="W705" s="128"/>
      <c r="X705" s="128"/>
      <c r="Y705" s="128"/>
      <c r="Z705" s="128"/>
      <c r="AA705" s="128">
        <f t="shared" si="830"/>
        <v>328649220.16000003</v>
      </c>
      <c r="AB705" s="128">
        <f t="shared" si="827"/>
        <v>328649220.16000003</v>
      </c>
      <c r="AC705" s="175">
        <f t="shared" si="834"/>
        <v>1</v>
      </c>
    </row>
    <row r="706" spans="2:29" ht="16.5" hidden="1" thickBot="1" x14ac:dyDescent="0.25">
      <c r="B706" s="81" t="s">
        <v>1728</v>
      </c>
      <c r="C706" s="79" t="s">
        <v>1729</v>
      </c>
      <c r="D706" s="78">
        <f>+D707+D709+D711+D713+D715</f>
        <v>0</v>
      </c>
      <c r="E706" s="187">
        <f>SUM('ADICIONES  2021'!C706:I706)</f>
        <v>407056991.80000001</v>
      </c>
      <c r="F706" s="78">
        <f>+F707+F709+F711+F713+F715</f>
        <v>0</v>
      </c>
      <c r="G706" s="78">
        <f>+G707+G709+G711+G713+G715</f>
        <v>0</v>
      </c>
      <c r="H706" s="78">
        <f>+H707+H709+H711+H713+H715</f>
        <v>0</v>
      </c>
      <c r="I706" s="78">
        <f>+I707+I709+I711+I713+I715</f>
        <v>0</v>
      </c>
      <c r="J706" s="78">
        <f>+J707+J709+J711+J713+J715</f>
        <v>0</v>
      </c>
      <c r="K706" s="128">
        <f t="shared" si="826"/>
        <v>407056991.80000001</v>
      </c>
      <c r="L706" s="78">
        <f t="shared" ref="L706:Q706" si="884">+L707+L709+L711+L713+L715</f>
        <v>0</v>
      </c>
      <c r="M706" s="78">
        <f t="shared" si="884"/>
        <v>0</v>
      </c>
      <c r="N706" s="78">
        <f t="shared" si="884"/>
        <v>0</v>
      </c>
      <c r="O706" s="78">
        <f t="shared" si="884"/>
        <v>0</v>
      </c>
      <c r="P706" s="78">
        <f t="shared" si="884"/>
        <v>0</v>
      </c>
      <c r="Q706" s="408">
        <f t="shared" si="884"/>
        <v>0</v>
      </c>
      <c r="R706" s="128">
        <f t="shared" si="879"/>
        <v>0</v>
      </c>
      <c r="S706" s="78">
        <f t="shared" ref="S706:Z706" si="885">+S707+S709+S711+S713+S715</f>
        <v>407056991.80000001</v>
      </c>
      <c r="T706" s="78">
        <f t="shared" si="885"/>
        <v>0</v>
      </c>
      <c r="U706" s="78">
        <f t="shared" si="885"/>
        <v>0</v>
      </c>
      <c r="V706" s="78">
        <f t="shared" si="885"/>
        <v>0</v>
      </c>
      <c r="W706" s="78">
        <f t="shared" si="885"/>
        <v>0</v>
      </c>
      <c r="X706" s="78">
        <f t="shared" si="885"/>
        <v>0</v>
      </c>
      <c r="Y706" s="78">
        <f t="shared" si="885"/>
        <v>0</v>
      </c>
      <c r="Z706" s="78">
        <f t="shared" si="885"/>
        <v>0</v>
      </c>
      <c r="AA706" s="128">
        <f t="shared" si="830"/>
        <v>407056991.80000001</v>
      </c>
      <c r="AB706" s="128">
        <f t="shared" si="827"/>
        <v>407056991.80000001</v>
      </c>
      <c r="AC706" s="175">
        <f t="shared" si="834"/>
        <v>1</v>
      </c>
    </row>
    <row r="707" spans="2:29" ht="32.25" hidden="1" thickBot="1" x14ac:dyDescent="0.25">
      <c r="B707" s="81" t="s">
        <v>1730</v>
      </c>
      <c r="C707" s="79" t="s">
        <v>110</v>
      </c>
      <c r="D707" s="78">
        <f>+D708</f>
        <v>0</v>
      </c>
      <c r="E707" s="187">
        <f>SUM('ADICIONES  2021'!C707:I707)</f>
        <v>145325420.40000001</v>
      </c>
      <c r="F707" s="78">
        <f>+F708</f>
        <v>0</v>
      </c>
      <c r="G707" s="78">
        <f>+G708</f>
        <v>0</v>
      </c>
      <c r="H707" s="78">
        <f>+H708</f>
        <v>0</v>
      </c>
      <c r="I707" s="78">
        <f>+I708</f>
        <v>0</v>
      </c>
      <c r="J707" s="78">
        <f>+J708</f>
        <v>0</v>
      </c>
      <c r="K707" s="128">
        <f t="shared" si="826"/>
        <v>145325420.40000001</v>
      </c>
      <c r="L707" s="78">
        <f t="shared" ref="L707:Q707" si="886">+L708</f>
        <v>0</v>
      </c>
      <c r="M707" s="78">
        <f t="shared" si="886"/>
        <v>0</v>
      </c>
      <c r="N707" s="78">
        <f t="shared" si="886"/>
        <v>0</v>
      </c>
      <c r="O707" s="78">
        <f t="shared" si="886"/>
        <v>0</v>
      </c>
      <c r="P707" s="78">
        <f t="shared" si="886"/>
        <v>0</v>
      </c>
      <c r="Q707" s="408">
        <f t="shared" si="886"/>
        <v>0</v>
      </c>
      <c r="R707" s="128">
        <f t="shared" si="879"/>
        <v>0</v>
      </c>
      <c r="S707" s="78">
        <f t="shared" ref="S707:Z707" si="887">+S708</f>
        <v>145325420.40000001</v>
      </c>
      <c r="T707" s="78">
        <f t="shared" si="887"/>
        <v>0</v>
      </c>
      <c r="U707" s="78">
        <f t="shared" si="887"/>
        <v>0</v>
      </c>
      <c r="V707" s="78">
        <f t="shared" si="887"/>
        <v>0</v>
      </c>
      <c r="W707" s="78">
        <f t="shared" si="887"/>
        <v>0</v>
      </c>
      <c r="X707" s="78">
        <f t="shared" si="887"/>
        <v>0</v>
      </c>
      <c r="Y707" s="78">
        <f t="shared" si="887"/>
        <v>0</v>
      </c>
      <c r="Z707" s="78">
        <f t="shared" si="887"/>
        <v>0</v>
      </c>
      <c r="AA707" s="128">
        <f t="shared" si="830"/>
        <v>145325420.40000001</v>
      </c>
      <c r="AB707" s="128">
        <f t="shared" si="827"/>
        <v>145325420.40000001</v>
      </c>
      <c r="AC707" s="175">
        <f t="shared" si="834"/>
        <v>1</v>
      </c>
    </row>
    <row r="708" spans="2:29" ht="29.25" hidden="1" thickBot="1" x14ac:dyDescent="0.25">
      <c r="B708" s="76" t="s">
        <v>1731</v>
      </c>
      <c r="C708" s="77" t="s">
        <v>1732</v>
      </c>
      <c r="D708" s="128"/>
      <c r="E708" s="188">
        <f>SUM('ADICIONES  2021'!C708:I708)</f>
        <v>145325420.40000001</v>
      </c>
      <c r="F708" s="128"/>
      <c r="G708" s="128"/>
      <c r="H708" s="128"/>
      <c r="I708" s="128"/>
      <c r="J708" s="128"/>
      <c r="K708" s="128">
        <f t="shared" si="826"/>
        <v>145325420.40000001</v>
      </c>
      <c r="L708" s="128"/>
      <c r="M708" s="128"/>
      <c r="N708" s="128"/>
      <c r="O708" s="128"/>
      <c r="P708" s="128"/>
      <c r="Q708" s="413"/>
      <c r="R708" s="128">
        <f t="shared" si="879"/>
        <v>0</v>
      </c>
      <c r="S708" s="128">
        <v>145325420.40000001</v>
      </c>
      <c r="T708" s="128"/>
      <c r="U708" s="128"/>
      <c r="V708" s="128"/>
      <c r="W708" s="128"/>
      <c r="X708" s="128"/>
      <c r="Y708" s="128"/>
      <c r="Z708" s="128"/>
      <c r="AA708" s="128">
        <f t="shared" si="830"/>
        <v>145325420.40000001</v>
      </c>
      <c r="AB708" s="128">
        <f t="shared" si="827"/>
        <v>145325420.40000001</v>
      </c>
      <c r="AC708" s="175">
        <f t="shared" si="834"/>
        <v>1</v>
      </c>
    </row>
    <row r="709" spans="2:29" ht="32.25" hidden="1" thickBot="1" x14ac:dyDescent="0.25">
      <c r="B709" s="81" t="s">
        <v>1733</v>
      </c>
      <c r="C709" s="79" t="s">
        <v>1734</v>
      </c>
      <c r="D709" s="78">
        <f>+D710</f>
        <v>0</v>
      </c>
      <c r="E709" s="187">
        <f>SUM('ADICIONES  2021'!C709:I709)</f>
        <v>95830968</v>
      </c>
      <c r="F709" s="78">
        <f>+F710</f>
        <v>0</v>
      </c>
      <c r="G709" s="78">
        <f>+G710</f>
        <v>0</v>
      </c>
      <c r="H709" s="78">
        <f>+H710</f>
        <v>0</v>
      </c>
      <c r="I709" s="78">
        <f>+I710</f>
        <v>0</v>
      </c>
      <c r="J709" s="78">
        <f>+J710</f>
        <v>0</v>
      </c>
      <c r="K709" s="128">
        <f t="shared" si="826"/>
        <v>95830968</v>
      </c>
      <c r="L709" s="78">
        <f t="shared" ref="L709:Q709" si="888">+L710</f>
        <v>0</v>
      </c>
      <c r="M709" s="78">
        <f t="shared" si="888"/>
        <v>0</v>
      </c>
      <c r="N709" s="78">
        <f t="shared" si="888"/>
        <v>0</v>
      </c>
      <c r="O709" s="78">
        <f t="shared" si="888"/>
        <v>0</v>
      </c>
      <c r="P709" s="78">
        <f t="shared" si="888"/>
        <v>0</v>
      </c>
      <c r="Q709" s="408">
        <f t="shared" si="888"/>
        <v>0</v>
      </c>
      <c r="R709" s="128">
        <f t="shared" si="879"/>
        <v>0</v>
      </c>
      <c r="S709" s="78">
        <f t="shared" ref="S709:Z709" si="889">+S710</f>
        <v>95830968</v>
      </c>
      <c r="T709" s="78">
        <f t="shared" si="889"/>
        <v>0</v>
      </c>
      <c r="U709" s="78">
        <f t="shared" si="889"/>
        <v>0</v>
      </c>
      <c r="V709" s="78">
        <f t="shared" si="889"/>
        <v>0</v>
      </c>
      <c r="W709" s="78">
        <f t="shared" si="889"/>
        <v>0</v>
      </c>
      <c r="X709" s="78">
        <f t="shared" si="889"/>
        <v>0</v>
      </c>
      <c r="Y709" s="78">
        <f t="shared" si="889"/>
        <v>0</v>
      </c>
      <c r="Z709" s="78">
        <f t="shared" si="889"/>
        <v>0</v>
      </c>
      <c r="AA709" s="128">
        <f t="shared" si="830"/>
        <v>95830968</v>
      </c>
      <c r="AB709" s="128">
        <f t="shared" si="827"/>
        <v>95830968</v>
      </c>
      <c r="AC709" s="175">
        <f t="shared" si="834"/>
        <v>1</v>
      </c>
    </row>
    <row r="710" spans="2:29" ht="29.25" hidden="1" thickBot="1" x14ac:dyDescent="0.25">
      <c r="B710" s="76" t="s">
        <v>1735</v>
      </c>
      <c r="C710" s="77" t="s">
        <v>1734</v>
      </c>
      <c r="D710" s="128"/>
      <c r="E710" s="188">
        <f>SUM('ADICIONES  2021'!C710:I710)</f>
        <v>95830968</v>
      </c>
      <c r="F710" s="128"/>
      <c r="G710" s="128"/>
      <c r="H710" s="128"/>
      <c r="I710" s="128"/>
      <c r="J710" s="128"/>
      <c r="K710" s="128">
        <f t="shared" si="826"/>
        <v>95830968</v>
      </c>
      <c r="L710" s="128"/>
      <c r="M710" s="128"/>
      <c r="N710" s="128"/>
      <c r="O710" s="128"/>
      <c r="P710" s="128"/>
      <c r="Q710" s="413"/>
      <c r="R710" s="128">
        <f t="shared" si="879"/>
        <v>0</v>
      </c>
      <c r="S710" s="128">
        <v>95830968</v>
      </c>
      <c r="T710" s="128"/>
      <c r="U710" s="128"/>
      <c r="V710" s="128"/>
      <c r="W710" s="128"/>
      <c r="X710" s="128"/>
      <c r="Y710" s="128"/>
      <c r="Z710" s="128"/>
      <c r="AA710" s="128">
        <f t="shared" si="830"/>
        <v>95830968</v>
      </c>
      <c r="AB710" s="128">
        <f t="shared" si="827"/>
        <v>95830968</v>
      </c>
      <c r="AC710" s="175">
        <f t="shared" si="834"/>
        <v>1</v>
      </c>
    </row>
    <row r="711" spans="2:29" ht="32.25" hidden="1" thickBot="1" x14ac:dyDescent="0.25">
      <c r="B711" s="81" t="s">
        <v>1736</v>
      </c>
      <c r="C711" s="79" t="s">
        <v>1737</v>
      </c>
      <c r="D711" s="78">
        <f>+D712</f>
        <v>0</v>
      </c>
      <c r="E711" s="187">
        <f>SUM('ADICIONES  2021'!C711:I711)</f>
        <v>14844803.4</v>
      </c>
      <c r="F711" s="78">
        <f>+F712</f>
        <v>0</v>
      </c>
      <c r="G711" s="78">
        <f>+G712</f>
        <v>0</v>
      </c>
      <c r="H711" s="78">
        <f>+H712</f>
        <v>0</v>
      </c>
      <c r="I711" s="78">
        <f>+I712</f>
        <v>0</v>
      </c>
      <c r="J711" s="78">
        <f>+J712</f>
        <v>0</v>
      </c>
      <c r="K711" s="128">
        <f t="shared" si="826"/>
        <v>14844803.4</v>
      </c>
      <c r="L711" s="78">
        <f t="shared" ref="L711:Q711" si="890">+L712</f>
        <v>0</v>
      </c>
      <c r="M711" s="78">
        <f t="shared" si="890"/>
        <v>0</v>
      </c>
      <c r="N711" s="78">
        <f t="shared" si="890"/>
        <v>0</v>
      </c>
      <c r="O711" s="78">
        <f t="shared" si="890"/>
        <v>0</v>
      </c>
      <c r="P711" s="78">
        <f t="shared" si="890"/>
        <v>0</v>
      </c>
      <c r="Q711" s="408">
        <f t="shared" si="890"/>
        <v>0</v>
      </c>
      <c r="R711" s="128">
        <f t="shared" si="879"/>
        <v>0</v>
      </c>
      <c r="S711" s="78">
        <f t="shared" ref="S711:Z711" si="891">+S712</f>
        <v>14844803.4</v>
      </c>
      <c r="T711" s="78">
        <f t="shared" si="891"/>
        <v>0</v>
      </c>
      <c r="U711" s="78">
        <f t="shared" si="891"/>
        <v>0</v>
      </c>
      <c r="V711" s="78">
        <f t="shared" si="891"/>
        <v>0</v>
      </c>
      <c r="W711" s="78">
        <f t="shared" si="891"/>
        <v>0</v>
      </c>
      <c r="X711" s="78">
        <f t="shared" si="891"/>
        <v>0</v>
      </c>
      <c r="Y711" s="78">
        <f t="shared" si="891"/>
        <v>0</v>
      </c>
      <c r="Z711" s="78">
        <f t="shared" si="891"/>
        <v>0</v>
      </c>
      <c r="AA711" s="128">
        <f t="shared" si="830"/>
        <v>14844803.4</v>
      </c>
      <c r="AB711" s="128">
        <f t="shared" si="827"/>
        <v>14844803.4</v>
      </c>
      <c r="AC711" s="175">
        <f t="shared" si="834"/>
        <v>1</v>
      </c>
    </row>
    <row r="712" spans="2:29" ht="29.25" hidden="1" thickBot="1" x14ac:dyDescent="0.25">
      <c r="B712" s="76" t="s">
        <v>1738</v>
      </c>
      <c r="C712" s="77" t="s">
        <v>1739</v>
      </c>
      <c r="D712" s="128"/>
      <c r="E712" s="188">
        <f>SUM('ADICIONES  2021'!C712:I712)</f>
        <v>14844803.4</v>
      </c>
      <c r="F712" s="128"/>
      <c r="G712" s="128"/>
      <c r="H712" s="128"/>
      <c r="I712" s="128"/>
      <c r="J712" s="128"/>
      <c r="K712" s="128">
        <f t="shared" si="826"/>
        <v>14844803.4</v>
      </c>
      <c r="L712" s="128"/>
      <c r="M712" s="128"/>
      <c r="N712" s="128"/>
      <c r="O712" s="128"/>
      <c r="P712" s="128"/>
      <c r="Q712" s="413"/>
      <c r="R712" s="128">
        <f t="shared" si="879"/>
        <v>0</v>
      </c>
      <c r="S712" s="128">
        <v>14844803.4</v>
      </c>
      <c r="T712" s="128"/>
      <c r="U712" s="128"/>
      <c r="V712" s="128"/>
      <c r="W712" s="128"/>
      <c r="X712" s="128"/>
      <c r="Y712" s="128"/>
      <c r="Z712" s="128"/>
      <c r="AA712" s="128">
        <f t="shared" si="830"/>
        <v>14844803.4</v>
      </c>
      <c r="AB712" s="128">
        <f t="shared" si="827"/>
        <v>14844803.4</v>
      </c>
      <c r="AC712" s="175">
        <f t="shared" si="834"/>
        <v>1</v>
      </c>
    </row>
    <row r="713" spans="2:29" ht="48" hidden="1" thickBot="1" x14ac:dyDescent="0.25">
      <c r="B713" s="81" t="s">
        <v>1740</v>
      </c>
      <c r="C713" s="79" t="s">
        <v>1741</v>
      </c>
      <c r="D713" s="78">
        <f>+D714</f>
        <v>0</v>
      </c>
      <c r="E713" s="187">
        <f>SUM('ADICIONES  2021'!C713:I713)</f>
        <v>112000000</v>
      </c>
      <c r="F713" s="78">
        <f>+F714</f>
        <v>0</v>
      </c>
      <c r="G713" s="78">
        <f>+G714</f>
        <v>0</v>
      </c>
      <c r="H713" s="78">
        <f>+H714</f>
        <v>0</v>
      </c>
      <c r="I713" s="78">
        <f>+I714</f>
        <v>0</v>
      </c>
      <c r="J713" s="78">
        <f>+J714</f>
        <v>0</v>
      </c>
      <c r="K713" s="128">
        <f t="shared" si="826"/>
        <v>112000000</v>
      </c>
      <c r="L713" s="78">
        <f t="shared" ref="L713:Q713" si="892">+L714</f>
        <v>0</v>
      </c>
      <c r="M713" s="78">
        <f t="shared" si="892"/>
        <v>0</v>
      </c>
      <c r="N713" s="78">
        <f t="shared" si="892"/>
        <v>0</v>
      </c>
      <c r="O713" s="78">
        <f t="shared" si="892"/>
        <v>0</v>
      </c>
      <c r="P713" s="78">
        <f t="shared" si="892"/>
        <v>0</v>
      </c>
      <c r="Q713" s="408">
        <f t="shared" si="892"/>
        <v>0</v>
      </c>
      <c r="R713" s="128">
        <f t="shared" si="879"/>
        <v>0</v>
      </c>
      <c r="S713" s="78">
        <f t="shared" ref="S713:Z713" si="893">+S714</f>
        <v>112000000</v>
      </c>
      <c r="T713" s="78">
        <f t="shared" si="893"/>
        <v>0</v>
      </c>
      <c r="U713" s="78">
        <f t="shared" si="893"/>
        <v>0</v>
      </c>
      <c r="V713" s="78">
        <f t="shared" si="893"/>
        <v>0</v>
      </c>
      <c r="W713" s="78">
        <f t="shared" si="893"/>
        <v>0</v>
      </c>
      <c r="X713" s="78">
        <f t="shared" si="893"/>
        <v>0</v>
      </c>
      <c r="Y713" s="78">
        <f t="shared" si="893"/>
        <v>0</v>
      </c>
      <c r="Z713" s="78">
        <f t="shared" si="893"/>
        <v>0</v>
      </c>
      <c r="AA713" s="128">
        <f t="shared" si="830"/>
        <v>112000000</v>
      </c>
      <c r="AB713" s="128">
        <f t="shared" si="827"/>
        <v>112000000</v>
      </c>
      <c r="AC713" s="175">
        <f t="shared" si="834"/>
        <v>1</v>
      </c>
    </row>
    <row r="714" spans="2:29" ht="29.25" hidden="1" thickBot="1" x14ac:dyDescent="0.25">
      <c r="B714" s="76" t="s">
        <v>1742</v>
      </c>
      <c r="C714" s="77" t="s">
        <v>1743</v>
      </c>
      <c r="D714" s="128"/>
      <c r="E714" s="188">
        <f>SUM('ADICIONES  2021'!C714:I714)</f>
        <v>112000000</v>
      </c>
      <c r="F714" s="128"/>
      <c r="G714" s="128"/>
      <c r="H714" s="128"/>
      <c r="I714" s="128"/>
      <c r="J714" s="128"/>
      <c r="K714" s="128">
        <f t="shared" si="826"/>
        <v>112000000</v>
      </c>
      <c r="L714" s="128"/>
      <c r="M714" s="128"/>
      <c r="N714" s="128"/>
      <c r="O714" s="128"/>
      <c r="P714" s="128"/>
      <c r="Q714" s="413"/>
      <c r="R714" s="128">
        <f t="shared" si="879"/>
        <v>0</v>
      </c>
      <c r="S714" s="128">
        <v>112000000</v>
      </c>
      <c r="T714" s="128"/>
      <c r="U714" s="128"/>
      <c r="V714" s="128"/>
      <c r="W714" s="128"/>
      <c r="X714" s="128"/>
      <c r="Y714" s="128"/>
      <c r="Z714" s="128"/>
      <c r="AA714" s="128">
        <f t="shared" si="830"/>
        <v>112000000</v>
      </c>
      <c r="AB714" s="128">
        <f t="shared" si="827"/>
        <v>112000000</v>
      </c>
      <c r="AC714" s="175">
        <f t="shared" si="834"/>
        <v>1</v>
      </c>
    </row>
    <row r="715" spans="2:29" ht="16.5" hidden="1" thickBot="1" x14ac:dyDescent="0.25">
      <c r="B715" s="81" t="s">
        <v>1744</v>
      </c>
      <c r="C715" s="79" t="s">
        <v>1745</v>
      </c>
      <c r="D715" s="78">
        <f>+D716</f>
        <v>0</v>
      </c>
      <c r="E715" s="187">
        <f>SUM('ADICIONES  2021'!C715:I715)</f>
        <v>39055800</v>
      </c>
      <c r="F715" s="78">
        <f>+F716</f>
        <v>0</v>
      </c>
      <c r="G715" s="78">
        <f>+G716</f>
        <v>0</v>
      </c>
      <c r="H715" s="78">
        <f>+H716</f>
        <v>0</v>
      </c>
      <c r="I715" s="78">
        <f>+I716</f>
        <v>0</v>
      </c>
      <c r="J715" s="78">
        <f>+J716</f>
        <v>0</v>
      </c>
      <c r="K715" s="128">
        <f t="shared" si="826"/>
        <v>39055800</v>
      </c>
      <c r="L715" s="78">
        <f t="shared" ref="L715:Q715" si="894">+L716</f>
        <v>0</v>
      </c>
      <c r="M715" s="78">
        <f t="shared" si="894"/>
        <v>0</v>
      </c>
      <c r="N715" s="78">
        <f t="shared" si="894"/>
        <v>0</v>
      </c>
      <c r="O715" s="78">
        <f t="shared" si="894"/>
        <v>0</v>
      </c>
      <c r="P715" s="78">
        <f t="shared" si="894"/>
        <v>0</v>
      </c>
      <c r="Q715" s="408">
        <f t="shared" si="894"/>
        <v>0</v>
      </c>
      <c r="R715" s="128">
        <f t="shared" si="879"/>
        <v>0</v>
      </c>
      <c r="S715" s="78">
        <f t="shared" ref="S715:Z715" si="895">+S716</f>
        <v>39055800</v>
      </c>
      <c r="T715" s="78">
        <f t="shared" si="895"/>
        <v>0</v>
      </c>
      <c r="U715" s="78">
        <f t="shared" si="895"/>
        <v>0</v>
      </c>
      <c r="V715" s="78">
        <f t="shared" si="895"/>
        <v>0</v>
      </c>
      <c r="W715" s="78">
        <f t="shared" si="895"/>
        <v>0</v>
      </c>
      <c r="X715" s="78">
        <f t="shared" si="895"/>
        <v>0</v>
      </c>
      <c r="Y715" s="78">
        <f t="shared" si="895"/>
        <v>0</v>
      </c>
      <c r="Z715" s="78">
        <f t="shared" si="895"/>
        <v>0</v>
      </c>
      <c r="AA715" s="128">
        <f t="shared" si="830"/>
        <v>39055800</v>
      </c>
      <c r="AB715" s="128">
        <f t="shared" si="827"/>
        <v>39055800</v>
      </c>
      <c r="AC715" s="175">
        <f t="shared" si="834"/>
        <v>1</v>
      </c>
    </row>
    <row r="716" spans="2:29" hidden="1" thickBot="1" x14ac:dyDescent="0.25">
      <c r="B716" s="76" t="s">
        <v>1746</v>
      </c>
      <c r="C716" s="77" t="s">
        <v>1747</v>
      </c>
      <c r="D716" s="128"/>
      <c r="E716" s="188">
        <f>SUM('ADICIONES  2021'!C716:I716)</f>
        <v>39055800</v>
      </c>
      <c r="F716" s="128"/>
      <c r="G716" s="128"/>
      <c r="H716" s="128"/>
      <c r="I716" s="128"/>
      <c r="J716" s="128"/>
      <c r="K716" s="128">
        <f t="shared" si="826"/>
        <v>39055800</v>
      </c>
      <c r="L716" s="128"/>
      <c r="M716" s="128"/>
      <c r="N716" s="128"/>
      <c r="O716" s="128"/>
      <c r="P716" s="128"/>
      <c r="Q716" s="413"/>
      <c r="R716" s="128">
        <f t="shared" si="879"/>
        <v>0</v>
      </c>
      <c r="S716" s="128">
        <v>39055800</v>
      </c>
      <c r="T716" s="128"/>
      <c r="U716" s="128"/>
      <c r="V716" s="128"/>
      <c r="W716" s="128"/>
      <c r="X716" s="128"/>
      <c r="Y716" s="128"/>
      <c r="Z716" s="128"/>
      <c r="AA716" s="128">
        <f t="shared" ref="AA716:AA764" si="896">SUM(S716:Z716)</f>
        <v>39055800</v>
      </c>
      <c r="AB716" s="128">
        <f t="shared" si="827"/>
        <v>39055800</v>
      </c>
      <c r="AC716" s="175">
        <f t="shared" si="834"/>
        <v>1</v>
      </c>
    </row>
    <row r="717" spans="2:29" ht="32.25" hidden="1" thickBot="1" x14ac:dyDescent="0.25">
      <c r="B717" s="81" t="s">
        <v>1748</v>
      </c>
      <c r="C717" s="79" t="s">
        <v>1749</v>
      </c>
      <c r="D717" s="78">
        <f>+D718</f>
        <v>0</v>
      </c>
      <c r="E717" s="187">
        <f>SUM('ADICIONES  2021'!C717:I717)</f>
        <v>6171202231.1300001</v>
      </c>
      <c r="F717" s="78">
        <f>+F718</f>
        <v>0</v>
      </c>
      <c r="G717" s="78">
        <f>+G718</f>
        <v>0</v>
      </c>
      <c r="H717" s="78">
        <f>+H718</f>
        <v>0</v>
      </c>
      <c r="I717" s="78">
        <f>+I718</f>
        <v>0</v>
      </c>
      <c r="J717" s="78">
        <f>+J718</f>
        <v>0</v>
      </c>
      <c r="K717" s="128">
        <f t="shared" si="826"/>
        <v>6171202231.1300001</v>
      </c>
      <c r="L717" s="78">
        <f t="shared" ref="L717:Q717" si="897">+L718</f>
        <v>0</v>
      </c>
      <c r="M717" s="78">
        <f t="shared" si="897"/>
        <v>0</v>
      </c>
      <c r="N717" s="78">
        <f t="shared" si="897"/>
        <v>0</v>
      </c>
      <c r="O717" s="78">
        <f t="shared" si="897"/>
        <v>0</v>
      </c>
      <c r="P717" s="78">
        <f t="shared" si="897"/>
        <v>0</v>
      </c>
      <c r="Q717" s="408">
        <f t="shared" si="897"/>
        <v>0</v>
      </c>
      <c r="R717" s="128">
        <f t="shared" si="879"/>
        <v>0</v>
      </c>
      <c r="S717" s="78">
        <f t="shared" ref="S717:Z717" si="898">+S718</f>
        <v>6171202231.1300001</v>
      </c>
      <c r="T717" s="78">
        <f t="shared" si="898"/>
        <v>0</v>
      </c>
      <c r="U717" s="78">
        <f t="shared" si="898"/>
        <v>0</v>
      </c>
      <c r="V717" s="78">
        <f t="shared" si="898"/>
        <v>0</v>
      </c>
      <c r="W717" s="78">
        <f t="shared" si="898"/>
        <v>0</v>
      </c>
      <c r="X717" s="78">
        <f t="shared" si="898"/>
        <v>0</v>
      </c>
      <c r="Y717" s="78">
        <f t="shared" si="898"/>
        <v>0</v>
      </c>
      <c r="Z717" s="78">
        <f t="shared" si="898"/>
        <v>0</v>
      </c>
      <c r="AA717" s="128">
        <f t="shared" si="896"/>
        <v>6171202231.1300001</v>
      </c>
      <c r="AB717" s="128">
        <f t="shared" si="827"/>
        <v>6171202231.1300001</v>
      </c>
      <c r="AC717" s="175">
        <f t="shared" ref="AC717:AC764" si="899">+AB717/K717</f>
        <v>1</v>
      </c>
    </row>
    <row r="718" spans="2:29" hidden="1" thickBot="1" x14ac:dyDescent="0.25">
      <c r="B718" s="76" t="s">
        <v>1750</v>
      </c>
      <c r="C718" s="77" t="s">
        <v>1751</v>
      </c>
      <c r="D718" s="128"/>
      <c r="E718" s="188">
        <f>SUM('ADICIONES  2021'!C718:I718)</f>
        <v>6171202231.1300001</v>
      </c>
      <c r="F718" s="128"/>
      <c r="G718" s="128"/>
      <c r="H718" s="128"/>
      <c r="I718" s="128"/>
      <c r="J718" s="128"/>
      <c r="K718" s="128">
        <f t="shared" si="826"/>
        <v>6171202231.1300001</v>
      </c>
      <c r="L718" s="128"/>
      <c r="M718" s="128"/>
      <c r="N718" s="128"/>
      <c r="O718" s="128"/>
      <c r="P718" s="128"/>
      <c r="Q718" s="413"/>
      <c r="R718" s="128">
        <f t="shared" si="879"/>
        <v>0</v>
      </c>
      <c r="S718" s="128">
        <v>6171202231.1300001</v>
      </c>
      <c r="T718" s="128"/>
      <c r="U718" s="128"/>
      <c r="V718" s="128"/>
      <c r="W718" s="128"/>
      <c r="X718" s="128"/>
      <c r="Y718" s="128"/>
      <c r="Z718" s="128"/>
      <c r="AA718" s="128">
        <f t="shared" si="896"/>
        <v>6171202231.1300001</v>
      </c>
      <c r="AB718" s="128">
        <f t="shared" si="827"/>
        <v>6171202231.1300001</v>
      </c>
      <c r="AC718" s="175">
        <f t="shared" si="899"/>
        <v>1</v>
      </c>
    </row>
    <row r="719" spans="2:29" ht="16.5" hidden="1" thickBot="1" x14ac:dyDescent="0.25">
      <c r="B719" s="81" t="s">
        <v>1752</v>
      </c>
      <c r="C719" s="79" t="s">
        <v>1753</v>
      </c>
      <c r="D719" s="78">
        <f>SUM(D720:D764)</f>
        <v>0</v>
      </c>
      <c r="E719" s="187">
        <f>SUM('ADICIONES  2021'!C719:I719)</f>
        <v>71889004628.699997</v>
      </c>
      <c r="F719" s="78">
        <f>SUM(F720:F764)</f>
        <v>0</v>
      </c>
      <c r="G719" s="78">
        <f>SUM(G720:G764)</f>
        <v>0</v>
      </c>
      <c r="H719" s="78">
        <f>SUM(H720:H764)</f>
        <v>0</v>
      </c>
      <c r="I719" s="78">
        <f>SUM(I720:I764)</f>
        <v>0</v>
      </c>
      <c r="J719" s="78">
        <f>SUM(J720:J764)</f>
        <v>0</v>
      </c>
      <c r="K719" s="128">
        <f t="shared" si="826"/>
        <v>71889004628.699997</v>
      </c>
      <c r="L719" s="78">
        <f t="shared" ref="L719:Q719" si="900">SUM(L720:L764)</f>
        <v>0</v>
      </c>
      <c r="M719" s="78">
        <f t="shared" si="900"/>
        <v>0</v>
      </c>
      <c r="N719" s="78">
        <f t="shared" si="900"/>
        <v>0</v>
      </c>
      <c r="O719" s="78">
        <f t="shared" si="900"/>
        <v>0</v>
      </c>
      <c r="P719" s="78">
        <f t="shared" si="900"/>
        <v>0</v>
      </c>
      <c r="Q719" s="408">
        <f t="shared" si="900"/>
        <v>0</v>
      </c>
      <c r="R719" s="128">
        <f t="shared" si="879"/>
        <v>0</v>
      </c>
      <c r="S719" s="78">
        <f t="shared" ref="S719:Z719" si="901">SUM(S720:S764)</f>
        <v>52323554356.650002</v>
      </c>
      <c r="T719" s="78">
        <f t="shared" si="901"/>
        <v>0</v>
      </c>
      <c r="U719" s="78">
        <f t="shared" si="901"/>
        <v>0</v>
      </c>
      <c r="V719" s="78">
        <f t="shared" si="901"/>
        <v>0</v>
      </c>
      <c r="W719" s="78">
        <f t="shared" si="901"/>
        <v>0</v>
      </c>
      <c r="X719" s="78">
        <f t="shared" si="901"/>
        <v>0</v>
      </c>
      <c r="Y719" s="78">
        <f t="shared" si="901"/>
        <v>0</v>
      </c>
      <c r="Z719" s="78">
        <f t="shared" si="901"/>
        <v>0</v>
      </c>
      <c r="AA719" s="128">
        <f t="shared" si="896"/>
        <v>52323554356.650002</v>
      </c>
      <c r="AB719" s="128">
        <f t="shared" si="827"/>
        <v>52323554356.650002</v>
      </c>
      <c r="AC719" s="175">
        <f t="shared" si="899"/>
        <v>0.72783806963104136</v>
      </c>
    </row>
    <row r="720" spans="2:29" ht="57.75" hidden="1" thickBot="1" x14ac:dyDescent="0.25">
      <c r="B720" s="76" t="s">
        <v>1754</v>
      </c>
      <c r="C720" s="77" t="s">
        <v>1755</v>
      </c>
      <c r="D720" s="128"/>
      <c r="E720" s="188">
        <f>SUM('ADICIONES  2021'!C720:I720)</f>
        <v>200</v>
      </c>
      <c r="F720" s="128"/>
      <c r="G720" s="128"/>
      <c r="H720" s="128"/>
      <c r="I720" s="128"/>
      <c r="J720" s="128"/>
      <c r="K720" s="128">
        <f t="shared" si="826"/>
        <v>200</v>
      </c>
      <c r="L720" s="128"/>
      <c r="M720" s="128"/>
      <c r="N720" s="128"/>
      <c r="O720" s="128"/>
      <c r="P720" s="128"/>
      <c r="Q720" s="413"/>
      <c r="R720" s="128">
        <f t="shared" si="879"/>
        <v>0</v>
      </c>
      <c r="S720" s="128">
        <v>200</v>
      </c>
      <c r="T720" s="128"/>
      <c r="U720" s="128"/>
      <c r="V720" s="128"/>
      <c r="W720" s="128"/>
      <c r="X720" s="128"/>
      <c r="Y720" s="128"/>
      <c r="Z720" s="128"/>
      <c r="AA720" s="128">
        <f t="shared" si="896"/>
        <v>200</v>
      </c>
      <c r="AB720" s="128">
        <f t="shared" si="827"/>
        <v>200</v>
      </c>
      <c r="AC720" s="175">
        <f t="shared" si="899"/>
        <v>1</v>
      </c>
    </row>
    <row r="721" spans="2:29" ht="57.75" hidden="1" thickBot="1" x14ac:dyDescent="0.25">
      <c r="B721" s="76" t="s">
        <v>1756</v>
      </c>
      <c r="C721" s="77" t="s">
        <v>1757</v>
      </c>
      <c r="D721" s="128"/>
      <c r="E721" s="188">
        <f>SUM('ADICIONES  2021'!C721:I721)</f>
        <v>694330329.00999999</v>
      </c>
      <c r="F721" s="128"/>
      <c r="G721" s="128"/>
      <c r="H721" s="128"/>
      <c r="I721" s="128"/>
      <c r="J721" s="128"/>
      <c r="K721" s="128">
        <f t="shared" si="826"/>
        <v>694330329.00999999</v>
      </c>
      <c r="L721" s="128"/>
      <c r="M721" s="128"/>
      <c r="N721" s="128"/>
      <c r="O721" s="128"/>
      <c r="P721" s="128"/>
      <c r="Q721" s="413"/>
      <c r="R721" s="128">
        <f t="shared" si="879"/>
        <v>0</v>
      </c>
      <c r="S721" s="128">
        <v>694330329.00999999</v>
      </c>
      <c r="T721" s="128"/>
      <c r="U721" s="128"/>
      <c r="V721" s="128"/>
      <c r="W721" s="128"/>
      <c r="X721" s="128"/>
      <c r="Y721" s="128"/>
      <c r="Z721" s="128"/>
      <c r="AA721" s="128">
        <f t="shared" si="896"/>
        <v>694330329.00999999</v>
      </c>
      <c r="AB721" s="128">
        <f t="shared" si="827"/>
        <v>694330329.00999999</v>
      </c>
      <c r="AC721" s="175">
        <f t="shared" si="899"/>
        <v>1</v>
      </c>
    </row>
    <row r="722" spans="2:29" ht="57.75" hidden="1" thickBot="1" x14ac:dyDescent="0.25">
      <c r="B722" s="76" t="s">
        <v>1758</v>
      </c>
      <c r="C722" s="77" t="s">
        <v>1759</v>
      </c>
      <c r="D722" s="128"/>
      <c r="E722" s="188">
        <f>SUM('ADICIONES  2021'!C722:I722)</f>
        <v>769948698.44000006</v>
      </c>
      <c r="F722" s="128"/>
      <c r="G722" s="128"/>
      <c r="H722" s="128"/>
      <c r="I722" s="128"/>
      <c r="J722" s="128"/>
      <c r="K722" s="128">
        <f t="shared" si="826"/>
        <v>769948698.44000006</v>
      </c>
      <c r="L722" s="128"/>
      <c r="M722" s="128"/>
      <c r="N722" s="128"/>
      <c r="O722" s="128"/>
      <c r="P722" s="128"/>
      <c r="Q722" s="413"/>
      <c r="R722" s="128">
        <f t="shared" si="879"/>
        <v>0</v>
      </c>
      <c r="S722" s="128">
        <v>769948698.44000006</v>
      </c>
      <c r="T722" s="128"/>
      <c r="U722" s="128"/>
      <c r="V722" s="128"/>
      <c r="W722" s="128"/>
      <c r="X722" s="128"/>
      <c r="Y722" s="128"/>
      <c r="Z722" s="128"/>
      <c r="AA722" s="128">
        <f t="shared" si="896"/>
        <v>769948698.44000006</v>
      </c>
      <c r="AB722" s="128">
        <f t="shared" si="827"/>
        <v>769948698.44000006</v>
      </c>
      <c r="AC722" s="175">
        <f t="shared" si="899"/>
        <v>1</v>
      </c>
    </row>
    <row r="723" spans="2:29" ht="57.75" hidden="1" thickBot="1" x14ac:dyDescent="0.25">
      <c r="B723" s="76" t="s">
        <v>1760</v>
      </c>
      <c r="C723" s="77" t="s">
        <v>1761</v>
      </c>
      <c r="D723" s="128"/>
      <c r="E723" s="188">
        <f>SUM('ADICIONES  2021'!C723:I723)</f>
        <v>145723443.94</v>
      </c>
      <c r="F723" s="128"/>
      <c r="G723" s="128"/>
      <c r="H723" s="128"/>
      <c r="I723" s="128"/>
      <c r="J723" s="128"/>
      <c r="K723" s="128">
        <f t="shared" si="826"/>
        <v>145723443.94</v>
      </c>
      <c r="L723" s="128"/>
      <c r="M723" s="128"/>
      <c r="N723" s="128"/>
      <c r="O723" s="128"/>
      <c r="P723" s="128"/>
      <c r="Q723" s="413"/>
      <c r="R723" s="128">
        <f t="shared" si="879"/>
        <v>0</v>
      </c>
      <c r="S723" s="128">
        <v>145723443.94</v>
      </c>
      <c r="T723" s="128"/>
      <c r="U723" s="128"/>
      <c r="V723" s="128"/>
      <c r="W723" s="128"/>
      <c r="X723" s="128"/>
      <c r="Y723" s="128"/>
      <c r="Z723" s="128"/>
      <c r="AA723" s="128">
        <f t="shared" si="896"/>
        <v>145723443.94</v>
      </c>
      <c r="AB723" s="128">
        <f t="shared" si="827"/>
        <v>145723443.94</v>
      </c>
      <c r="AC723" s="175">
        <f t="shared" si="899"/>
        <v>1</v>
      </c>
    </row>
    <row r="724" spans="2:29" ht="29.25" hidden="1" thickBot="1" x14ac:dyDescent="0.25">
      <c r="B724" s="76" t="s">
        <v>1762</v>
      </c>
      <c r="C724" s="77" t="s">
        <v>1763</v>
      </c>
      <c r="D724" s="128"/>
      <c r="E724" s="188">
        <f>SUM('ADICIONES  2021'!C724:I724)</f>
        <v>892239699.46000004</v>
      </c>
      <c r="F724" s="128"/>
      <c r="G724" s="128"/>
      <c r="H724" s="128"/>
      <c r="I724" s="128"/>
      <c r="J724" s="128"/>
      <c r="K724" s="128">
        <f t="shared" si="826"/>
        <v>892239699.46000004</v>
      </c>
      <c r="L724" s="128"/>
      <c r="M724" s="128"/>
      <c r="N724" s="128"/>
      <c r="O724" s="128"/>
      <c r="P724" s="128"/>
      <c r="Q724" s="413"/>
      <c r="R724" s="128">
        <f t="shared" si="879"/>
        <v>0</v>
      </c>
      <c r="S724" s="128">
        <v>892239699.46000004</v>
      </c>
      <c r="T724" s="128"/>
      <c r="U724" s="128"/>
      <c r="V724" s="128"/>
      <c r="W724" s="128"/>
      <c r="X724" s="128"/>
      <c r="Y724" s="128"/>
      <c r="Z724" s="128"/>
      <c r="AA724" s="128">
        <f t="shared" si="896"/>
        <v>892239699.46000004</v>
      </c>
      <c r="AB724" s="128">
        <f t="shared" si="827"/>
        <v>892239699.46000004</v>
      </c>
      <c r="AC724" s="175">
        <f t="shared" si="899"/>
        <v>1</v>
      </c>
    </row>
    <row r="725" spans="2:29" ht="43.5" hidden="1" thickBot="1" x14ac:dyDescent="0.25">
      <c r="B725" s="76" t="s">
        <v>1764</v>
      </c>
      <c r="C725" s="77" t="s">
        <v>1765</v>
      </c>
      <c r="D725" s="128"/>
      <c r="E725" s="188">
        <f>SUM('ADICIONES  2021'!C725:I725)</f>
        <v>126666013</v>
      </c>
      <c r="F725" s="128"/>
      <c r="G725" s="128"/>
      <c r="H725" s="128"/>
      <c r="I725" s="128"/>
      <c r="J725" s="128"/>
      <c r="K725" s="128">
        <f t="shared" si="826"/>
        <v>126666013</v>
      </c>
      <c r="L725" s="128"/>
      <c r="M725" s="128"/>
      <c r="N725" s="128"/>
      <c r="O725" s="128"/>
      <c r="P725" s="128"/>
      <c r="Q725" s="413"/>
      <c r="R725" s="128">
        <f t="shared" si="879"/>
        <v>0</v>
      </c>
      <c r="S725" s="128">
        <v>0</v>
      </c>
      <c r="T725" s="128"/>
      <c r="U725" s="128"/>
      <c r="V725" s="128"/>
      <c r="W725" s="128"/>
      <c r="X725" s="128"/>
      <c r="Y725" s="128"/>
      <c r="Z725" s="128"/>
      <c r="AA725" s="128">
        <f t="shared" si="896"/>
        <v>0</v>
      </c>
      <c r="AB725" s="128">
        <f t="shared" si="827"/>
        <v>0</v>
      </c>
      <c r="AC725" s="175">
        <f t="shared" si="899"/>
        <v>0</v>
      </c>
    </row>
    <row r="726" spans="2:29" ht="43.5" hidden="1" thickBot="1" x14ac:dyDescent="0.25">
      <c r="B726" s="76" t="s">
        <v>1766</v>
      </c>
      <c r="C726" s="77" t="s">
        <v>1767</v>
      </c>
      <c r="D726" s="128"/>
      <c r="E726" s="188">
        <f>SUM('ADICIONES  2021'!C726:I726)</f>
        <v>3500000</v>
      </c>
      <c r="F726" s="128"/>
      <c r="G726" s="128"/>
      <c r="H726" s="128"/>
      <c r="I726" s="128"/>
      <c r="J726" s="128"/>
      <c r="K726" s="128">
        <f t="shared" si="826"/>
        <v>3500000</v>
      </c>
      <c r="L726" s="128"/>
      <c r="M726" s="128"/>
      <c r="N726" s="128"/>
      <c r="O726" s="128"/>
      <c r="P726" s="128"/>
      <c r="Q726" s="413"/>
      <c r="R726" s="128">
        <f t="shared" si="879"/>
        <v>0</v>
      </c>
      <c r="S726" s="128">
        <v>0</v>
      </c>
      <c r="T726" s="128"/>
      <c r="U726" s="128"/>
      <c r="V726" s="128"/>
      <c r="W726" s="128"/>
      <c r="X726" s="128"/>
      <c r="Y726" s="128"/>
      <c r="Z726" s="128"/>
      <c r="AA726" s="128">
        <f t="shared" si="896"/>
        <v>0</v>
      </c>
      <c r="AB726" s="128">
        <f t="shared" si="827"/>
        <v>0</v>
      </c>
      <c r="AC726" s="175">
        <f t="shared" si="899"/>
        <v>0</v>
      </c>
    </row>
    <row r="727" spans="2:29" ht="43.5" hidden="1" thickBot="1" x14ac:dyDescent="0.25">
      <c r="B727" s="76" t="s">
        <v>1768</v>
      </c>
      <c r="C727" s="77" t="s">
        <v>1769</v>
      </c>
      <c r="D727" s="128"/>
      <c r="E727" s="188">
        <f>SUM('ADICIONES  2021'!C727:I727)</f>
        <v>21000000</v>
      </c>
      <c r="F727" s="128"/>
      <c r="G727" s="128"/>
      <c r="H727" s="128"/>
      <c r="I727" s="128"/>
      <c r="J727" s="128"/>
      <c r="K727" s="128">
        <f t="shared" si="826"/>
        <v>21000000</v>
      </c>
      <c r="L727" s="128"/>
      <c r="M727" s="128"/>
      <c r="N727" s="128"/>
      <c r="O727" s="128"/>
      <c r="P727" s="128"/>
      <c r="Q727" s="413"/>
      <c r="R727" s="128">
        <f t="shared" si="879"/>
        <v>0</v>
      </c>
      <c r="S727" s="128">
        <v>0</v>
      </c>
      <c r="T727" s="128"/>
      <c r="U727" s="128"/>
      <c r="V727" s="128"/>
      <c r="W727" s="128"/>
      <c r="X727" s="128"/>
      <c r="Y727" s="128"/>
      <c r="Z727" s="128"/>
      <c r="AA727" s="128">
        <f t="shared" si="896"/>
        <v>0</v>
      </c>
      <c r="AB727" s="128">
        <f t="shared" si="827"/>
        <v>0</v>
      </c>
      <c r="AC727" s="175">
        <f t="shared" si="899"/>
        <v>0</v>
      </c>
    </row>
    <row r="728" spans="2:29" ht="29.25" hidden="1" thickBot="1" x14ac:dyDescent="0.25">
      <c r="B728" s="76" t="s">
        <v>1770</v>
      </c>
      <c r="C728" s="77" t="s">
        <v>1771</v>
      </c>
      <c r="D728" s="128"/>
      <c r="E728" s="188">
        <f>SUM('ADICIONES  2021'!C728:I728)</f>
        <v>1000000000</v>
      </c>
      <c r="F728" s="128"/>
      <c r="G728" s="128"/>
      <c r="H728" s="128"/>
      <c r="I728" s="128"/>
      <c r="J728" s="128"/>
      <c r="K728" s="128">
        <f t="shared" si="826"/>
        <v>1000000000</v>
      </c>
      <c r="L728" s="128"/>
      <c r="M728" s="128"/>
      <c r="N728" s="128"/>
      <c r="O728" s="128"/>
      <c r="P728" s="128"/>
      <c r="Q728" s="413"/>
      <c r="R728" s="128">
        <f t="shared" si="879"/>
        <v>0</v>
      </c>
      <c r="S728" s="128">
        <v>0</v>
      </c>
      <c r="T728" s="128"/>
      <c r="U728" s="128"/>
      <c r="V728" s="128"/>
      <c r="W728" s="128"/>
      <c r="X728" s="128"/>
      <c r="Y728" s="128"/>
      <c r="Z728" s="128"/>
      <c r="AA728" s="128">
        <f t="shared" si="896"/>
        <v>0</v>
      </c>
      <c r="AB728" s="128">
        <f t="shared" si="827"/>
        <v>0</v>
      </c>
      <c r="AC728" s="175">
        <f t="shared" si="899"/>
        <v>0</v>
      </c>
    </row>
    <row r="729" spans="2:29" ht="43.5" hidden="1" thickBot="1" x14ac:dyDescent="0.25">
      <c r="B729" s="76" t="s">
        <v>1772</v>
      </c>
      <c r="C729" s="77" t="s">
        <v>1773</v>
      </c>
      <c r="D729" s="128"/>
      <c r="E729" s="188">
        <f>SUM('ADICIONES  2021'!C729:I729)</f>
        <v>683484219.72000003</v>
      </c>
      <c r="F729" s="128"/>
      <c r="G729" s="128"/>
      <c r="H729" s="128"/>
      <c r="I729" s="128"/>
      <c r="J729" s="128"/>
      <c r="K729" s="128">
        <f t="shared" si="826"/>
        <v>683484219.72000003</v>
      </c>
      <c r="L729" s="128"/>
      <c r="M729" s="128"/>
      <c r="N729" s="128"/>
      <c r="O729" s="128"/>
      <c r="P729" s="128"/>
      <c r="Q729" s="413"/>
      <c r="R729" s="128">
        <f t="shared" si="879"/>
        <v>0</v>
      </c>
      <c r="S729" s="128">
        <v>683484219.72000003</v>
      </c>
      <c r="T729" s="128"/>
      <c r="U729" s="128"/>
      <c r="V729" s="128"/>
      <c r="W729" s="128"/>
      <c r="X729" s="128"/>
      <c r="Y729" s="128"/>
      <c r="Z729" s="128"/>
      <c r="AA729" s="128">
        <f t="shared" si="896"/>
        <v>683484219.72000003</v>
      </c>
      <c r="AB729" s="128">
        <f t="shared" si="827"/>
        <v>683484219.72000003</v>
      </c>
      <c r="AC729" s="175">
        <f t="shared" si="899"/>
        <v>1</v>
      </c>
    </row>
    <row r="730" spans="2:29" ht="29.25" hidden="1" thickBot="1" x14ac:dyDescent="0.25">
      <c r="B730" s="76" t="s">
        <v>1774</v>
      </c>
      <c r="C730" s="77" t="s">
        <v>1775</v>
      </c>
      <c r="D730" s="128"/>
      <c r="E730" s="188">
        <f>SUM('ADICIONES  2021'!C730:I730)</f>
        <v>472953841.06</v>
      </c>
      <c r="F730" s="128"/>
      <c r="G730" s="128"/>
      <c r="H730" s="128"/>
      <c r="I730" s="128"/>
      <c r="J730" s="128"/>
      <c r="K730" s="128">
        <f t="shared" si="826"/>
        <v>472953841.06</v>
      </c>
      <c r="L730" s="128"/>
      <c r="M730" s="128"/>
      <c r="N730" s="128"/>
      <c r="O730" s="128"/>
      <c r="P730" s="128"/>
      <c r="Q730" s="413"/>
      <c r="R730" s="128">
        <f t="shared" si="879"/>
        <v>0</v>
      </c>
      <c r="S730" s="128">
        <v>230298044.47999999</v>
      </c>
      <c r="T730" s="128"/>
      <c r="U730" s="128"/>
      <c r="V730" s="128"/>
      <c r="W730" s="128"/>
      <c r="X730" s="128"/>
      <c r="Y730" s="128"/>
      <c r="Z730" s="128"/>
      <c r="AA730" s="128">
        <f t="shared" si="896"/>
        <v>230298044.47999999</v>
      </c>
      <c r="AB730" s="128">
        <f t="shared" si="827"/>
        <v>230298044.47999999</v>
      </c>
      <c r="AC730" s="175">
        <f t="shared" si="899"/>
        <v>0.48693556217631789</v>
      </c>
    </row>
    <row r="731" spans="2:29" ht="57.75" hidden="1" thickBot="1" x14ac:dyDescent="0.25">
      <c r="B731" s="76" t="s">
        <v>1776</v>
      </c>
      <c r="C731" s="77" t="s">
        <v>1777</v>
      </c>
      <c r="D731" s="128"/>
      <c r="E731" s="188">
        <f>SUM('ADICIONES  2021'!C731:I731)</f>
        <v>1662330762.3800001</v>
      </c>
      <c r="F731" s="128"/>
      <c r="G731" s="128"/>
      <c r="H731" s="128"/>
      <c r="I731" s="128"/>
      <c r="J731" s="128"/>
      <c r="K731" s="128">
        <f t="shared" si="826"/>
        <v>1662330762.3800001</v>
      </c>
      <c r="L731" s="128"/>
      <c r="M731" s="128"/>
      <c r="N731" s="128"/>
      <c r="O731" s="128"/>
      <c r="P731" s="128"/>
      <c r="Q731" s="413"/>
      <c r="R731" s="128">
        <f t="shared" si="879"/>
        <v>0</v>
      </c>
      <c r="S731" s="128">
        <v>1105031342</v>
      </c>
      <c r="T731" s="128"/>
      <c r="U731" s="128"/>
      <c r="V731" s="128"/>
      <c r="W731" s="128"/>
      <c r="X731" s="128"/>
      <c r="Y731" s="128"/>
      <c r="Z731" s="128"/>
      <c r="AA731" s="128">
        <f t="shared" si="896"/>
        <v>1105031342</v>
      </c>
      <c r="AB731" s="128">
        <f t="shared" si="827"/>
        <v>1105031342</v>
      </c>
      <c r="AC731" s="175">
        <f t="shared" si="899"/>
        <v>0.66474817587920909</v>
      </c>
    </row>
    <row r="732" spans="2:29" ht="57.75" hidden="1" thickBot="1" x14ac:dyDescent="0.25">
      <c r="B732" s="76" t="s">
        <v>1778</v>
      </c>
      <c r="C732" s="77" t="s">
        <v>1779</v>
      </c>
      <c r="D732" s="128"/>
      <c r="E732" s="188">
        <f>SUM('ADICIONES  2021'!C732:I732)</f>
        <v>815428711.37</v>
      </c>
      <c r="F732" s="128"/>
      <c r="G732" s="128"/>
      <c r="H732" s="128"/>
      <c r="I732" s="128"/>
      <c r="J732" s="128"/>
      <c r="K732" s="128">
        <f t="shared" si="826"/>
        <v>815428711.37</v>
      </c>
      <c r="L732" s="128"/>
      <c r="M732" s="128"/>
      <c r="N732" s="128"/>
      <c r="O732" s="128"/>
      <c r="P732" s="128"/>
      <c r="Q732" s="413"/>
      <c r="R732" s="128">
        <f t="shared" si="879"/>
        <v>0</v>
      </c>
      <c r="S732" s="128">
        <v>476352429</v>
      </c>
      <c r="T732" s="128"/>
      <c r="U732" s="128"/>
      <c r="V732" s="128"/>
      <c r="W732" s="128"/>
      <c r="X732" s="128"/>
      <c r="Y732" s="128"/>
      <c r="Z732" s="128"/>
      <c r="AA732" s="128">
        <f t="shared" si="896"/>
        <v>476352429</v>
      </c>
      <c r="AB732" s="128">
        <f t="shared" si="827"/>
        <v>476352429</v>
      </c>
      <c r="AC732" s="175">
        <f t="shared" si="899"/>
        <v>0.58417421701975802</v>
      </c>
    </row>
    <row r="733" spans="2:29" ht="29.25" hidden="1" thickBot="1" x14ac:dyDescent="0.25">
      <c r="B733" s="76" t="s">
        <v>1780</v>
      </c>
      <c r="C733" s="77" t="s">
        <v>1781</v>
      </c>
      <c r="D733" s="128"/>
      <c r="E733" s="188">
        <f>SUM('ADICIONES  2021'!C733:I733)</f>
        <v>920627571.64999998</v>
      </c>
      <c r="F733" s="128"/>
      <c r="G733" s="128"/>
      <c r="H733" s="128"/>
      <c r="I733" s="128"/>
      <c r="J733" s="128"/>
      <c r="K733" s="128">
        <f t="shared" si="826"/>
        <v>920627571.64999998</v>
      </c>
      <c r="L733" s="128"/>
      <c r="M733" s="128"/>
      <c r="N733" s="128"/>
      <c r="O733" s="128"/>
      <c r="P733" s="128"/>
      <c r="Q733" s="413"/>
      <c r="R733" s="128">
        <f t="shared" si="879"/>
        <v>0</v>
      </c>
      <c r="S733" s="128">
        <v>920627571.64999998</v>
      </c>
      <c r="T733" s="128"/>
      <c r="U733" s="128"/>
      <c r="V733" s="128"/>
      <c r="W733" s="128"/>
      <c r="X733" s="128"/>
      <c r="Y733" s="128"/>
      <c r="Z733" s="128"/>
      <c r="AA733" s="128">
        <f t="shared" si="896"/>
        <v>920627571.64999998</v>
      </c>
      <c r="AB733" s="128">
        <f t="shared" si="827"/>
        <v>920627571.64999998</v>
      </c>
      <c r="AC733" s="175">
        <f t="shared" si="899"/>
        <v>1</v>
      </c>
    </row>
    <row r="734" spans="2:29" ht="43.5" hidden="1" thickBot="1" x14ac:dyDescent="0.25">
      <c r="B734" s="76" t="s">
        <v>1782</v>
      </c>
      <c r="C734" s="77" t="s">
        <v>1783</v>
      </c>
      <c r="D734" s="128"/>
      <c r="E734" s="188">
        <f>SUM('ADICIONES  2021'!C734:I734)</f>
        <v>1022061153.3200001</v>
      </c>
      <c r="F734" s="128"/>
      <c r="G734" s="128"/>
      <c r="H734" s="128"/>
      <c r="I734" s="128"/>
      <c r="J734" s="128"/>
      <c r="K734" s="128">
        <f t="shared" si="826"/>
        <v>1022061153.3200001</v>
      </c>
      <c r="L734" s="128"/>
      <c r="M734" s="128"/>
      <c r="N734" s="128"/>
      <c r="O734" s="128"/>
      <c r="P734" s="128"/>
      <c r="Q734" s="413"/>
      <c r="R734" s="128">
        <f t="shared" si="879"/>
        <v>0</v>
      </c>
      <c r="S734" s="128">
        <v>388337148.67000002</v>
      </c>
      <c r="T734" s="128"/>
      <c r="U734" s="128"/>
      <c r="V734" s="128"/>
      <c r="W734" s="128"/>
      <c r="X734" s="128"/>
      <c r="Y734" s="128"/>
      <c r="Z734" s="128"/>
      <c r="AA734" s="128">
        <f t="shared" si="896"/>
        <v>388337148.67000002</v>
      </c>
      <c r="AB734" s="128">
        <f t="shared" si="827"/>
        <v>388337148.67000002</v>
      </c>
      <c r="AC734" s="175">
        <f t="shared" si="899"/>
        <v>0.37995490525058084</v>
      </c>
    </row>
    <row r="735" spans="2:29" ht="29.25" hidden="1" thickBot="1" x14ac:dyDescent="0.25">
      <c r="B735" s="76" t="s">
        <v>1784</v>
      </c>
      <c r="C735" s="77" t="s">
        <v>1785</v>
      </c>
      <c r="D735" s="128"/>
      <c r="E735" s="188">
        <f>SUM('ADICIONES  2021'!C735:I735)</f>
        <v>383136341.55000001</v>
      </c>
      <c r="F735" s="128"/>
      <c r="G735" s="128"/>
      <c r="H735" s="128"/>
      <c r="I735" s="128"/>
      <c r="J735" s="128"/>
      <c r="K735" s="128">
        <f t="shared" si="826"/>
        <v>383136341.55000001</v>
      </c>
      <c r="L735" s="128"/>
      <c r="M735" s="128"/>
      <c r="N735" s="128"/>
      <c r="O735" s="128"/>
      <c r="P735" s="128"/>
      <c r="Q735" s="413"/>
      <c r="R735" s="128">
        <f t="shared" si="879"/>
        <v>0</v>
      </c>
      <c r="S735" s="128">
        <v>0</v>
      </c>
      <c r="T735" s="128"/>
      <c r="U735" s="128"/>
      <c r="V735" s="128"/>
      <c r="W735" s="128"/>
      <c r="X735" s="128"/>
      <c r="Y735" s="128"/>
      <c r="Z735" s="128"/>
      <c r="AA735" s="128">
        <f t="shared" si="896"/>
        <v>0</v>
      </c>
      <c r="AB735" s="128">
        <f t="shared" si="827"/>
        <v>0</v>
      </c>
      <c r="AC735" s="175">
        <f t="shared" si="899"/>
        <v>0</v>
      </c>
    </row>
    <row r="736" spans="2:29" ht="43.5" hidden="1" thickBot="1" x14ac:dyDescent="0.25">
      <c r="B736" s="76" t="s">
        <v>1786</v>
      </c>
      <c r="C736" s="77" t="s">
        <v>1787</v>
      </c>
      <c r="D736" s="128"/>
      <c r="E736" s="188">
        <f>SUM('ADICIONES  2021'!C736:I736)</f>
        <v>300000000</v>
      </c>
      <c r="F736" s="128"/>
      <c r="G736" s="128"/>
      <c r="H736" s="128"/>
      <c r="I736" s="128"/>
      <c r="J736" s="128"/>
      <c r="K736" s="128">
        <f t="shared" si="826"/>
        <v>300000000</v>
      </c>
      <c r="L736" s="128"/>
      <c r="M736" s="128"/>
      <c r="N736" s="128"/>
      <c r="O736" s="128"/>
      <c r="P736" s="128"/>
      <c r="Q736" s="413"/>
      <c r="R736" s="128">
        <f t="shared" si="879"/>
        <v>0</v>
      </c>
      <c r="S736" s="128">
        <v>300000000</v>
      </c>
      <c r="T736" s="128"/>
      <c r="U736" s="128"/>
      <c r="V736" s="128"/>
      <c r="W736" s="128"/>
      <c r="X736" s="128"/>
      <c r="Y736" s="128"/>
      <c r="Z736" s="128"/>
      <c r="AA736" s="128">
        <f t="shared" si="896"/>
        <v>300000000</v>
      </c>
      <c r="AB736" s="128">
        <f t="shared" si="827"/>
        <v>300000000</v>
      </c>
      <c r="AC736" s="175">
        <f t="shared" si="899"/>
        <v>1</v>
      </c>
    </row>
    <row r="737" spans="2:29" ht="43.5" hidden="1" thickBot="1" x14ac:dyDescent="0.25">
      <c r="B737" s="76" t="s">
        <v>1788</v>
      </c>
      <c r="C737" s="77" t="s">
        <v>1789</v>
      </c>
      <c r="D737" s="128"/>
      <c r="E737" s="188">
        <f>SUM('ADICIONES  2021'!C737:I737)</f>
        <v>848374298</v>
      </c>
      <c r="F737" s="128"/>
      <c r="G737" s="128"/>
      <c r="H737" s="128"/>
      <c r="I737" s="128"/>
      <c r="J737" s="128"/>
      <c r="K737" s="128">
        <f t="shared" si="826"/>
        <v>848374298</v>
      </c>
      <c r="L737" s="128"/>
      <c r="M737" s="128"/>
      <c r="N737" s="128"/>
      <c r="O737" s="128"/>
      <c r="P737" s="128"/>
      <c r="Q737" s="413"/>
      <c r="R737" s="128">
        <f t="shared" si="879"/>
        <v>0</v>
      </c>
      <c r="S737" s="128">
        <v>848374298</v>
      </c>
      <c r="T737" s="128"/>
      <c r="U737" s="128"/>
      <c r="V737" s="128"/>
      <c r="W737" s="128"/>
      <c r="X737" s="128"/>
      <c r="Y737" s="128"/>
      <c r="Z737" s="128"/>
      <c r="AA737" s="128">
        <f t="shared" si="896"/>
        <v>848374298</v>
      </c>
      <c r="AB737" s="128">
        <f t="shared" si="827"/>
        <v>848374298</v>
      </c>
      <c r="AC737" s="175">
        <f t="shared" si="899"/>
        <v>1</v>
      </c>
    </row>
    <row r="738" spans="2:29" ht="43.5" hidden="1" thickBot="1" x14ac:dyDescent="0.25">
      <c r="B738" s="76" t="s">
        <v>1790</v>
      </c>
      <c r="C738" s="77" t="s">
        <v>1791</v>
      </c>
      <c r="D738" s="128"/>
      <c r="E738" s="188">
        <f>SUM('ADICIONES  2021'!C738:I738)</f>
        <v>1062972259.02</v>
      </c>
      <c r="F738" s="128"/>
      <c r="G738" s="128"/>
      <c r="H738" s="128"/>
      <c r="I738" s="128"/>
      <c r="J738" s="128"/>
      <c r="K738" s="128">
        <f t="shared" si="826"/>
        <v>1062972259.02</v>
      </c>
      <c r="L738" s="128"/>
      <c r="M738" s="128"/>
      <c r="N738" s="128"/>
      <c r="O738" s="128"/>
      <c r="P738" s="128"/>
      <c r="Q738" s="413"/>
      <c r="R738" s="128">
        <f t="shared" si="879"/>
        <v>0</v>
      </c>
      <c r="S738" s="128">
        <v>1062972259.02</v>
      </c>
      <c r="T738" s="128"/>
      <c r="U738" s="128"/>
      <c r="V738" s="128"/>
      <c r="W738" s="128"/>
      <c r="X738" s="128"/>
      <c r="Y738" s="128"/>
      <c r="Z738" s="128"/>
      <c r="AA738" s="128">
        <f t="shared" si="896"/>
        <v>1062972259.02</v>
      </c>
      <c r="AB738" s="128">
        <f t="shared" si="827"/>
        <v>1062972259.02</v>
      </c>
      <c r="AC738" s="175">
        <f t="shared" si="899"/>
        <v>1</v>
      </c>
    </row>
    <row r="739" spans="2:29" ht="43.5" hidden="1" thickBot="1" x14ac:dyDescent="0.25">
      <c r="B739" s="76" t="s">
        <v>1792</v>
      </c>
      <c r="C739" s="77" t="s">
        <v>1793</v>
      </c>
      <c r="D739" s="128"/>
      <c r="E739" s="188">
        <f>SUM('ADICIONES  2021'!C739:I739)</f>
        <v>3983440755.0700002</v>
      </c>
      <c r="F739" s="128"/>
      <c r="G739" s="128"/>
      <c r="H739" s="128"/>
      <c r="I739" s="128"/>
      <c r="J739" s="128"/>
      <c r="K739" s="128">
        <f t="shared" si="826"/>
        <v>3983440755.0700002</v>
      </c>
      <c r="L739" s="128"/>
      <c r="M739" s="128"/>
      <c r="N739" s="128"/>
      <c r="O739" s="128"/>
      <c r="P739" s="128"/>
      <c r="Q739" s="413"/>
      <c r="R739" s="128">
        <f t="shared" si="879"/>
        <v>0</v>
      </c>
      <c r="S739" s="128">
        <v>3983440755.0700002</v>
      </c>
      <c r="T739" s="128"/>
      <c r="U739" s="128"/>
      <c r="V739" s="128"/>
      <c r="W739" s="128"/>
      <c r="X739" s="128"/>
      <c r="Y739" s="128"/>
      <c r="Z739" s="128"/>
      <c r="AA739" s="128">
        <f t="shared" si="896"/>
        <v>3983440755.0700002</v>
      </c>
      <c r="AB739" s="128">
        <f t="shared" si="827"/>
        <v>3983440755.0700002</v>
      </c>
      <c r="AC739" s="175">
        <f t="shared" si="899"/>
        <v>1</v>
      </c>
    </row>
    <row r="740" spans="2:29" ht="43.5" hidden="1" thickBot="1" x14ac:dyDescent="0.25">
      <c r="B740" s="76" t="s">
        <v>1794</v>
      </c>
      <c r="C740" s="77" t="s">
        <v>1795</v>
      </c>
      <c r="D740" s="128"/>
      <c r="E740" s="188">
        <f>SUM('ADICIONES  2021'!C740:I740)</f>
        <v>3146700090.6999998</v>
      </c>
      <c r="F740" s="128"/>
      <c r="G740" s="128"/>
      <c r="H740" s="128"/>
      <c r="I740" s="128"/>
      <c r="J740" s="128"/>
      <c r="K740" s="128">
        <f t="shared" si="826"/>
        <v>3146700090.6999998</v>
      </c>
      <c r="L740" s="128"/>
      <c r="M740" s="128"/>
      <c r="N740" s="128"/>
      <c r="O740" s="128"/>
      <c r="P740" s="128"/>
      <c r="Q740" s="413"/>
      <c r="R740" s="128">
        <f t="shared" si="879"/>
        <v>0</v>
      </c>
      <c r="S740" s="128">
        <v>3146700090.6999998</v>
      </c>
      <c r="T740" s="128"/>
      <c r="U740" s="128"/>
      <c r="V740" s="128"/>
      <c r="W740" s="128"/>
      <c r="X740" s="128"/>
      <c r="Y740" s="128"/>
      <c r="Z740" s="128"/>
      <c r="AA740" s="128">
        <f t="shared" si="896"/>
        <v>3146700090.6999998</v>
      </c>
      <c r="AB740" s="128">
        <f t="shared" si="827"/>
        <v>3146700090.6999998</v>
      </c>
      <c r="AC740" s="175">
        <f t="shared" si="899"/>
        <v>1</v>
      </c>
    </row>
    <row r="741" spans="2:29" ht="43.5" hidden="1" thickBot="1" x14ac:dyDescent="0.25">
      <c r="B741" s="76" t="s">
        <v>1796</v>
      </c>
      <c r="C741" s="77" t="s">
        <v>1797</v>
      </c>
      <c r="D741" s="128"/>
      <c r="E741" s="188">
        <f>SUM('ADICIONES  2021'!C741:I741)</f>
        <v>2369302779</v>
      </c>
      <c r="F741" s="128"/>
      <c r="G741" s="128"/>
      <c r="H741" s="128"/>
      <c r="I741" s="128"/>
      <c r="J741" s="128"/>
      <c r="K741" s="128">
        <f t="shared" si="826"/>
        <v>2369302779</v>
      </c>
      <c r="L741" s="128"/>
      <c r="M741" s="128"/>
      <c r="N741" s="128"/>
      <c r="O741" s="128"/>
      <c r="P741" s="128"/>
      <c r="Q741" s="413"/>
      <c r="R741" s="128">
        <f t="shared" si="879"/>
        <v>0</v>
      </c>
      <c r="S741" s="128">
        <v>2369302779</v>
      </c>
      <c r="T741" s="128"/>
      <c r="U741" s="128"/>
      <c r="V741" s="128"/>
      <c r="W741" s="128"/>
      <c r="X741" s="128"/>
      <c r="Y741" s="128"/>
      <c r="Z741" s="128"/>
      <c r="AA741" s="128">
        <f t="shared" si="896"/>
        <v>2369302779</v>
      </c>
      <c r="AB741" s="128">
        <f t="shared" si="827"/>
        <v>2369302779</v>
      </c>
      <c r="AC741" s="175">
        <f t="shared" si="899"/>
        <v>1</v>
      </c>
    </row>
    <row r="742" spans="2:29" ht="43.5" hidden="1" thickBot="1" x14ac:dyDescent="0.25">
      <c r="B742" s="76" t="s">
        <v>1798</v>
      </c>
      <c r="C742" s="77" t="s">
        <v>1799</v>
      </c>
      <c r="D742" s="128"/>
      <c r="E742" s="188">
        <f>SUM('ADICIONES  2021'!C742:I742)</f>
        <v>576779027.73000002</v>
      </c>
      <c r="F742" s="128"/>
      <c r="G742" s="128"/>
      <c r="H742" s="128"/>
      <c r="I742" s="128"/>
      <c r="J742" s="128"/>
      <c r="K742" s="128">
        <f t="shared" si="826"/>
        <v>576779027.73000002</v>
      </c>
      <c r="L742" s="128"/>
      <c r="M742" s="128"/>
      <c r="N742" s="128"/>
      <c r="O742" s="128"/>
      <c r="P742" s="128"/>
      <c r="Q742" s="413"/>
      <c r="R742" s="128">
        <f t="shared" si="879"/>
        <v>0</v>
      </c>
      <c r="S742" s="128">
        <v>576779027.73000002</v>
      </c>
      <c r="T742" s="128"/>
      <c r="U742" s="128"/>
      <c r="V742" s="128"/>
      <c r="W742" s="128"/>
      <c r="X742" s="128"/>
      <c r="Y742" s="128"/>
      <c r="Z742" s="128"/>
      <c r="AA742" s="128">
        <f t="shared" si="896"/>
        <v>576779027.73000002</v>
      </c>
      <c r="AB742" s="128">
        <f t="shared" si="827"/>
        <v>576779027.73000002</v>
      </c>
      <c r="AC742" s="175">
        <f t="shared" si="899"/>
        <v>1</v>
      </c>
    </row>
    <row r="743" spans="2:29" ht="43.5" hidden="1" thickBot="1" x14ac:dyDescent="0.25">
      <c r="B743" s="76" t="s">
        <v>1800</v>
      </c>
      <c r="C743" s="77" t="s">
        <v>1801</v>
      </c>
      <c r="D743" s="128"/>
      <c r="E743" s="188">
        <f>SUM('ADICIONES  2021'!C743:I743)</f>
        <v>108000000</v>
      </c>
      <c r="F743" s="128"/>
      <c r="G743" s="128"/>
      <c r="H743" s="128"/>
      <c r="I743" s="128"/>
      <c r="J743" s="128"/>
      <c r="K743" s="128">
        <f t="shared" si="826"/>
        <v>108000000</v>
      </c>
      <c r="L743" s="128"/>
      <c r="M743" s="128"/>
      <c r="N743" s="128"/>
      <c r="O743" s="128"/>
      <c r="P743" s="128"/>
      <c r="Q743" s="413"/>
      <c r="R743" s="128">
        <f t="shared" si="879"/>
        <v>0</v>
      </c>
      <c r="S743" s="128">
        <v>108000000</v>
      </c>
      <c r="T743" s="128"/>
      <c r="U743" s="128"/>
      <c r="V743" s="128"/>
      <c r="W743" s="128"/>
      <c r="X743" s="128"/>
      <c r="Y743" s="128"/>
      <c r="Z743" s="128"/>
      <c r="AA743" s="128">
        <f t="shared" si="896"/>
        <v>108000000</v>
      </c>
      <c r="AB743" s="128">
        <f t="shared" si="827"/>
        <v>108000000</v>
      </c>
      <c r="AC743" s="175">
        <f t="shared" si="899"/>
        <v>1</v>
      </c>
    </row>
    <row r="744" spans="2:29" ht="43.5" hidden="1" thickBot="1" x14ac:dyDescent="0.25">
      <c r="B744" s="76" t="s">
        <v>1802</v>
      </c>
      <c r="C744" s="77" t="s">
        <v>1803</v>
      </c>
      <c r="D744" s="128"/>
      <c r="E744" s="188">
        <f>SUM('ADICIONES  2021'!C744:I744)</f>
        <v>896854534.5</v>
      </c>
      <c r="F744" s="128"/>
      <c r="G744" s="128"/>
      <c r="H744" s="128"/>
      <c r="I744" s="128"/>
      <c r="J744" s="128"/>
      <c r="K744" s="128">
        <f t="shared" si="826"/>
        <v>896854534.5</v>
      </c>
      <c r="L744" s="128"/>
      <c r="M744" s="128"/>
      <c r="N744" s="128"/>
      <c r="O744" s="128"/>
      <c r="P744" s="128"/>
      <c r="Q744" s="413"/>
      <c r="R744" s="128">
        <f t="shared" si="879"/>
        <v>0</v>
      </c>
      <c r="S744" s="128">
        <v>896854534.5</v>
      </c>
      <c r="T744" s="128"/>
      <c r="U744" s="128"/>
      <c r="V744" s="128"/>
      <c r="W744" s="128"/>
      <c r="X744" s="128"/>
      <c r="Y744" s="128"/>
      <c r="Z744" s="128"/>
      <c r="AA744" s="128">
        <f t="shared" si="896"/>
        <v>896854534.5</v>
      </c>
      <c r="AB744" s="128">
        <f t="shared" si="827"/>
        <v>896854534.5</v>
      </c>
      <c r="AC744" s="175">
        <f t="shared" si="899"/>
        <v>1</v>
      </c>
    </row>
    <row r="745" spans="2:29" ht="43.5" hidden="1" thickBot="1" x14ac:dyDescent="0.25">
      <c r="B745" s="76" t="s">
        <v>1804</v>
      </c>
      <c r="C745" s="77" t="s">
        <v>1805</v>
      </c>
      <c r="D745" s="128"/>
      <c r="E745" s="188">
        <f>SUM('ADICIONES  2021'!C745:I745)</f>
        <v>3884758760.5799999</v>
      </c>
      <c r="F745" s="128"/>
      <c r="G745" s="128"/>
      <c r="H745" s="128"/>
      <c r="I745" s="128"/>
      <c r="J745" s="128"/>
      <c r="K745" s="128">
        <f t="shared" si="826"/>
        <v>3884758760.5799999</v>
      </c>
      <c r="L745" s="128"/>
      <c r="M745" s="128"/>
      <c r="N745" s="128"/>
      <c r="O745" s="128"/>
      <c r="P745" s="128"/>
      <c r="Q745" s="413"/>
      <c r="R745" s="128">
        <f t="shared" si="879"/>
        <v>0</v>
      </c>
      <c r="S745" s="128">
        <v>3884758760.5799999</v>
      </c>
      <c r="T745" s="128"/>
      <c r="U745" s="128"/>
      <c r="V745" s="128"/>
      <c r="W745" s="128"/>
      <c r="X745" s="128"/>
      <c r="Y745" s="128"/>
      <c r="Z745" s="128"/>
      <c r="AA745" s="128">
        <f t="shared" si="896"/>
        <v>3884758760.5799999</v>
      </c>
      <c r="AB745" s="128">
        <f t="shared" si="827"/>
        <v>3884758760.5799999</v>
      </c>
      <c r="AC745" s="175">
        <f t="shared" si="899"/>
        <v>1</v>
      </c>
    </row>
    <row r="746" spans="2:29" ht="43.5" hidden="1" thickBot="1" x14ac:dyDescent="0.25">
      <c r="B746" s="76" t="s">
        <v>1806</v>
      </c>
      <c r="C746" s="77" t="s">
        <v>1807</v>
      </c>
      <c r="D746" s="128"/>
      <c r="E746" s="188">
        <f>SUM('ADICIONES  2021'!C746:I746)</f>
        <v>386354618.76999998</v>
      </c>
      <c r="F746" s="128"/>
      <c r="G746" s="128"/>
      <c r="H746" s="128"/>
      <c r="I746" s="128"/>
      <c r="J746" s="128"/>
      <c r="K746" s="128">
        <f t="shared" si="826"/>
        <v>386354618.76999998</v>
      </c>
      <c r="L746" s="128"/>
      <c r="M746" s="128"/>
      <c r="N746" s="128"/>
      <c r="O746" s="128"/>
      <c r="P746" s="128"/>
      <c r="Q746" s="413"/>
      <c r="R746" s="128">
        <f t="shared" si="879"/>
        <v>0</v>
      </c>
      <c r="S746" s="128">
        <v>386354618.76999998</v>
      </c>
      <c r="T746" s="128"/>
      <c r="U746" s="128"/>
      <c r="V746" s="128"/>
      <c r="W746" s="128"/>
      <c r="X746" s="128"/>
      <c r="Y746" s="128"/>
      <c r="Z746" s="128"/>
      <c r="AA746" s="128">
        <f t="shared" si="896"/>
        <v>386354618.76999998</v>
      </c>
      <c r="AB746" s="128">
        <f t="shared" si="827"/>
        <v>386354618.76999998</v>
      </c>
      <c r="AC746" s="175">
        <f t="shared" si="899"/>
        <v>1</v>
      </c>
    </row>
    <row r="747" spans="2:29" ht="43.5" hidden="1" thickBot="1" x14ac:dyDescent="0.25">
      <c r="B747" s="76" t="s">
        <v>1808</v>
      </c>
      <c r="C747" s="77" t="s">
        <v>1809</v>
      </c>
      <c r="D747" s="128"/>
      <c r="E747" s="188">
        <f>SUM('ADICIONES  2021'!C747:I747)</f>
        <v>2626193816.73</v>
      </c>
      <c r="F747" s="128"/>
      <c r="G747" s="128"/>
      <c r="H747" s="128"/>
      <c r="I747" s="128"/>
      <c r="J747" s="128"/>
      <c r="K747" s="128">
        <f t="shared" si="826"/>
        <v>2626193816.73</v>
      </c>
      <c r="L747" s="128"/>
      <c r="M747" s="128"/>
      <c r="N747" s="128"/>
      <c r="O747" s="128"/>
      <c r="P747" s="128"/>
      <c r="Q747" s="413"/>
      <c r="R747" s="128">
        <f t="shared" si="879"/>
        <v>0</v>
      </c>
      <c r="S747" s="128">
        <v>2626193816.73</v>
      </c>
      <c r="T747" s="128"/>
      <c r="U747" s="128"/>
      <c r="V747" s="128"/>
      <c r="W747" s="128"/>
      <c r="X747" s="128"/>
      <c r="Y747" s="128"/>
      <c r="Z747" s="128"/>
      <c r="AA747" s="128">
        <f t="shared" si="896"/>
        <v>2626193816.73</v>
      </c>
      <c r="AB747" s="128">
        <f t="shared" si="827"/>
        <v>2626193816.73</v>
      </c>
      <c r="AC747" s="175">
        <f t="shared" si="899"/>
        <v>1</v>
      </c>
    </row>
    <row r="748" spans="2:29" ht="43.5" hidden="1" thickBot="1" x14ac:dyDescent="0.25">
      <c r="B748" s="76" t="s">
        <v>1810</v>
      </c>
      <c r="C748" s="77" t="s">
        <v>1811</v>
      </c>
      <c r="D748" s="128"/>
      <c r="E748" s="188">
        <f>SUM('ADICIONES  2021'!C748:I748)</f>
        <v>60263011.100000001</v>
      </c>
      <c r="F748" s="128"/>
      <c r="G748" s="128"/>
      <c r="H748" s="128"/>
      <c r="I748" s="128"/>
      <c r="J748" s="128"/>
      <c r="K748" s="128">
        <f t="shared" si="826"/>
        <v>60263011.100000001</v>
      </c>
      <c r="L748" s="128"/>
      <c r="M748" s="128"/>
      <c r="N748" s="128"/>
      <c r="O748" s="128"/>
      <c r="P748" s="128"/>
      <c r="Q748" s="413"/>
      <c r="R748" s="128">
        <f t="shared" si="879"/>
        <v>0</v>
      </c>
      <c r="S748" s="128">
        <v>60263011.100000001</v>
      </c>
      <c r="T748" s="128"/>
      <c r="U748" s="128"/>
      <c r="V748" s="128"/>
      <c r="W748" s="128"/>
      <c r="X748" s="128"/>
      <c r="Y748" s="128"/>
      <c r="Z748" s="128"/>
      <c r="AA748" s="128">
        <f t="shared" si="896"/>
        <v>60263011.100000001</v>
      </c>
      <c r="AB748" s="128">
        <f t="shared" si="827"/>
        <v>60263011.100000001</v>
      </c>
      <c r="AC748" s="175">
        <f t="shared" si="899"/>
        <v>1</v>
      </c>
    </row>
    <row r="749" spans="2:29" ht="43.5" hidden="1" thickBot="1" x14ac:dyDescent="0.25">
      <c r="B749" s="76" t="s">
        <v>1812</v>
      </c>
      <c r="C749" s="77" t="s">
        <v>1813</v>
      </c>
      <c r="D749" s="128"/>
      <c r="E749" s="188">
        <f>SUM('ADICIONES  2021'!C749:I749)</f>
        <v>454531370</v>
      </c>
      <c r="F749" s="128"/>
      <c r="G749" s="128"/>
      <c r="H749" s="128"/>
      <c r="I749" s="128"/>
      <c r="J749" s="128"/>
      <c r="K749" s="128">
        <f t="shared" si="826"/>
        <v>454531370</v>
      </c>
      <c r="L749" s="128"/>
      <c r="M749" s="128"/>
      <c r="N749" s="128"/>
      <c r="O749" s="128"/>
      <c r="P749" s="128"/>
      <c r="Q749" s="413"/>
      <c r="R749" s="128">
        <f t="shared" si="879"/>
        <v>0</v>
      </c>
      <c r="S749" s="128">
        <v>454531370</v>
      </c>
      <c r="T749" s="128"/>
      <c r="U749" s="128"/>
      <c r="V749" s="128"/>
      <c r="W749" s="128"/>
      <c r="X749" s="128"/>
      <c r="Y749" s="128"/>
      <c r="Z749" s="128"/>
      <c r="AA749" s="128">
        <f t="shared" si="896"/>
        <v>454531370</v>
      </c>
      <c r="AB749" s="128">
        <f t="shared" si="827"/>
        <v>454531370</v>
      </c>
      <c r="AC749" s="175">
        <f t="shared" si="899"/>
        <v>1</v>
      </c>
    </row>
    <row r="750" spans="2:29" ht="43.5" hidden="1" thickBot="1" x14ac:dyDescent="0.25">
      <c r="B750" s="76" t="s">
        <v>1814</v>
      </c>
      <c r="C750" s="77" t="s">
        <v>1815</v>
      </c>
      <c r="D750" s="128"/>
      <c r="E750" s="188">
        <f>SUM('ADICIONES  2021'!C750:I750)</f>
        <v>881070078.24000001</v>
      </c>
      <c r="F750" s="128"/>
      <c r="G750" s="128"/>
      <c r="H750" s="128"/>
      <c r="I750" s="128"/>
      <c r="J750" s="128"/>
      <c r="K750" s="128">
        <f t="shared" si="826"/>
        <v>881070078.24000001</v>
      </c>
      <c r="L750" s="128"/>
      <c r="M750" s="128"/>
      <c r="N750" s="128"/>
      <c r="O750" s="128"/>
      <c r="P750" s="128"/>
      <c r="Q750" s="413"/>
      <c r="R750" s="128">
        <f t="shared" si="879"/>
        <v>0</v>
      </c>
      <c r="S750" s="128">
        <v>881070078.24000001</v>
      </c>
      <c r="T750" s="128"/>
      <c r="U750" s="128"/>
      <c r="V750" s="128"/>
      <c r="W750" s="128"/>
      <c r="X750" s="128"/>
      <c r="Y750" s="128"/>
      <c r="Z750" s="128"/>
      <c r="AA750" s="128">
        <f t="shared" si="896"/>
        <v>881070078.24000001</v>
      </c>
      <c r="AB750" s="128">
        <f t="shared" si="827"/>
        <v>881070078.24000001</v>
      </c>
      <c r="AC750" s="175">
        <f t="shared" si="899"/>
        <v>1</v>
      </c>
    </row>
    <row r="751" spans="2:29" ht="43.5" hidden="1" thickBot="1" x14ac:dyDescent="0.25">
      <c r="B751" s="76" t="s">
        <v>1816</v>
      </c>
      <c r="C751" s="77" t="s">
        <v>1817</v>
      </c>
      <c r="D751" s="128"/>
      <c r="E751" s="188">
        <f>SUM('ADICIONES  2021'!C751:I751)</f>
        <v>361244499.5</v>
      </c>
      <c r="F751" s="128"/>
      <c r="G751" s="128"/>
      <c r="H751" s="128"/>
      <c r="I751" s="128"/>
      <c r="J751" s="128"/>
      <c r="K751" s="128">
        <f t="shared" si="826"/>
        <v>361244499.5</v>
      </c>
      <c r="L751" s="128"/>
      <c r="M751" s="128"/>
      <c r="N751" s="128"/>
      <c r="O751" s="128"/>
      <c r="P751" s="128"/>
      <c r="Q751" s="413"/>
      <c r="R751" s="128">
        <f t="shared" si="879"/>
        <v>0</v>
      </c>
      <c r="S751" s="128">
        <v>361244499.5</v>
      </c>
      <c r="T751" s="128"/>
      <c r="U751" s="128"/>
      <c r="V751" s="128"/>
      <c r="W751" s="128"/>
      <c r="X751" s="128"/>
      <c r="Y751" s="128"/>
      <c r="Z751" s="128"/>
      <c r="AA751" s="128">
        <f t="shared" si="896"/>
        <v>361244499.5</v>
      </c>
      <c r="AB751" s="128">
        <f t="shared" si="827"/>
        <v>361244499.5</v>
      </c>
      <c r="AC751" s="175">
        <f t="shared" si="899"/>
        <v>1</v>
      </c>
    </row>
    <row r="752" spans="2:29" ht="43.5" hidden="1" thickBot="1" x14ac:dyDescent="0.25">
      <c r="B752" s="76" t="s">
        <v>1818</v>
      </c>
      <c r="C752" s="77" t="s">
        <v>1819</v>
      </c>
      <c r="D752" s="128"/>
      <c r="E752" s="188">
        <f>SUM('ADICIONES  2021'!C752:I752)</f>
        <v>245208094.47999999</v>
      </c>
      <c r="F752" s="128"/>
      <c r="G752" s="128"/>
      <c r="H752" s="128"/>
      <c r="I752" s="128"/>
      <c r="J752" s="128"/>
      <c r="K752" s="128">
        <f t="shared" si="826"/>
        <v>245208094.47999999</v>
      </c>
      <c r="L752" s="128"/>
      <c r="M752" s="128"/>
      <c r="N752" s="128"/>
      <c r="O752" s="128"/>
      <c r="P752" s="128"/>
      <c r="Q752" s="413"/>
      <c r="R752" s="128">
        <f t="shared" si="879"/>
        <v>0</v>
      </c>
      <c r="S752" s="128">
        <v>245208094.47999999</v>
      </c>
      <c r="T752" s="128"/>
      <c r="U752" s="128"/>
      <c r="V752" s="128"/>
      <c r="W752" s="128"/>
      <c r="X752" s="128"/>
      <c r="Y752" s="128"/>
      <c r="Z752" s="128"/>
      <c r="AA752" s="128">
        <f t="shared" si="896"/>
        <v>245208094.47999999</v>
      </c>
      <c r="AB752" s="128">
        <f t="shared" si="827"/>
        <v>245208094.47999999</v>
      </c>
      <c r="AC752" s="175">
        <f t="shared" si="899"/>
        <v>1</v>
      </c>
    </row>
    <row r="753" spans="1:29" ht="57.75" hidden="1" thickBot="1" x14ac:dyDescent="0.25">
      <c r="B753" s="76" t="s">
        <v>1820</v>
      </c>
      <c r="C753" s="77" t="s">
        <v>1821</v>
      </c>
      <c r="D753" s="128"/>
      <c r="E753" s="188">
        <f>SUM('ADICIONES  2021'!C753:I753)</f>
        <v>126838929.55</v>
      </c>
      <c r="F753" s="128"/>
      <c r="G753" s="128"/>
      <c r="H753" s="128"/>
      <c r="I753" s="128"/>
      <c r="J753" s="128"/>
      <c r="K753" s="128">
        <f t="shared" si="826"/>
        <v>126838929.55</v>
      </c>
      <c r="L753" s="128"/>
      <c r="M753" s="128"/>
      <c r="N753" s="128"/>
      <c r="O753" s="128"/>
      <c r="P753" s="128"/>
      <c r="Q753" s="413"/>
      <c r="R753" s="128">
        <f t="shared" si="879"/>
        <v>0</v>
      </c>
      <c r="S753" s="128">
        <v>126838929.55</v>
      </c>
      <c r="T753" s="128"/>
      <c r="U753" s="128"/>
      <c r="V753" s="128"/>
      <c r="W753" s="128"/>
      <c r="X753" s="128"/>
      <c r="Y753" s="128"/>
      <c r="Z753" s="128"/>
      <c r="AA753" s="128">
        <f t="shared" si="896"/>
        <v>126838929.55</v>
      </c>
      <c r="AB753" s="128">
        <f t="shared" si="827"/>
        <v>126838929.55</v>
      </c>
      <c r="AC753" s="175">
        <f t="shared" si="899"/>
        <v>1</v>
      </c>
    </row>
    <row r="754" spans="1:29" ht="43.5" hidden="1" thickBot="1" x14ac:dyDescent="0.25">
      <c r="B754" s="76" t="s">
        <v>1822</v>
      </c>
      <c r="C754" s="77" t="s">
        <v>1823</v>
      </c>
      <c r="D754" s="128"/>
      <c r="E754" s="188">
        <f>SUM('ADICIONES  2021'!C754:I754)</f>
        <v>1654927335.5699999</v>
      </c>
      <c r="F754" s="128"/>
      <c r="G754" s="128"/>
      <c r="H754" s="128"/>
      <c r="I754" s="128"/>
      <c r="J754" s="128"/>
      <c r="K754" s="128">
        <f t="shared" si="826"/>
        <v>1654927335.5699999</v>
      </c>
      <c r="L754" s="128"/>
      <c r="M754" s="128"/>
      <c r="N754" s="128"/>
      <c r="O754" s="128"/>
      <c r="P754" s="128"/>
      <c r="Q754" s="413"/>
      <c r="R754" s="128">
        <f t="shared" si="879"/>
        <v>0</v>
      </c>
      <c r="S754" s="128">
        <v>1654927335.5699999</v>
      </c>
      <c r="T754" s="128"/>
      <c r="U754" s="128"/>
      <c r="V754" s="128"/>
      <c r="W754" s="128"/>
      <c r="X754" s="128"/>
      <c r="Y754" s="128"/>
      <c r="Z754" s="128"/>
      <c r="AA754" s="128">
        <f t="shared" si="896"/>
        <v>1654927335.5699999</v>
      </c>
      <c r="AB754" s="128">
        <f t="shared" si="827"/>
        <v>1654927335.5699999</v>
      </c>
      <c r="AC754" s="175">
        <f t="shared" si="899"/>
        <v>1</v>
      </c>
    </row>
    <row r="755" spans="1:29" ht="43.5" hidden="1" thickBot="1" x14ac:dyDescent="0.25">
      <c r="B755" s="76" t="s">
        <v>1824</v>
      </c>
      <c r="C755" s="77" t="s">
        <v>1825</v>
      </c>
      <c r="D755" s="128"/>
      <c r="E755" s="188">
        <f>SUM('ADICIONES  2021'!C755:I755)</f>
        <v>836739879.01999998</v>
      </c>
      <c r="F755" s="128"/>
      <c r="G755" s="128"/>
      <c r="H755" s="128"/>
      <c r="I755" s="128"/>
      <c r="J755" s="128"/>
      <c r="K755" s="128">
        <f t="shared" si="826"/>
        <v>836739879.01999998</v>
      </c>
      <c r="L755" s="128"/>
      <c r="M755" s="128"/>
      <c r="N755" s="128"/>
      <c r="O755" s="128"/>
      <c r="P755" s="128"/>
      <c r="Q755" s="413"/>
      <c r="R755" s="128">
        <f t="shared" si="879"/>
        <v>0</v>
      </c>
      <c r="S755" s="128">
        <v>836739879.01999998</v>
      </c>
      <c r="T755" s="128"/>
      <c r="U755" s="128"/>
      <c r="V755" s="128"/>
      <c r="W755" s="128"/>
      <c r="X755" s="128"/>
      <c r="Y755" s="128"/>
      <c r="Z755" s="128"/>
      <c r="AA755" s="128">
        <f t="shared" si="896"/>
        <v>836739879.01999998</v>
      </c>
      <c r="AB755" s="128">
        <f t="shared" si="827"/>
        <v>836739879.01999998</v>
      </c>
      <c r="AC755" s="175">
        <f t="shared" si="899"/>
        <v>1</v>
      </c>
    </row>
    <row r="756" spans="1:29" ht="29.25" hidden="1" thickBot="1" x14ac:dyDescent="0.25">
      <c r="B756" s="76" t="s">
        <v>1826</v>
      </c>
      <c r="C756" s="77" t="s">
        <v>1827</v>
      </c>
      <c r="D756" s="128"/>
      <c r="E756" s="188">
        <f>SUM('ADICIONES  2021'!C756:I756)</f>
        <v>756285670.79999995</v>
      </c>
      <c r="F756" s="128"/>
      <c r="G756" s="128"/>
      <c r="H756" s="128"/>
      <c r="I756" s="128"/>
      <c r="J756" s="128"/>
      <c r="K756" s="128">
        <f t="shared" si="826"/>
        <v>756285670.79999995</v>
      </c>
      <c r="L756" s="128"/>
      <c r="M756" s="128"/>
      <c r="N756" s="128"/>
      <c r="O756" s="128"/>
      <c r="P756" s="128"/>
      <c r="Q756" s="413"/>
      <c r="R756" s="128">
        <f t="shared" si="879"/>
        <v>0</v>
      </c>
      <c r="S756" s="128">
        <v>756285670.79999995</v>
      </c>
      <c r="T756" s="128"/>
      <c r="U756" s="128"/>
      <c r="V756" s="128"/>
      <c r="W756" s="128"/>
      <c r="X756" s="128"/>
      <c r="Y756" s="128"/>
      <c r="Z756" s="128"/>
      <c r="AA756" s="128">
        <f t="shared" si="896"/>
        <v>756285670.79999995</v>
      </c>
      <c r="AB756" s="128">
        <f t="shared" si="827"/>
        <v>756285670.79999995</v>
      </c>
      <c r="AC756" s="175">
        <f t="shared" si="899"/>
        <v>1</v>
      </c>
    </row>
    <row r="757" spans="1:29" ht="43.5" hidden="1" thickBot="1" x14ac:dyDescent="0.25">
      <c r="B757" s="76" t="s">
        <v>1828</v>
      </c>
      <c r="C757" s="77" t="s">
        <v>1829</v>
      </c>
      <c r="D757" s="128"/>
      <c r="E757" s="188">
        <f>SUM('ADICIONES  2021'!C757:I757)</f>
        <v>15000000000</v>
      </c>
      <c r="F757" s="128"/>
      <c r="G757" s="128"/>
      <c r="H757" s="128"/>
      <c r="I757" s="128"/>
      <c r="J757" s="128"/>
      <c r="K757" s="128">
        <f t="shared" si="826"/>
        <v>15000000000</v>
      </c>
      <c r="L757" s="128"/>
      <c r="M757" s="128"/>
      <c r="N757" s="128"/>
      <c r="O757" s="128"/>
      <c r="P757" s="128"/>
      <c r="Q757" s="413"/>
      <c r="R757" s="128">
        <f t="shared" si="879"/>
        <v>0</v>
      </c>
      <c r="S757" s="128">
        <v>0</v>
      </c>
      <c r="T757" s="128"/>
      <c r="U757" s="128"/>
      <c r="V757" s="128"/>
      <c r="W757" s="128"/>
      <c r="X757" s="128"/>
      <c r="Y757" s="128"/>
      <c r="Z757" s="128"/>
      <c r="AA757" s="128">
        <f t="shared" si="896"/>
        <v>0</v>
      </c>
      <c r="AB757" s="128">
        <f t="shared" si="827"/>
        <v>0</v>
      </c>
      <c r="AC757" s="175">
        <f t="shared" si="899"/>
        <v>0</v>
      </c>
    </row>
    <row r="758" spans="1:29" ht="29.25" hidden="1" thickBot="1" x14ac:dyDescent="0.25">
      <c r="B758" s="76" t="s">
        <v>1830</v>
      </c>
      <c r="C758" s="77" t="s">
        <v>1831</v>
      </c>
      <c r="D758" s="128"/>
      <c r="E758" s="188">
        <f>SUM('ADICIONES  2021'!C758:I758)</f>
        <v>999896762</v>
      </c>
      <c r="F758" s="128"/>
      <c r="G758" s="128"/>
      <c r="H758" s="128"/>
      <c r="I758" s="128"/>
      <c r="J758" s="128"/>
      <c r="K758" s="128">
        <f t="shared" si="826"/>
        <v>999896762</v>
      </c>
      <c r="L758" s="128"/>
      <c r="M758" s="128"/>
      <c r="N758" s="128"/>
      <c r="O758" s="128"/>
      <c r="P758" s="128"/>
      <c r="Q758" s="413"/>
      <c r="R758" s="128">
        <f t="shared" si="879"/>
        <v>0</v>
      </c>
      <c r="S758" s="128">
        <v>0</v>
      </c>
      <c r="T758" s="128"/>
      <c r="U758" s="128"/>
      <c r="V758" s="128"/>
      <c r="W758" s="128"/>
      <c r="X758" s="128"/>
      <c r="Y758" s="128"/>
      <c r="Z758" s="128"/>
      <c r="AA758" s="128">
        <f t="shared" si="896"/>
        <v>0</v>
      </c>
      <c r="AB758" s="128">
        <f t="shared" si="827"/>
        <v>0</v>
      </c>
      <c r="AC758" s="175">
        <f t="shared" si="899"/>
        <v>0</v>
      </c>
    </row>
    <row r="759" spans="1:29" ht="57.75" hidden="1" thickBot="1" x14ac:dyDescent="0.25">
      <c r="B759" s="76" t="s">
        <v>1832</v>
      </c>
      <c r="C759" s="77" t="s">
        <v>1833</v>
      </c>
      <c r="D759" s="128"/>
      <c r="E759" s="188">
        <f>SUM('ADICIONES  2021'!C759:I759)</f>
        <v>324093620.44999999</v>
      </c>
      <c r="F759" s="128"/>
      <c r="G759" s="128"/>
      <c r="H759" s="128"/>
      <c r="I759" s="128"/>
      <c r="J759" s="128"/>
      <c r="K759" s="128">
        <f t="shared" si="826"/>
        <v>324093620.44999999</v>
      </c>
      <c r="L759" s="128"/>
      <c r="M759" s="128"/>
      <c r="N759" s="128"/>
      <c r="O759" s="128"/>
      <c r="P759" s="128"/>
      <c r="Q759" s="413"/>
      <c r="R759" s="128">
        <f t="shared" si="879"/>
        <v>0</v>
      </c>
      <c r="S759" s="128">
        <v>65597968.93</v>
      </c>
      <c r="T759" s="128"/>
      <c r="U759" s="128"/>
      <c r="V759" s="128"/>
      <c r="W759" s="128"/>
      <c r="X759" s="128"/>
      <c r="Y759" s="128"/>
      <c r="Z759" s="128"/>
      <c r="AA759" s="128">
        <f t="shared" si="896"/>
        <v>65597968.93</v>
      </c>
      <c r="AB759" s="128">
        <f t="shared" si="827"/>
        <v>65597968.93</v>
      </c>
      <c r="AC759" s="175">
        <f t="shared" si="899"/>
        <v>0.20240438191568852</v>
      </c>
    </row>
    <row r="760" spans="1:29" ht="43.5" hidden="1" thickBot="1" x14ac:dyDescent="0.25">
      <c r="B760" s="76" t="s">
        <v>1834</v>
      </c>
      <c r="C760" s="77" t="s">
        <v>1835</v>
      </c>
      <c r="D760" s="128"/>
      <c r="E760" s="188">
        <f>SUM('ADICIONES  2021'!C760:I760)</f>
        <v>248932465.52000001</v>
      </c>
      <c r="F760" s="128"/>
      <c r="G760" s="128"/>
      <c r="H760" s="128"/>
      <c r="I760" s="128"/>
      <c r="J760" s="128"/>
      <c r="K760" s="128">
        <f t="shared" si="826"/>
        <v>248932465.52000001</v>
      </c>
      <c r="L760" s="128"/>
      <c r="M760" s="128"/>
      <c r="N760" s="128"/>
      <c r="O760" s="128"/>
      <c r="P760" s="128"/>
      <c r="Q760" s="413"/>
      <c r="R760" s="128">
        <f t="shared" si="879"/>
        <v>0</v>
      </c>
      <c r="S760" s="128">
        <v>248932465.52000001</v>
      </c>
      <c r="T760" s="128"/>
      <c r="U760" s="128"/>
      <c r="V760" s="128"/>
      <c r="W760" s="128"/>
      <c r="X760" s="128"/>
      <c r="Y760" s="128"/>
      <c r="Z760" s="128"/>
      <c r="AA760" s="128">
        <f t="shared" si="896"/>
        <v>248932465.52000001</v>
      </c>
      <c r="AB760" s="128">
        <f t="shared" si="827"/>
        <v>248932465.52000001</v>
      </c>
      <c r="AC760" s="175">
        <f t="shared" si="899"/>
        <v>1</v>
      </c>
    </row>
    <row r="761" spans="1:29" ht="43.5" hidden="1" thickBot="1" x14ac:dyDescent="0.25">
      <c r="B761" s="76" t="s">
        <v>1836</v>
      </c>
      <c r="C761" s="77" t="s">
        <v>1837</v>
      </c>
      <c r="D761" s="128"/>
      <c r="E761" s="188">
        <f>SUM('ADICIONES  2021'!C761:I761)</f>
        <v>262570505</v>
      </c>
      <c r="F761" s="128"/>
      <c r="G761" s="128"/>
      <c r="H761" s="128"/>
      <c r="I761" s="128"/>
      <c r="J761" s="128"/>
      <c r="K761" s="128">
        <f t="shared" si="826"/>
        <v>262570505</v>
      </c>
      <c r="L761" s="128"/>
      <c r="M761" s="128"/>
      <c r="N761" s="128"/>
      <c r="O761" s="128"/>
      <c r="P761" s="128"/>
      <c r="Q761" s="413"/>
      <c r="R761" s="128">
        <f t="shared" si="879"/>
        <v>0</v>
      </c>
      <c r="S761" s="128">
        <v>262570505</v>
      </c>
      <c r="T761" s="128"/>
      <c r="U761" s="128"/>
      <c r="V761" s="128"/>
      <c r="W761" s="128"/>
      <c r="X761" s="128"/>
      <c r="Y761" s="128"/>
      <c r="Z761" s="128"/>
      <c r="AA761" s="128">
        <f t="shared" si="896"/>
        <v>262570505</v>
      </c>
      <c r="AB761" s="128">
        <f t="shared" si="827"/>
        <v>262570505</v>
      </c>
      <c r="AC761" s="175">
        <f t="shared" si="899"/>
        <v>1</v>
      </c>
    </row>
    <row r="762" spans="1:29" ht="29.25" hidden="1" thickBot="1" x14ac:dyDescent="0.25">
      <c r="B762" s="76" t="s">
        <v>1838</v>
      </c>
      <c r="C762" s="77" t="s">
        <v>1839</v>
      </c>
      <c r="D762" s="128"/>
      <c r="E762" s="188">
        <f>SUM('ADICIONES  2021'!C762:I762)</f>
        <v>18594911012.080002</v>
      </c>
      <c r="F762" s="128"/>
      <c r="G762" s="128"/>
      <c r="H762" s="128"/>
      <c r="I762" s="128"/>
      <c r="J762" s="128"/>
      <c r="K762" s="128">
        <f t="shared" si="826"/>
        <v>18594911012.080002</v>
      </c>
      <c r="L762" s="128"/>
      <c r="M762" s="128"/>
      <c r="N762" s="128"/>
      <c r="O762" s="128"/>
      <c r="P762" s="128"/>
      <c r="Q762" s="413"/>
      <c r="R762" s="128">
        <f t="shared" ref="R762:R764" si="902">SUM(L762:Q762)</f>
        <v>0</v>
      </c>
      <c r="S762" s="128">
        <v>18594911012.080002</v>
      </c>
      <c r="T762" s="128"/>
      <c r="U762" s="128"/>
      <c r="V762" s="128"/>
      <c r="W762" s="128"/>
      <c r="X762" s="128"/>
      <c r="Y762" s="128"/>
      <c r="Z762" s="128"/>
      <c r="AA762" s="128">
        <f t="shared" si="896"/>
        <v>18594911012.080002</v>
      </c>
      <c r="AB762" s="128">
        <f t="shared" si="827"/>
        <v>18594911012.080002</v>
      </c>
      <c r="AC762" s="175">
        <f t="shared" si="899"/>
        <v>1</v>
      </c>
    </row>
    <row r="763" spans="1:29" ht="29.25" hidden="1" thickBot="1" x14ac:dyDescent="0.25">
      <c r="B763" s="76" t="s">
        <v>1840</v>
      </c>
      <c r="C763" s="77" t="s">
        <v>1841</v>
      </c>
      <c r="D763" s="128"/>
      <c r="E763" s="188">
        <f>SUM('ADICIONES  2021'!C763:I763)</f>
        <v>1263330116.8699999</v>
      </c>
      <c r="F763" s="128"/>
      <c r="G763" s="128"/>
      <c r="H763" s="128"/>
      <c r="I763" s="128"/>
      <c r="J763" s="128"/>
      <c r="K763" s="128">
        <f t="shared" si="826"/>
        <v>1263330116.8699999</v>
      </c>
      <c r="L763" s="128"/>
      <c r="M763" s="128"/>
      <c r="N763" s="128"/>
      <c r="O763" s="128"/>
      <c r="P763" s="128"/>
      <c r="Q763" s="413"/>
      <c r="R763" s="128">
        <f t="shared" si="902"/>
        <v>0</v>
      </c>
      <c r="S763" s="128">
        <v>1263330116.8699999</v>
      </c>
      <c r="T763" s="128"/>
      <c r="U763" s="128"/>
      <c r="V763" s="128"/>
      <c r="W763" s="128"/>
      <c r="X763" s="128"/>
      <c r="Y763" s="128"/>
      <c r="Z763" s="128"/>
      <c r="AA763" s="128">
        <f t="shared" si="896"/>
        <v>1263330116.8699999</v>
      </c>
      <c r="AB763" s="128">
        <f t="shared" si="827"/>
        <v>1263330116.8699999</v>
      </c>
      <c r="AC763" s="175">
        <f t="shared" si="899"/>
        <v>1</v>
      </c>
    </row>
    <row r="764" spans="1:29" ht="29.25" hidden="1" thickBot="1" x14ac:dyDescent="0.25">
      <c r="B764" s="158" t="s">
        <v>1842</v>
      </c>
      <c r="C764" s="221" t="s">
        <v>1843</v>
      </c>
      <c r="D764" s="129"/>
      <c r="E764" s="188">
        <f>SUM('ADICIONES  2021'!C764:I764)</f>
        <v>14999353.52</v>
      </c>
      <c r="F764" s="129"/>
      <c r="G764" s="129"/>
      <c r="H764" s="129"/>
      <c r="I764" s="129"/>
      <c r="J764" s="129"/>
      <c r="K764" s="129">
        <f t="shared" si="826"/>
        <v>14999353.52</v>
      </c>
      <c r="L764" s="129"/>
      <c r="M764" s="129"/>
      <c r="N764" s="129"/>
      <c r="O764" s="129"/>
      <c r="P764" s="129"/>
      <c r="Q764" s="419"/>
      <c r="R764" s="129">
        <f t="shared" si="902"/>
        <v>0</v>
      </c>
      <c r="S764" s="129">
        <v>14999353.52</v>
      </c>
      <c r="T764" s="129"/>
      <c r="U764" s="129"/>
      <c r="V764" s="129"/>
      <c r="W764" s="129"/>
      <c r="X764" s="129"/>
      <c r="Y764" s="129"/>
      <c r="Z764" s="129"/>
      <c r="AA764" s="129">
        <f t="shared" si="896"/>
        <v>14999353.52</v>
      </c>
      <c r="AB764" s="129">
        <f t="shared" si="827"/>
        <v>14999353.52</v>
      </c>
      <c r="AC764" s="259">
        <f t="shared" si="899"/>
        <v>1</v>
      </c>
    </row>
    <row r="765" spans="1:29" s="142" customFormat="1" ht="20.25" thickBot="1" x14ac:dyDescent="0.25">
      <c r="A765" s="141">
        <v>1</v>
      </c>
      <c r="B765" s="488" t="s">
        <v>49</v>
      </c>
      <c r="C765" s="489"/>
      <c r="D765" s="358">
        <f>+D11+D667</f>
        <v>707007905818</v>
      </c>
      <c r="E765" s="336">
        <f t="shared" ref="E765:AB765" si="903">+E11+E667</f>
        <v>461866784098.34991</v>
      </c>
      <c r="F765" s="358">
        <f t="shared" si="903"/>
        <v>2634273900</v>
      </c>
      <c r="G765" s="358">
        <f t="shared" si="903"/>
        <v>350000000</v>
      </c>
      <c r="H765" s="358">
        <f t="shared" si="903"/>
        <v>2500000000</v>
      </c>
      <c r="I765" s="358">
        <f t="shared" si="903"/>
        <v>0</v>
      </c>
      <c r="J765" s="358">
        <f t="shared" si="903"/>
        <v>0</v>
      </c>
      <c r="K765" s="336">
        <f t="shared" si="903"/>
        <v>1164090416016.3499</v>
      </c>
      <c r="L765" s="336">
        <f t="shared" si="903"/>
        <v>62802238400.790802</v>
      </c>
      <c r="M765" s="336">
        <f t="shared" si="903"/>
        <v>58423450867.341599</v>
      </c>
      <c r="N765" s="336">
        <f t="shared" si="903"/>
        <v>70401016286.063797</v>
      </c>
      <c r="O765" s="336">
        <f t="shared" si="903"/>
        <v>51327542578.488396</v>
      </c>
      <c r="P765" s="336">
        <f t="shared" si="903"/>
        <v>191151139764.5152</v>
      </c>
      <c r="Q765" s="336">
        <f t="shared" si="903"/>
        <v>67443652601.886795</v>
      </c>
      <c r="R765" s="358">
        <f t="shared" si="903"/>
        <v>501549040499.08661</v>
      </c>
      <c r="S765" s="336">
        <f t="shared" si="903"/>
        <v>129240911428.52921</v>
      </c>
      <c r="T765" s="358">
        <f t="shared" si="903"/>
        <v>0</v>
      </c>
      <c r="U765" s="358">
        <f t="shared" si="903"/>
        <v>0</v>
      </c>
      <c r="V765" s="358">
        <f t="shared" si="903"/>
        <v>0</v>
      </c>
      <c r="W765" s="358">
        <f t="shared" si="903"/>
        <v>0</v>
      </c>
      <c r="X765" s="358">
        <f t="shared" si="903"/>
        <v>0</v>
      </c>
      <c r="Y765" s="336">
        <f t="shared" si="903"/>
        <v>-526413195</v>
      </c>
      <c r="Z765" s="358">
        <f t="shared" si="903"/>
        <v>0</v>
      </c>
      <c r="AA765" s="358">
        <f t="shared" si="903"/>
        <v>128714498233.52921</v>
      </c>
      <c r="AB765" s="336">
        <f t="shared" si="903"/>
        <v>630263538732.61584</v>
      </c>
      <c r="AC765" s="254">
        <f>AB765/K765</f>
        <v>0.54142146525821377</v>
      </c>
    </row>
    <row r="766" spans="1:29" ht="15.75" x14ac:dyDescent="0.2">
      <c r="A766" s="100">
        <v>1</v>
      </c>
      <c r="B766" s="20"/>
      <c r="C766" s="3"/>
      <c r="D766" s="337"/>
      <c r="E766" s="185"/>
      <c r="F766" s="149"/>
      <c r="G766" s="149"/>
      <c r="H766" s="150"/>
      <c r="I766" s="147"/>
      <c r="J766" s="147"/>
      <c r="K766" s="147"/>
      <c r="L766" s="147"/>
      <c r="M766" s="147"/>
      <c r="N766" s="147"/>
      <c r="O766" s="147"/>
      <c r="P766" s="147"/>
      <c r="Q766" s="151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95"/>
    </row>
    <row r="767" spans="1:29" ht="19.5" x14ac:dyDescent="0.2">
      <c r="A767" s="100">
        <v>1</v>
      </c>
      <c r="B767" s="21"/>
      <c r="C767" s="453" t="s">
        <v>21</v>
      </c>
      <c r="D767" s="453"/>
      <c r="E767" s="188"/>
      <c r="F767" s="188"/>
      <c r="G767" s="188"/>
      <c r="H767" s="188"/>
      <c r="I767" s="188"/>
      <c r="J767" s="188"/>
      <c r="K767" s="188"/>
      <c r="L767" s="128"/>
      <c r="M767" s="128"/>
      <c r="N767" s="128"/>
      <c r="O767" s="128"/>
      <c r="P767" s="128"/>
      <c r="Q767" s="126"/>
      <c r="R767" s="128"/>
      <c r="S767" s="128"/>
      <c r="T767" s="128"/>
      <c r="U767" s="128"/>
      <c r="V767" s="128"/>
      <c r="W767" s="128"/>
      <c r="X767" s="128"/>
      <c r="Y767" s="128"/>
      <c r="Z767" s="128"/>
      <c r="AA767" s="128"/>
      <c r="AB767" s="128"/>
      <c r="AC767" s="176"/>
    </row>
    <row r="768" spans="1:29" s="142" customFormat="1" ht="19.5" x14ac:dyDescent="0.2">
      <c r="A768" s="141">
        <v>1</v>
      </c>
      <c r="B768" s="161" t="s">
        <v>382</v>
      </c>
      <c r="C768" s="160" t="s">
        <v>965</v>
      </c>
      <c r="D768" s="338">
        <f>+D769+D889</f>
        <v>130199862756.89999</v>
      </c>
      <c r="E768" s="306">
        <f>SUM('ADICIONES  2021'!C768:I768)</f>
        <v>48678333980.220001</v>
      </c>
      <c r="F768" s="165"/>
      <c r="G768" s="165">
        <f>+G769+G889</f>
        <v>2500000000</v>
      </c>
      <c r="H768" s="165">
        <f>+H769+H889</f>
        <v>350000000</v>
      </c>
      <c r="I768" s="165">
        <f>+I769+I889</f>
        <v>0</v>
      </c>
      <c r="J768" s="165">
        <f>+J769+J889</f>
        <v>0</v>
      </c>
      <c r="K768" s="162">
        <f t="shared" ref="K768:K772" si="904">+D768+E768-F768+G768-H768</f>
        <v>181028196737.12</v>
      </c>
      <c r="L768" s="165">
        <f t="shared" ref="L768:Q768" si="905">+L769+L889</f>
        <v>14396430252.819202</v>
      </c>
      <c r="M768" s="165">
        <f t="shared" si="905"/>
        <v>9194413809.0683994</v>
      </c>
      <c r="N768" s="165">
        <f t="shared" si="905"/>
        <v>15323833234.066198</v>
      </c>
      <c r="O768" s="165">
        <f t="shared" si="905"/>
        <v>13705612361.3916</v>
      </c>
      <c r="P768" s="165">
        <f t="shared" si="905"/>
        <v>41808421349.804802</v>
      </c>
      <c r="Q768" s="165">
        <f t="shared" si="905"/>
        <v>10783369269.4132</v>
      </c>
      <c r="R768" s="162">
        <f t="shared" ref="R768:R772" si="906">SUM(L768:Q768)</f>
        <v>105212080276.56342</v>
      </c>
      <c r="S768" s="165">
        <f t="shared" ref="S768:Z768" si="907">+S769+S889</f>
        <v>14792855704.080799</v>
      </c>
      <c r="T768" s="165">
        <f t="shared" si="907"/>
        <v>0</v>
      </c>
      <c r="U768" s="165">
        <f t="shared" si="907"/>
        <v>0</v>
      </c>
      <c r="V768" s="165">
        <f t="shared" si="907"/>
        <v>0</v>
      </c>
      <c r="W768" s="165">
        <f t="shared" si="907"/>
        <v>0</v>
      </c>
      <c r="X768" s="165">
        <f t="shared" si="907"/>
        <v>0</v>
      </c>
      <c r="Y768" s="165">
        <f t="shared" si="907"/>
        <v>0</v>
      </c>
      <c r="Z768" s="165">
        <f t="shared" si="907"/>
        <v>0</v>
      </c>
      <c r="AA768" s="162">
        <f t="shared" ref="AA768:AA773" si="908">SUM(S768:Z768)</f>
        <v>14792855704.080799</v>
      </c>
      <c r="AB768" s="386">
        <f t="shared" ref="AB768:AB836" si="909">+R768+AA768</f>
        <v>120004935980.64421</v>
      </c>
      <c r="AC768" s="173">
        <f t="shared" ref="AC768:AC836" si="910">+AB768/K768</f>
        <v>0.66290742626635846</v>
      </c>
    </row>
    <row r="769" spans="1:29" s="142" customFormat="1" ht="19.5" x14ac:dyDescent="0.2">
      <c r="A769" s="141">
        <v>1</v>
      </c>
      <c r="B769" s="161" t="s">
        <v>383</v>
      </c>
      <c r="C769" s="160" t="s">
        <v>966</v>
      </c>
      <c r="D769" s="338">
        <f>+D770+D824</f>
        <v>127706050258.17999</v>
      </c>
      <c r="E769" s="306">
        <f>SUM('ADICIONES  2021'!C769:I769)</f>
        <v>17054650303.900002</v>
      </c>
      <c r="F769" s="165"/>
      <c r="G769" s="165">
        <f t="shared" ref="G769:J769" si="911">+G770+G824</f>
        <v>2500000000</v>
      </c>
      <c r="H769" s="165">
        <f t="shared" si="911"/>
        <v>350000000</v>
      </c>
      <c r="I769" s="165">
        <f t="shared" si="911"/>
        <v>0</v>
      </c>
      <c r="J769" s="165">
        <f t="shared" si="911"/>
        <v>0</v>
      </c>
      <c r="K769" s="162">
        <f t="shared" si="904"/>
        <v>146910700562.07999</v>
      </c>
      <c r="L769" s="165">
        <f t="shared" ref="L769:Q769" si="912">+L770+L824</f>
        <v>14171690553.549202</v>
      </c>
      <c r="M769" s="165">
        <f t="shared" si="912"/>
        <v>8990913184.6884003</v>
      </c>
      <c r="N769" s="165">
        <f t="shared" si="912"/>
        <v>14883380024.846199</v>
      </c>
      <c r="O769" s="165">
        <f t="shared" si="912"/>
        <v>13546560062.0916</v>
      </c>
      <c r="P769" s="165">
        <f t="shared" si="912"/>
        <v>20776705362.424801</v>
      </c>
      <c r="Q769" s="165">
        <f t="shared" si="912"/>
        <v>10646838090.623199</v>
      </c>
      <c r="R769" s="162">
        <f t="shared" si="906"/>
        <v>83016087278.223404</v>
      </c>
      <c r="S769" s="165">
        <f t="shared" ref="S769:Z769" si="913">+S770+S824</f>
        <v>14635848508.420799</v>
      </c>
      <c r="T769" s="165">
        <f t="shared" si="913"/>
        <v>0</v>
      </c>
      <c r="U769" s="165">
        <f t="shared" si="913"/>
        <v>0</v>
      </c>
      <c r="V769" s="165">
        <f t="shared" si="913"/>
        <v>0</v>
      </c>
      <c r="W769" s="165">
        <f t="shared" si="913"/>
        <v>0</v>
      </c>
      <c r="X769" s="165">
        <f t="shared" si="913"/>
        <v>0</v>
      </c>
      <c r="Y769" s="165">
        <f t="shared" si="913"/>
        <v>0</v>
      </c>
      <c r="Z769" s="165">
        <f t="shared" si="913"/>
        <v>0</v>
      </c>
      <c r="AA769" s="162">
        <f t="shared" si="908"/>
        <v>14635848508.420799</v>
      </c>
      <c r="AB769" s="386">
        <f t="shared" si="909"/>
        <v>97651935786.644196</v>
      </c>
      <c r="AC769" s="173">
        <f t="shared" si="910"/>
        <v>0.66470267593189691</v>
      </c>
    </row>
    <row r="770" spans="1:29" s="142" customFormat="1" ht="19.5" x14ac:dyDescent="0.2">
      <c r="A770" s="141">
        <v>1</v>
      </c>
      <c r="B770" s="161" t="s">
        <v>384</v>
      </c>
      <c r="C770" s="160" t="s">
        <v>967</v>
      </c>
      <c r="D770" s="338">
        <f>+D771+D777</f>
        <v>52208079001.369995</v>
      </c>
      <c r="E770" s="306">
        <f>SUM('ADICIONES  2021'!C770:I770)</f>
        <v>168538869.03</v>
      </c>
      <c r="F770" s="165"/>
      <c r="G770" s="165">
        <f t="shared" ref="G770:J770" si="914">+G771+G777</f>
        <v>0</v>
      </c>
      <c r="H770" s="165">
        <f t="shared" si="914"/>
        <v>0</v>
      </c>
      <c r="I770" s="165">
        <f t="shared" si="914"/>
        <v>0</v>
      </c>
      <c r="J770" s="165">
        <f t="shared" si="914"/>
        <v>0</v>
      </c>
      <c r="K770" s="162">
        <f t="shared" si="904"/>
        <v>52376617870.399994</v>
      </c>
      <c r="L770" s="165">
        <f t="shared" ref="L770:Q770" si="915">+L771+L777</f>
        <v>6257894767.0500002</v>
      </c>
      <c r="M770" s="165">
        <f t="shared" si="915"/>
        <v>4815552665.3900003</v>
      </c>
      <c r="N770" s="165">
        <f t="shared" si="915"/>
        <v>6271707307.4799995</v>
      </c>
      <c r="O770" s="165">
        <f t="shared" si="915"/>
        <v>3928389601.9200001</v>
      </c>
      <c r="P770" s="165">
        <f t="shared" si="915"/>
        <v>4345670012.9700003</v>
      </c>
      <c r="Q770" s="165">
        <f t="shared" si="915"/>
        <v>4171657878.8800001</v>
      </c>
      <c r="R770" s="162">
        <f t="shared" si="906"/>
        <v>29790872233.689999</v>
      </c>
      <c r="S770" s="165">
        <f t="shared" ref="S770:Z770" si="916">+S771+S777</f>
        <v>5376996058.8800001</v>
      </c>
      <c r="T770" s="165">
        <f t="shared" si="916"/>
        <v>0</v>
      </c>
      <c r="U770" s="165">
        <f t="shared" si="916"/>
        <v>0</v>
      </c>
      <c r="V770" s="165">
        <f t="shared" si="916"/>
        <v>0</v>
      </c>
      <c r="W770" s="165">
        <f t="shared" si="916"/>
        <v>0</v>
      </c>
      <c r="X770" s="165">
        <f t="shared" si="916"/>
        <v>0</v>
      </c>
      <c r="Y770" s="165">
        <f t="shared" si="916"/>
        <v>0</v>
      </c>
      <c r="Z770" s="165">
        <f t="shared" si="916"/>
        <v>0</v>
      </c>
      <c r="AA770" s="162">
        <f t="shared" si="908"/>
        <v>5376996058.8800001</v>
      </c>
      <c r="AB770" s="386">
        <f t="shared" si="909"/>
        <v>35167868292.57</v>
      </c>
      <c r="AC770" s="173">
        <f t="shared" si="910"/>
        <v>0.67144213816151521</v>
      </c>
    </row>
    <row r="771" spans="1:29" s="142" customFormat="1" ht="19.5" x14ac:dyDescent="0.2">
      <c r="A771" s="141">
        <v>1</v>
      </c>
      <c r="B771" s="161" t="s">
        <v>385</v>
      </c>
      <c r="C771" s="160" t="s">
        <v>968</v>
      </c>
      <c r="D771" s="338">
        <f>+D772</f>
        <v>1027296266.58</v>
      </c>
      <c r="E771" s="306">
        <f>SUM('ADICIONES  2021'!C771:I771)</f>
        <v>0</v>
      </c>
      <c r="F771" s="165"/>
      <c r="G771" s="165">
        <f t="shared" ref="G771:J771" si="917">+G772</f>
        <v>0</v>
      </c>
      <c r="H771" s="165">
        <f t="shared" si="917"/>
        <v>0</v>
      </c>
      <c r="I771" s="165">
        <f t="shared" si="917"/>
        <v>0</v>
      </c>
      <c r="J771" s="165">
        <f t="shared" si="917"/>
        <v>0</v>
      </c>
      <c r="K771" s="162">
        <f t="shared" si="904"/>
        <v>1027296266.58</v>
      </c>
      <c r="L771" s="165">
        <f t="shared" ref="L771:Q771" si="918">+L772</f>
        <v>106024316.05000001</v>
      </c>
      <c r="M771" s="165">
        <f t="shared" si="918"/>
        <v>77173041.390000001</v>
      </c>
      <c r="N771" s="165">
        <f t="shared" si="918"/>
        <v>84947531.480000004</v>
      </c>
      <c r="O771" s="165">
        <f t="shared" si="918"/>
        <v>84132804.920000002</v>
      </c>
      <c r="P771" s="165">
        <f t="shared" si="918"/>
        <v>60939185.969999999</v>
      </c>
      <c r="Q771" s="165">
        <f t="shared" si="918"/>
        <v>106796998.88</v>
      </c>
      <c r="R771" s="162">
        <f t="shared" si="906"/>
        <v>520013878.69000006</v>
      </c>
      <c r="S771" s="165">
        <f t="shared" ref="S771:Z771" si="919">+S772</f>
        <v>136625700.58000001</v>
      </c>
      <c r="T771" s="165">
        <f t="shared" si="919"/>
        <v>0</v>
      </c>
      <c r="U771" s="165">
        <f t="shared" si="919"/>
        <v>0</v>
      </c>
      <c r="V771" s="165">
        <f t="shared" si="919"/>
        <v>0</v>
      </c>
      <c r="W771" s="165">
        <f t="shared" si="919"/>
        <v>0</v>
      </c>
      <c r="X771" s="165">
        <f t="shared" si="919"/>
        <v>0</v>
      </c>
      <c r="Y771" s="165">
        <f t="shared" si="919"/>
        <v>0</v>
      </c>
      <c r="Z771" s="165">
        <f t="shared" si="919"/>
        <v>0</v>
      </c>
      <c r="AA771" s="162">
        <f t="shared" si="908"/>
        <v>136625700.58000001</v>
      </c>
      <c r="AB771" s="162">
        <f t="shared" si="909"/>
        <v>656639579.2700001</v>
      </c>
      <c r="AC771" s="173">
        <f t="shared" si="910"/>
        <v>0.639192023403372</v>
      </c>
    </row>
    <row r="772" spans="1:29" s="19" customFormat="1" ht="15.75" x14ac:dyDescent="0.2">
      <c r="A772" s="71">
        <v>1</v>
      </c>
      <c r="B772" s="82" t="s">
        <v>969</v>
      </c>
      <c r="C772" s="83" t="s">
        <v>970</v>
      </c>
      <c r="D772" s="339">
        <f>SUM(D773:D775)</f>
        <v>1027296266.58</v>
      </c>
      <c r="E772" s="187">
        <f>SUM('ADICIONES  2021'!C772:I772)</f>
        <v>0</v>
      </c>
      <c r="F772" s="130"/>
      <c r="G772" s="130">
        <f t="shared" ref="G772:J772" si="920">SUM(G773:G775)</f>
        <v>0</v>
      </c>
      <c r="H772" s="130">
        <f t="shared" si="920"/>
        <v>0</v>
      </c>
      <c r="I772" s="130">
        <f t="shared" si="920"/>
        <v>0</v>
      </c>
      <c r="J772" s="130">
        <f t="shared" si="920"/>
        <v>0</v>
      </c>
      <c r="K772" s="126">
        <f t="shared" si="904"/>
        <v>1027296266.58</v>
      </c>
      <c r="L772" s="132">
        <f t="shared" ref="L772:Q772" si="921">SUM(L773:L775)</f>
        <v>106024316.05000001</v>
      </c>
      <c r="M772" s="132">
        <f t="shared" si="921"/>
        <v>77173041.390000001</v>
      </c>
      <c r="N772" s="132">
        <f t="shared" si="921"/>
        <v>84947531.480000004</v>
      </c>
      <c r="O772" s="132">
        <f t="shared" si="921"/>
        <v>84132804.920000002</v>
      </c>
      <c r="P772" s="132">
        <f t="shared" si="921"/>
        <v>60939185.969999999</v>
      </c>
      <c r="Q772" s="132">
        <f t="shared" si="921"/>
        <v>106796998.88</v>
      </c>
      <c r="R772" s="78">
        <f t="shared" si="906"/>
        <v>520013878.69000006</v>
      </c>
      <c r="S772" s="132">
        <f t="shared" ref="S772:Z772" si="922">SUM(S773:S775)</f>
        <v>136625700.58000001</v>
      </c>
      <c r="T772" s="130">
        <f t="shared" si="922"/>
        <v>0</v>
      </c>
      <c r="U772" s="130">
        <f t="shared" si="922"/>
        <v>0</v>
      </c>
      <c r="V772" s="130">
        <f t="shared" si="922"/>
        <v>0</v>
      </c>
      <c r="W772" s="130">
        <f t="shared" si="922"/>
        <v>0</v>
      </c>
      <c r="X772" s="130">
        <f t="shared" si="922"/>
        <v>0</v>
      </c>
      <c r="Y772" s="132">
        <f t="shared" si="922"/>
        <v>0</v>
      </c>
      <c r="Z772" s="130">
        <f t="shared" si="922"/>
        <v>0</v>
      </c>
      <c r="AA772" s="78">
        <f t="shared" si="908"/>
        <v>136625700.58000001</v>
      </c>
      <c r="AB772" s="126">
        <f t="shared" si="909"/>
        <v>656639579.2700001</v>
      </c>
      <c r="AC772" s="180">
        <f t="shared" si="910"/>
        <v>0.639192023403372</v>
      </c>
    </row>
    <row r="773" spans="1:29" ht="28.5" hidden="1" x14ac:dyDescent="0.2">
      <c r="B773" s="76" t="s">
        <v>971</v>
      </c>
      <c r="C773" s="77" t="s">
        <v>375</v>
      </c>
      <c r="D773" s="340">
        <v>256824066.80000001</v>
      </c>
      <c r="E773" s="188">
        <f>SUM('ADICIONES  2021'!C773:I773)</f>
        <v>0</v>
      </c>
      <c r="F773" s="131"/>
      <c r="G773" s="131"/>
      <c r="H773" s="131"/>
      <c r="I773" s="131"/>
      <c r="J773" s="131"/>
      <c r="K773" s="128">
        <f>+D773+E773-F773+G773-H773</f>
        <v>256824066.80000001</v>
      </c>
      <c r="L773" s="131">
        <v>26506078.940000001</v>
      </c>
      <c r="M773" s="131">
        <v>19293261.390000001</v>
      </c>
      <c r="N773" s="131">
        <v>21236883.27</v>
      </c>
      <c r="O773" s="131">
        <v>21033201.920000002</v>
      </c>
      <c r="P773" s="131">
        <v>15234796.970000001</v>
      </c>
      <c r="Q773" s="424">
        <v>26699249</v>
      </c>
      <c r="R773" s="128">
        <f>SUM(L773:Q773)</f>
        <v>130003471.48999999</v>
      </c>
      <c r="S773" s="131">
        <v>33943521.210000001</v>
      </c>
      <c r="T773" s="131"/>
      <c r="U773" s="131"/>
      <c r="V773" s="131"/>
      <c r="W773" s="131"/>
      <c r="X773" s="131"/>
      <c r="Y773" s="131"/>
      <c r="Z773" s="131"/>
      <c r="AA773" s="128">
        <f t="shared" si="908"/>
        <v>33943521.210000001</v>
      </c>
      <c r="AB773" s="128">
        <f t="shared" si="909"/>
        <v>163946992.69999999</v>
      </c>
      <c r="AC773" s="175">
        <f t="shared" si="910"/>
        <v>0.63836304261809151</v>
      </c>
    </row>
    <row r="774" spans="1:29" ht="28.5" hidden="1" x14ac:dyDescent="0.2">
      <c r="B774" s="76" t="s">
        <v>972</v>
      </c>
      <c r="C774" s="77" t="s">
        <v>375</v>
      </c>
      <c r="D774" s="340">
        <v>71910738.700000003</v>
      </c>
      <c r="E774" s="188">
        <f>SUM('ADICIONES  2021'!C774:I774)</f>
        <v>0</v>
      </c>
      <c r="F774" s="131"/>
      <c r="G774" s="131"/>
      <c r="H774" s="131"/>
      <c r="I774" s="131"/>
      <c r="J774" s="131"/>
      <c r="K774" s="128">
        <f>+D774+E774-F774+G774-H774</f>
        <v>71910738.700000003</v>
      </c>
      <c r="L774" s="131">
        <v>7421702.1100000003</v>
      </c>
      <c r="M774" s="131">
        <v>5402112</v>
      </c>
      <c r="N774" s="131">
        <v>5946327.21</v>
      </c>
      <c r="O774" s="131">
        <v>5889296</v>
      </c>
      <c r="P774" s="131">
        <v>4265743</v>
      </c>
      <c r="Q774" s="424">
        <v>7475790.8799999999</v>
      </c>
      <c r="R774" s="128">
        <f t="shared" ref="R774:R844" si="923">SUM(L774:Q774)</f>
        <v>36400971.200000003</v>
      </c>
      <c r="S774" s="131">
        <v>9504186</v>
      </c>
      <c r="T774" s="131"/>
      <c r="U774" s="131"/>
      <c r="V774" s="131"/>
      <c r="W774" s="131"/>
      <c r="X774" s="131"/>
      <c r="Y774" s="131"/>
      <c r="Z774" s="131"/>
      <c r="AA774" s="128">
        <f t="shared" ref="AA774:AA844" si="924">SUM(S774:Z774)</f>
        <v>9504186</v>
      </c>
      <c r="AB774" s="128">
        <f t="shared" si="909"/>
        <v>45905157.200000003</v>
      </c>
      <c r="AC774" s="175">
        <f t="shared" si="910"/>
        <v>0.63836303214056678</v>
      </c>
    </row>
    <row r="775" spans="1:29" s="63" customFormat="1" ht="30" hidden="1" x14ac:dyDescent="0.2">
      <c r="A775" s="399"/>
      <c r="B775" s="81" t="s">
        <v>973</v>
      </c>
      <c r="C775" s="194" t="s">
        <v>974</v>
      </c>
      <c r="D775" s="339">
        <f>+D776</f>
        <v>698561461.08000004</v>
      </c>
      <c r="E775" s="187">
        <f>SUM('ADICIONES  2021'!C775:I775)</f>
        <v>0</v>
      </c>
      <c r="F775" s="130"/>
      <c r="G775" s="130">
        <f t="shared" ref="G775:J775" si="925">+G776</f>
        <v>0</v>
      </c>
      <c r="H775" s="130">
        <f t="shared" si="925"/>
        <v>0</v>
      </c>
      <c r="I775" s="130">
        <f t="shared" si="925"/>
        <v>0</v>
      </c>
      <c r="J775" s="130">
        <f t="shared" si="925"/>
        <v>0</v>
      </c>
      <c r="K775" s="78">
        <f t="shared" ref="K775:K845" si="926">+D775+E775-F775+G775-H775</f>
        <v>698561461.08000004</v>
      </c>
      <c r="L775" s="130">
        <f t="shared" ref="L775:Q775" si="927">+L776</f>
        <v>72096535</v>
      </c>
      <c r="M775" s="130">
        <f t="shared" si="927"/>
        <v>52477668</v>
      </c>
      <c r="N775" s="130">
        <f t="shared" si="927"/>
        <v>57764321</v>
      </c>
      <c r="O775" s="130">
        <f t="shared" si="927"/>
        <v>57210307</v>
      </c>
      <c r="P775" s="130">
        <f t="shared" si="927"/>
        <v>41438646</v>
      </c>
      <c r="Q775" s="423">
        <f t="shared" si="927"/>
        <v>72621959</v>
      </c>
      <c r="R775" s="78">
        <f t="shared" si="923"/>
        <v>353609436</v>
      </c>
      <c r="S775" s="130">
        <f t="shared" ref="S775:Z775" si="928">+S776</f>
        <v>93177993.370000005</v>
      </c>
      <c r="T775" s="130">
        <f t="shared" si="928"/>
        <v>0</v>
      </c>
      <c r="U775" s="130">
        <f t="shared" si="928"/>
        <v>0</v>
      </c>
      <c r="V775" s="130">
        <f t="shared" si="928"/>
        <v>0</v>
      </c>
      <c r="W775" s="130">
        <f t="shared" si="928"/>
        <v>0</v>
      </c>
      <c r="X775" s="130">
        <f t="shared" si="928"/>
        <v>0</v>
      </c>
      <c r="Y775" s="130">
        <f t="shared" si="928"/>
        <v>0</v>
      </c>
      <c r="Z775" s="130">
        <f t="shared" si="928"/>
        <v>0</v>
      </c>
      <c r="AA775" s="78">
        <f t="shared" si="924"/>
        <v>93177993.370000005</v>
      </c>
      <c r="AB775" s="78">
        <f t="shared" si="909"/>
        <v>446787429.37</v>
      </c>
      <c r="AC775" s="174">
        <f t="shared" si="910"/>
        <v>0.63958213308711775</v>
      </c>
    </row>
    <row r="776" spans="1:29" ht="14.25" hidden="1" x14ac:dyDescent="0.2">
      <c r="B776" s="76" t="s">
        <v>975</v>
      </c>
      <c r="C776" s="77" t="s">
        <v>378</v>
      </c>
      <c r="D776" s="340">
        <v>698561461.08000004</v>
      </c>
      <c r="E776" s="188">
        <f>SUM('ADICIONES  2021'!C776:I776)</f>
        <v>0</v>
      </c>
      <c r="F776" s="131"/>
      <c r="G776" s="131"/>
      <c r="H776" s="131"/>
      <c r="I776" s="131"/>
      <c r="J776" s="131"/>
      <c r="K776" s="128">
        <f t="shared" si="926"/>
        <v>698561461.08000004</v>
      </c>
      <c r="L776" s="131">
        <v>72096535</v>
      </c>
      <c r="M776" s="131">
        <v>52477668</v>
      </c>
      <c r="N776" s="131">
        <v>57764321</v>
      </c>
      <c r="O776" s="131">
        <v>57210307</v>
      </c>
      <c r="P776" s="131">
        <v>41438646</v>
      </c>
      <c r="Q776" s="424">
        <v>72621959</v>
      </c>
      <c r="R776" s="128">
        <f t="shared" si="923"/>
        <v>353609436</v>
      </c>
      <c r="S776" s="131">
        <v>93177993.370000005</v>
      </c>
      <c r="T776" s="131"/>
      <c r="U776" s="131"/>
      <c r="V776" s="131"/>
      <c r="W776" s="131"/>
      <c r="X776" s="131"/>
      <c r="Y776" s="131"/>
      <c r="Z776" s="131"/>
      <c r="AA776" s="128">
        <f t="shared" si="924"/>
        <v>93177993.370000005</v>
      </c>
      <c r="AB776" s="128">
        <f t="shared" si="909"/>
        <v>446787429.37</v>
      </c>
      <c r="AC776" s="175">
        <f t="shared" si="910"/>
        <v>0.63958213308711775</v>
      </c>
    </row>
    <row r="777" spans="1:29" s="63" customFormat="1" ht="15.75" x14ac:dyDescent="0.2">
      <c r="A777" s="399">
        <v>1</v>
      </c>
      <c r="B777" s="81" t="s">
        <v>404</v>
      </c>
      <c r="C777" s="79" t="s">
        <v>976</v>
      </c>
      <c r="D777" s="339">
        <f>+D778+D783+D789+D807+D818</f>
        <v>51180782734.789993</v>
      </c>
      <c r="E777" s="187">
        <f>SUM('ADICIONES  2021'!C777:I777)</f>
        <v>168538869.03</v>
      </c>
      <c r="F777" s="130"/>
      <c r="G777" s="130">
        <f t="shared" ref="G777:J777" si="929">+G778+G783+G789+G807+G818</f>
        <v>0</v>
      </c>
      <c r="H777" s="130">
        <f t="shared" si="929"/>
        <v>0</v>
      </c>
      <c r="I777" s="130">
        <f t="shared" si="929"/>
        <v>0</v>
      </c>
      <c r="J777" s="130">
        <f t="shared" si="929"/>
        <v>0</v>
      </c>
      <c r="K777" s="78">
        <f t="shared" si="926"/>
        <v>51349321603.819992</v>
      </c>
      <c r="L777" s="130">
        <f t="shared" ref="L777:Q777" si="930">+L778+L783+L789+L807+L818</f>
        <v>6151870451</v>
      </c>
      <c r="M777" s="130">
        <f t="shared" si="930"/>
        <v>4738379624</v>
      </c>
      <c r="N777" s="130">
        <f t="shared" si="930"/>
        <v>6186759776</v>
      </c>
      <c r="O777" s="130">
        <f t="shared" si="930"/>
        <v>3844256797</v>
      </c>
      <c r="P777" s="130">
        <f t="shared" si="930"/>
        <v>4284730827</v>
      </c>
      <c r="Q777" s="130">
        <f t="shared" si="930"/>
        <v>4064860880</v>
      </c>
      <c r="R777" s="78">
        <f t="shared" si="923"/>
        <v>29270858355</v>
      </c>
      <c r="S777" s="130">
        <f t="shared" ref="S777:Z777" si="931">+S778+S783+S789+S807+S818</f>
        <v>5240370358.3000002</v>
      </c>
      <c r="T777" s="130">
        <f t="shared" si="931"/>
        <v>0</v>
      </c>
      <c r="U777" s="130">
        <f t="shared" si="931"/>
        <v>0</v>
      </c>
      <c r="V777" s="130">
        <f t="shared" si="931"/>
        <v>0</v>
      </c>
      <c r="W777" s="130">
        <f t="shared" si="931"/>
        <v>0</v>
      </c>
      <c r="X777" s="130">
        <f t="shared" si="931"/>
        <v>0</v>
      </c>
      <c r="Y777" s="130">
        <f t="shared" si="931"/>
        <v>0</v>
      </c>
      <c r="Z777" s="130">
        <f t="shared" si="931"/>
        <v>0</v>
      </c>
      <c r="AA777" s="78">
        <f t="shared" si="924"/>
        <v>5240370358.3000002</v>
      </c>
      <c r="AB777" s="78">
        <f t="shared" si="909"/>
        <v>34511228713.300003</v>
      </c>
      <c r="AC777" s="174">
        <f t="shared" si="910"/>
        <v>0.67208733504928397</v>
      </c>
    </row>
    <row r="778" spans="1:29" s="19" customFormat="1" ht="15.75" x14ac:dyDescent="0.2">
      <c r="A778" s="71">
        <v>1</v>
      </c>
      <c r="B778" s="82" t="s">
        <v>977</v>
      </c>
      <c r="C778" s="83" t="s">
        <v>978</v>
      </c>
      <c r="D778" s="339">
        <f>SUM(D779:D781)</f>
        <v>1024590216</v>
      </c>
      <c r="E778" s="187">
        <f>SUM('ADICIONES  2021'!C778:I778)</f>
        <v>0</v>
      </c>
      <c r="F778" s="130"/>
      <c r="G778" s="130">
        <f t="shared" ref="G778:J778" si="932">SUM(G779:G781)</f>
        <v>0</v>
      </c>
      <c r="H778" s="130">
        <f t="shared" si="932"/>
        <v>0</v>
      </c>
      <c r="I778" s="130">
        <f t="shared" si="932"/>
        <v>0</v>
      </c>
      <c r="J778" s="130">
        <f t="shared" si="932"/>
        <v>0</v>
      </c>
      <c r="K778" s="126">
        <f t="shared" si="926"/>
        <v>1024590216</v>
      </c>
      <c r="L778" s="132">
        <f t="shared" ref="L778:Q778" si="933">SUM(L779:L781)</f>
        <v>135565725</v>
      </c>
      <c r="M778" s="132">
        <f t="shared" si="933"/>
        <v>75567675</v>
      </c>
      <c r="N778" s="132">
        <f t="shared" si="933"/>
        <v>78124200</v>
      </c>
      <c r="O778" s="132">
        <f t="shared" si="933"/>
        <v>90485400</v>
      </c>
      <c r="P778" s="132">
        <f t="shared" si="933"/>
        <v>82396425</v>
      </c>
      <c r="Q778" s="132">
        <f t="shared" si="933"/>
        <v>83357062</v>
      </c>
      <c r="R778" s="78">
        <f t="shared" si="923"/>
        <v>545496487</v>
      </c>
      <c r="S778" s="132">
        <f t="shared" ref="S778:Z778" si="934">SUM(S779:S781)</f>
        <v>85929320.090000004</v>
      </c>
      <c r="T778" s="130">
        <f t="shared" si="934"/>
        <v>0</v>
      </c>
      <c r="U778" s="130">
        <f t="shared" si="934"/>
        <v>0</v>
      </c>
      <c r="V778" s="130">
        <f t="shared" si="934"/>
        <v>0</v>
      </c>
      <c r="W778" s="130">
        <f t="shared" si="934"/>
        <v>0</v>
      </c>
      <c r="X778" s="130">
        <f t="shared" si="934"/>
        <v>0</v>
      </c>
      <c r="Y778" s="132">
        <f t="shared" si="934"/>
        <v>0</v>
      </c>
      <c r="Z778" s="130">
        <f t="shared" si="934"/>
        <v>0</v>
      </c>
      <c r="AA778" s="78">
        <f t="shared" si="924"/>
        <v>85929320.090000004</v>
      </c>
      <c r="AB778" s="126">
        <f t="shared" si="909"/>
        <v>631425807.09000003</v>
      </c>
      <c r="AC778" s="180">
        <f t="shared" si="910"/>
        <v>0.6162715564033846</v>
      </c>
    </row>
    <row r="779" spans="1:29" ht="28.5" hidden="1" x14ac:dyDescent="0.2">
      <c r="B779" s="76" t="s">
        <v>979</v>
      </c>
      <c r="C779" s="77" t="s">
        <v>375</v>
      </c>
      <c r="D779" s="340">
        <v>256147554</v>
      </c>
      <c r="E779" s="188">
        <f>SUM('ADICIONES  2021'!C779:I779)</f>
        <v>0</v>
      </c>
      <c r="F779" s="131"/>
      <c r="G779" s="131"/>
      <c r="H779" s="131"/>
      <c r="I779" s="131"/>
      <c r="J779" s="131"/>
      <c r="K779" s="128">
        <f t="shared" si="926"/>
        <v>256147554</v>
      </c>
      <c r="L779" s="131">
        <v>33891430.75</v>
      </c>
      <c r="M779" s="131">
        <v>18891918.25</v>
      </c>
      <c r="N779" s="131">
        <v>19531049.5</v>
      </c>
      <c r="O779" s="131">
        <v>22621350</v>
      </c>
      <c r="P779" s="131">
        <v>20599106</v>
      </c>
      <c r="Q779" s="424">
        <v>20839265.5</v>
      </c>
      <c r="R779" s="128">
        <f t="shared" si="923"/>
        <v>136374120</v>
      </c>
      <c r="S779" s="131">
        <v>21281971.75</v>
      </c>
      <c r="T779" s="131"/>
      <c r="U779" s="131"/>
      <c r="V779" s="131"/>
      <c r="W779" s="131"/>
      <c r="X779" s="131"/>
      <c r="Y779" s="131"/>
      <c r="Z779" s="131"/>
      <c r="AA779" s="128">
        <f t="shared" si="924"/>
        <v>21281971.75</v>
      </c>
      <c r="AB779" s="128">
        <f t="shared" si="909"/>
        <v>157656091.75</v>
      </c>
      <c r="AC779" s="175">
        <f t="shared" si="910"/>
        <v>0.61548935091529311</v>
      </c>
    </row>
    <row r="780" spans="1:29" ht="28.5" hidden="1" x14ac:dyDescent="0.2">
      <c r="B780" s="76" t="s">
        <v>980</v>
      </c>
      <c r="C780" s="77" t="s">
        <v>375</v>
      </c>
      <c r="D780" s="340">
        <v>71721315.120000005</v>
      </c>
      <c r="E780" s="188">
        <f>SUM('ADICIONES  2021'!C780:I780)</f>
        <v>0</v>
      </c>
      <c r="F780" s="131"/>
      <c r="G780" s="131"/>
      <c r="H780" s="131"/>
      <c r="I780" s="131"/>
      <c r="J780" s="131"/>
      <c r="K780" s="128">
        <f t="shared" si="926"/>
        <v>71721315.120000005</v>
      </c>
      <c r="L780" s="131">
        <v>9489601.25</v>
      </c>
      <c r="M780" s="131">
        <v>5289737.75</v>
      </c>
      <c r="N780" s="131">
        <v>5468694.5</v>
      </c>
      <c r="O780" s="131">
        <v>6333978</v>
      </c>
      <c r="P780" s="131">
        <v>5767750</v>
      </c>
      <c r="Q780" s="424">
        <v>5834994.3399999999</v>
      </c>
      <c r="R780" s="128">
        <f t="shared" si="923"/>
        <v>38184755.840000004</v>
      </c>
      <c r="S780" s="131">
        <v>5958952.0899999999</v>
      </c>
      <c r="T780" s="131"/>
      <c r="U780" s="131"/>
      <c r="V780" s="131"/>
      <c r="W780" s="131"/>
      <c r="X780" s="131"/>
      <c r="Y780" s="131"/>
      <c r="Z780" s="131"/>
      <c r="AA780" s="128">
        <f t="shared" si="924"/>
        <v>5958952.0899999999</v>
      </c>
      <c r="AB780" s="128">
        <f t="shared" si="909"/>
        <v>44143707.930000007</v>
      </c>
      <c r="AC780" s="175">
        <f t="shared" si="910"/>
        <v>0.61548938214729165</v>
      </c>
    </row>
    <row r="781" spans="1:29" s="63" customFormat="1" ht="30" hidden="1" x14ac:dyDescent="0.2">
      <c r="A781" s="399"/>
      <c r="B781" s="81" t="s">
        <v>981</v>
      </c>
      <c r="C781" s="194" t="s">
        <v>974</v>
      </c>
      <c r="D781" s="339">
        <f>+D782</f>
        <v>696721346.88</v>
      </c>
      <c r="E781" s="187">
        <f>SUM('ADICIONES  2021'!C781:I781)</f>
        <v>0</v>
      </c>
      <c r="F781" s="130"/>
      <c r="G781" s="130">
        <f t="shared" ref="G781:J781" si="935">+G782</f>
        <v>0</v>
      </c>
      <c r="H781" s="130">
        <f t="shared" si="935"/>
        <v>0</v>
      </c>
      <c r="I781" s="130">
        <f t="shared" si="935"/>
        <v>0</v>
      </c>
      <c r="J781" s="130">
        <f t="shared" si="935"/>
        <v>0</v>
      </c>
      <c r="K781" s="78">
        <f t="shared" si="926"/>
        <v>696721346.88</v>
      </c>
      <c r="L781" s="130">
        <f t="shared" ref="L781:Q781" si="936">+L782</f>
        <v>92184693</v>
      </c>
      <c r="M781" s="130">
        <f t="shared" si="936"/>
        <v>51386019</v>
      </c>
      <c r="N781" s="130">
        <f t="shared" si="936"/>
        <v>53124456</v>
      </c>
      <c r="O781" s="130">
        <f t="shared" si="936"/>
        <v>61530072</v>
      </c>
      <c r="P781" s="130">
        <f t="shared" si="936"/>
        <v>56029569</v>
      </c>
      <c r="Q781" s="423">
        <f t="shared" si="936"/>
        <v>56682802.159999996</v>
      </c>
      <c r="R781" s="78">
        <f t="shared" si="923"/>
        <v>370937611.15999997</v>
      </c>
      <c r="S781" s="130">
        <f t="shared" ref="S781:Z781" si="937">+S782</f>
        <v>58688396.25</v>
      </c>
      <c r="T781" s="130">
        <f t="shared" si="937"/>
        <v>0</v>
      </c>
      <c r="U781" s="130">
        <f t="shared" si="937"/>
        <v>0</v>
      </c>
      <c r="V781" s="130">
        <f t="shared" si="937"/>
        <v>0</v>
      </c>
      <c r="W781" s="130">
        <f t="shared" si="937"/>
        <v>0</v>
      </c>
      <c r="X781" s="130">
        <f t="shared" si="937"/>
        <v>0</v>
      </c>
      <c r="Y781" s="130">
        <f t="shared" si="937"/>
        <v>0</v>
      </c>
      <c r="Z781" s="130">
        <f t="shared" si="937"/>
        <v>0</v>
      </c>
      <c r="AA781" s="78">
        <f t="shared" si="924"/>
        <v>58688396.25</v>
      </c>
      <c r="AB781" s="78">
        <f t="shared" si="909"/>
        <v>429626007.40999997</v>
      </c>
      <c r="AC781" s="174">
        <f t="shared" si="910"/>
        <v>0.6166396498886042</v>
      </c>
    </row>
    <row r="782" spans="1:29" ht="14.25" hidden="1" x14ac:dyDescent="0.2">
      <c r="B782" s="76" t="s">
        <v>982</v>
      </c>
      <c r="C782" s="77" t="s">
        <v>378</v>
      </c>
      <c r="D782" s="340">
        <v>696721346.88</v>
      </c>
      <c r="E782" s="188">
        <f>SUM('ADICIONES  2021'!C782:I782)</f>
        <v>0</v>
      </c>
      <c r="F782" s="131"/>
      <c r="G782" s="131"/>
      <c r="H782" s="131"/>
      <c r="I782" s="131"/>
      <c r="J782" s="131"/>
      <c r="K782" s="128">
        <f t="shared" si="926"/>
        <v>696721346.88</v>
      </c>
      <c r="L782" s="131">
        <v>92184693</v>
      </c>
      <c r="M782" s="131">
        <v>51386019</v>
      </c>
      <c r="N782" s="131">
        <v>53124456</v>
      </c>
      <c r="O782" s="131">
        <v>61530072</v>
      </c>
      <c r="P782" s="131">
        <v>56029569</v>
      </c>
      <c r="Q782" s="424">
        <v>56682802.159999996</v>
      </c>
      <c r="R782" s="128">
        <f t="shared" si="923"/>
        <v>370937611.15999997</v>
      </c>
      <c r="S782" s="131">
        <v>58688396.25</v>
      </c>
      <c r="T782" s="131"/>
      <c r="U782" s="131"/>
      <c r="V782" s="131"/>
      <c r="W782" s="131"/>
      <c r="X782" s="131"/>
      <c r="Y782" s="131"/>
      <c r="Z782" s="131"/>
      <c r="AA782" s="128">
        <f t="shared" si="924"/>
        <v>58688396.25</v>
      </c>
      <c r="AB782" s="128">
        <f t="shared" si="909"/>
        <v>429626007.40999997</v>
      </c>
      <c r="AC782" s="175">
        <f t="shared" si="910"/>
        <v>0.6166396498886042</v>
      </c>
    </row>
    <row r="783" spans="1:29" s="19" customFormat="1" ht="30" x14ac:dyDescent="0.2">
      <c r="A783" s="71">
        <v>1</v>
      </c>
      <c r="B783" s="82" t="s">
        <v>983</v>
      </c>
      <c r="C783" s="83" t="s">
        <v>984</v>
      </c>
      <c r="D783" s="339">
        <f>SUM(D784:D786)</f>
        <v>810355602.97000003</v>
      </c>
      <c r="E783" s="187">
        <f>SUM('ADICIONES  2021'!C783:I783)</f>
        <v>168538869.03</v>
      </c>
      <c r="F783" s="130"/>
      <c r="G783" s="130">
        <f t="shared" ref="G783:J783" si="938">SUM(G784:G786)</f>
        <v>0</v>
      </c>
      <c r="H783" s="130">
        <f t="shared" si="938"/>
        <v>0</v>
      </c>
      <c r="I783" s="130">
        <f t="shared" si="938"/>
        <v>0</v>
      </c>
      <c r="J783" s="130">
        <f t="shared" si="938"/>
        <v>0</v>
      </c>
      <c r="K783" s="126">
        <f t="shared" si="926"/>
        <v>978894472</v>
      </c>
      <c r="L783" s="132">
        <f t="shared" ref="L783:Q783" si="939">SUM(L784:L786)</f>
        <v>0</v>
      </c>
      <c r="M783" s="132">
        <f t="shared" si="939"/>
        <v>734170854</v>
      </c>
      <c r="N783" s="132">
        <f t="shared" si="939"/>
        <v>244723618</v>
      </c>
      <c r="O783" s="132">
        <f t="shared" si="939"/>
        <v>0</v>
      </c>
      <c r="P783" s="132">
        <f t="shared" si="939"/>
        <v>0</v>
      </c>
      <c r="Q783" s="132">
        <f t="shared" si="939"/>
        <v>0</v>
      </c>
      <c r="R783" s="78">
        <f t="shared" si="923"/>
        <v>978894472</v>
      </c>
      <c r="S783" s="132">
        <f t="shared" ref="S783:Z783" si="940">SUM(S784:S786)</f>
        <v>495518.33</v>
      </c>
      <c r="T783" s="130">
        <f t="shared" si="940"/>
        <v>0</v>
      </c>
      <c r="U783" s="130">
        <f t="shared" si="940"/>
        <v>0</v>
      </c>
      <c r="V783" s="130">
        <f t="shared" si="940"/>
        <v>0</v>
      </c>
      <c r="W783" s="130">
        <f t="shared" si="940"/>
        <v>0</v>
      </c>
      <c r="X783" s="130">
        <f t="shared" si="940"/>
        <v>0</v>
      </c>
      <c r="Y783" s="132">
        <f t="shared" si="940"/>
        <v>0</v>
      </c>
      <c r="Z783" s="130">
        <f t="shared" si="940"/>
        <v>0</v>
      </c>
      <c r="AA783" s="78">
        <f t="shared" si="924"/>
        <v>495518.33</v>
      </c>
      <c r="AB783" s="126">
        <f t="shared" si="909"/>
        <v>979389990.33000004</v>
      </c>
      <c r="AC783" s="180">
        <f t="shared" si="910"/>
        <v>1.0005062019902795</v>
      </c>
    </row>
    <row r="784" spans="1:29" ht="28.5" hidden="1" x14ac:dyDescent="0.2">
      <c r="B784" s="76" t="s">
        <v>985</v>
      </c>
      <c r="C784" s="77" t="s">
        <v>375</v>
      </c>
      <c r="D784" s="340">
        <v>202588887.19999999</v>
      </c>
      <c r="E784" s="188">
        <f>SUM('ADICIONES  2021'!C784:I784)</f>
        <v>0</v>
      </c>
      <c r="F784" s="131"/>
      <c r="G784" s="131"/>
      <c r="H784" s="131"/>
      <c r="I784" s="131"/>
      <c r="J784" s="131"/>
      <c r="K784" s="128">
        <f t="shared" si="926"/>
        <v>202588887.19999999</v>
      </c>
      <c r="L784" s="131">
        <v>0</v>
      </c>
      <c r="M784" s="131">
        <v>0</v>
      </c>
      <c r="N784" s="131">
        <v>244723618</v>
      </c>
      <c r="O784" s="131">
        <v>-42134730.799999997</v>
      </c>
      <c r="P784" s="131"/>
      <c r="Q784" s="424"/>
      <c r="R784" s="128">
        <f t="shared" si="923"/>
        <v>202588887.19999999</v>
      </c>
      <c r="S784" s="131">
        <v>0</v>
      </c>
      <c r="T784" s="131"/>
      <c r="U784" s="131"/>
      <c r="V784" s="131"/>
      <c r="W784" s="131"/>
      <c r="X784" s="131"/>
      <c r="Y784" s="131"/>
      <c r="Z784" s="131"/>
      <c r="AA784" s="128">
        <f t="shared" si="924"/>
        <v>0</v>
      </c>
      <c r="AB784" s="128">
        <f t="shared" si="909"/>
        <v>202588887.19999999</v>
      </c>
      <c r="AC784" s="175">
        <f t="shared" si="910"/>
        <v>1</v>
      </c>
    </row>
    <row r="785" spans="1:29" ht="28.5" hidden="1" x14ac:dyDescent="0.2">
      <c r="B785" s="76" t="s">
        <v>985</v>
      </c>
      <c r="C785" s="77" t="s">
        <v>375</v>
      </c>
      <c r="D785" s="340"/>
      <c r="E785" s="188">
        <f>SUM('ADICIONES  2021'!C785:I785)</f>
        <v>42134730.799999997</v>
      </c>
      <c r="F785" s="131"/>
      <c r="G785" s="131"/>
      <c r="H785" s="131"/>
      <c r="I785" s="131"/>
      <c r="J785" s="131"/>
      <c r="K785" s="128">
        <f t="shared" si="926"/>
        <v>42134730.799999997</v>
      </c>
      <c r="L785" s="131"/>
      <c r="M785" s="131"/>
      <c r="N785" s="131"/>
      <c r="O785" s="131">
        <v>42134730.799999997</v>
      </c>
      <c r="P785" s="131"/>
      <c r="Q785" s="424"/>
      <c r="R785" s="128">
        <f t="shared" si="923"/>
        <v>42134730.799999997</v>
      </c>
      <c r="S785" s="131">
        <v>0</v>
      </c>
      <c r="T785" s="131"/>
      <c r="U785" s="131"/>
      <c r="V785" s="131"/>
      <c r="W785" s="131"/>
      <c r="X785" s="131"/>
      <c r="Y785" s="131"/>
      <c r="Z785" s="131"/>
      <c r="AA785" s="128">
        <f t="shared" ref="AA785" si="941">SUM(S785:Z785)</f>
        <v>0</v>
      </c>
      <c r="AB785" s="128">
        <f t="shared" si="909"/>
        <v>42134730.799999997</v>
      </c>
      <c r="AC785" s="175">
        <f t="shared" si="910"/>
        <v>1</v>
      </c>
    </row>
    <row r="786" spans="1:29" s="63" customFormat="1" ht="30" hidden="1" x14ac:dyDescent="0.2">
      <c r="A786" s="399"/>
      <c r="B786" s="81" t="s">
        <v>986</v>
      </c>
      <c r="C786" s="194" t="s">
        <v>987</v>
      </c>
      <c r="D786" s="339">
        <f>+D787+D788</f>
        <v>607766715.76999998</v>
      </c>
      <c r="E786" s="187">
        <f>SUM('ADICIONES  2021'!C786:I786)</f>
        <v>126404138.23</v>
      </c>
      <c r="F786" s="130">
        <f t="shared" ref="F786:J786" si="942">+F787+F788</f>
        <v>0</v>
      </c>
      <c r="G786" s="130">
        <f t="shared" si="942"/>
        <v>0</v>
      </c>
      <c r="H786" s="130">
        <f t="shared" si="942"/>
        <v>0</v>
      </c>
      <c r="I786" s="130">
        <f t="shared" si="942"/>
        <v>0</v>
      </c>
      <c r="J786" s="130">
        <f t="shared" si="942"/>
        <v>0</v>
      </c>
      <c r="K786" s="78">
        <f t="shared" si="926"/>
        <v>734170854</v>
      </c>
      <c r="L786" s="130">
        <f t="shared" ref="L786:Q786" si="943">+L787+L788</f>
        <v>0</v>
      </c>
      <c r="M786" s="130">
        <f t="shared" si="943"/>
        <v>734170854</v>
      </c>
      <c r="N786" s="130">
        <f t="shared" si="943"/>
        <v>0</v>
      </c>
      <c r="O786" s="130">
        <f t="shared" si="943"/>
        <v>0</v>
      </c>
      <c r="P786" s="130">
        <f t="shared" si="943"/>
        <v>0</v>
      </c>
      <c r="Q786" s="423">
        <f t="shared" si="943"/>
        <v>0</v>
      </c>
      <c r="R786" s="78">
        <f t="shared" si="923"/>
        <v>734170854</v>
      </c>
      <c r="S786" s="130">
        <f t="shared" ref="S786:Y786" si="944">+S787+S788</f>
        <v>495518.33</v>
      </c>
      <c r="T786" s="130">
        <f t="shared" si="944"/>
        <v>0</v>
      </c>
      <c r="U786" s="130">
        <f t="shared" si="944"/>
        <v>0</v>
      </c>
      <c r="V786" s="130">
        <f t="shared" si="944"/>
        <v>0</v>
      </c>
      <c r="W786" s="130">
        <f t="shared" si="944"/>
        <v>0</v>
      </c>
      <c r="X786" s="130">
        <f t="shared" si="944"/>
        <v>0</v>
      </c>
      <c r="Y786" s="130">
        <f t="shared" si="944"/>
        <v>0</v>
      </c>
      <c r="Z786" s="130">
        <f>+Z787+Z788</f>
        <v>0</v>
      </c>
      <c r="AA786" s="78">
        <f t="shared" si="924"/>
        <v>495518.33</v>
      </c>
      <c r="AB786" s="78">
        <f t="shared" si="909"/>
        <v>734666372.33000004</v>
      </c>
      <c r="AC786" s="174">
        <f t="shared" si="910"/>
        <v>1.0006749359870395</v>
      </c>
    </row>
    <row r="787" spans="1:29" ht="14.25" hidden="1" x14ac:dyDescent="0.2">
      <c r="B787" s="76" t="s">
        <v>988</v>
      </c>
      <c r="C787" s="77" t="s">
        <v>378</v>
      </c>
      <c r="D787" s="340">
        <v>607766715.76999998</v>
      </c>
      <c r="E787" s="188">
        <f>SUM('ADICIONES  2021'!C787:I787)</f>
        <v>0</v>
      </c>
      <c r="F787" s="131"/>
      <c r="G787" s="131"/>
      <c r="H787" s="131"/>
      <c r="I787" s="131"/>
      <c r="J787" s="131"/>
      <c r="K787" s="128">
        <f t="shared" si="926"/>
        <v>607766715.76999998</v>
      </c>
      <c r="L787" s="131">
        <v>0</v>
      </c>
      <c r="M787" s="131">
        <v>734170854</v>
      </c>
      <c r="N787" s="131">
        <v>0</v>
      </c>
      <c r="O787" s="131">
        <v>-126404138.23</v>
      </c>
      <c r="P787" s="131"/>
      <c r="Q787" s="424"/>
      <c r="R787" s="128">
        <f t="shared" si="923"/>
        <v>607766715.76999998</v>
      </c>
      <c r="S787" s="131">
        <v>495518.33</v>
      </c>
      <c r="T787" s="131"/>
      <c r="U787" s="131"/>
      <c r="V787" s="131"/>
      <c r="W787" s="131"/>
      <c r="X787" s="131"/>
      <c r="Y787" s="131"/>
      <c r="Z787" s="131"/>
      <c r="AA787" s="128">
        <f t="shared" si="924"/>
        <v>495518.33</v>
      </c>
      <c r="AB787" s="128">
        <f t="shared" si="909"/>
        <v>608262234.10000002</v>
      </c>
      <c r="AC787" s="175">
        <f t="shared" si="910"/>
        <v>1.0008153100805663</v>
      </c>
    </row>
    <row r="788" spans="1:29" ht="14.25" hidden="1" x14ac:dyDescent="0.2">
      <c r="B788" s="76" t="s">
        <v>988</v>
      </c>
      <c r="C788" s="77" t="s">
        <v>378</v>
      </c>
      <c r="D788" s="340"/>
      <c r="E788" s="188">
        <f>SUM('ADICIONES  2021'!C788:I788)</f>
        <v>126404138.23</v>
      </c>
      <c r="F788" s="131"/>
      <c r="G788" s="131"/>
      <c r="H788" s="131"/>
      <c r="I788" s="131"/>
      <c r="J788" s="131"/>
      <c r="K788" s="128">
        <f t="shared" si="926"/>
        <v>126404138.23</v>
      </c>
      <c r="L788" s="131"/>
      <c r="M788" s="131"/>
      <c r="N788" s="131"/>
      <c r="O788" s="131">
        <v>126404138.23</v>
      </c>
      <c r="P788" s="131"/>
      <c r="Q788" s="424"/>
      <c r="R788" s="128">
        <f t="shared" si="923"/>
        <v>126404138.23</v>
      </c>
      <c r="S788" s="131">
        <v>0</v>
      </c>
      <c r="T788" s="131"/>
      <c r="U788" s="131"/>
      <c r="V788" s="131"/>
      <c r="W788" s="131"/>
      <c r="X788" s="131"/>
      <c r="Y788" s="131"/>
      <c r="Z788" s="131"/>
      <c r="AA788" s="128">
        <f t="shared" ref="AA788" si="945">SUM(S788:Z788)</f>
        <v>0</v>
      </c>
      <c r="AB788" s="128">
        <f t="shared" si="909"/>
        <v>126404138.23</v>
      </c>
      <c r="AC788" s="175">
        <f t="shared" si="910"/>
        <v>1</v>
      </c>
    </row>
    <row r="789" spans="1:29" s="63" customFormat="1" ht="31.5" x14ac:dyDescent="0.2">
      <c r="A789" s="399">
        <v>1</v>
      </c>
      <c r="B789" s="81" t="s">
        <v>431</v>
      </c>
      <c r="C789" s="79" t="s">
        <v>989</v>
      </c>
      <c r="D789" s="339">
        <f>+D790+D796</f>
        <v>15174707593.51</v>
      </c>
      <c r="E789" s="187">
        <f>SUM('ADICIONES  2021'!C789:I789)</f>
        <v>0</v>
      </c>
      <c r="F789" s="130"/>
      <c r="G789" s="130">
        <f t="shared" ref="G789:J789" si="946">+G790+G796</f>
        <v>0</v>
      </c>
      <c r="H789" s="130">
        <f t="shared" si="946"/>
        <v>0</v>
      </c>
      <c r="I789" s="130">
        <f t="shared" si="946"/>
        <v>0</v>
      </c>
      <c r="J789" s="130">
        <f t="shared" si="946"/>
        <v>0</v>
      </c>
      <c r="K789" s="78">
        <f t="shared" si="926"/>
        <v>15174707593.51</v>
      </c>
      <c r="L789" s="130">
        <f t="shared" ref="L789:Q789" si="947">+L790+L796</f>
        <v>2204930018</v>
      </c>
      <c r="M789" s="130">
        <f t="shared" si="947"/>
        <v>769757009</v>
      </c>
      <c r="N789" s="130">
        <f t="shared" si="947"/>
        <v>2035794114</v>
      </c>
      <c r="O789" s="130">
        <f t="shared" si="947"/>
        <v>744842987</v>
      </c>
      <c r="P789" s="130">
        <f t="shared" si="947"/>
        <v>961809563</v>
      </c>
      <c r="Q789" s="130">
        <f t="shared" si="947"/>
        <v>813504792</v>
      </c>
      <c r="R789" s="78">
        <f t="shared" si="923"/>
        <v>7530638483</v>
      </c>
      <c r="S789" s="130">
        <f t="shared" ref="S789:Z789" si="948">+S790+S796</f>
        <v>2147285414.3699999</v>
      </c>
      <c r="T789" s="130">
        <f t="shared" si="948"/>
        <v>0</v>
      </c>
      <c r="U789" s="130">
        <f t="shared" si="948"/>
        <v>0</v>
      </c>
      <c r="V789" s="130">
        <f t="shared" si="948"/>
        <v>0</v>
      </c>
      <c r="W789" s="130">
        <f t="shared" si="948"/>
        <v>0</v>
      </c>
      <c r="X789" s="130">
        <f t="shared" si="948"/>
        <v>0</v>
      </c>
      <c r="Y789" s="130">
        <f t="shared" si="948"/>
        <v>0</v>
      </c>
      <c r="Z789" s="130">
        <f t="shared" si="948"/>
        <v>0</v>
      </c>
      <c r="AA789" s="78">
        <f t="shared" si="924"/>
        <v>2147285414.3699999</v>
      </c>
      <c r="AB789" s="78">
        <f t="shared" si="909"/>
        <v>9677923897.3699989</v>
      </c>
      <c r="AC789" s="174">
        <f t="shared" si="910"/>
        <v>0.63776674691966417</v>
      </c>
    </row>
    <row r="790" spans="1:29" s="19" customFormat="1" ht="15.75" x14ac:dyDescent="0.2">
      <c r="A790" s="71">
        <v>1</v>
      </c>
      <c r="B790" s="82" t="s">
        <v>433</v>
      </c>
      <c r="C790" s="83" t="s">
        <v>990</v>
      </c>
      <c r="D790" s="339">
        <f>+D791</f>
        <v>7092000000</v>
      </c>
      <c r="E790" s="187">
        <f>SUM('ADICIONES  2021'!C790:I790)</f>
        <v>0</v>
      </c>
      <c r="F790" s="130"/>
      <c r="G790" s="130">
        <f t="shared" ref="G790:J790" si="949">+G791</f>
        <v>0</v>
      </c>
      <c r="H790" s="130">
        <f t="shared" si="949"/>
        <v>0</v>
      </c>
      <c r="I790" s="130">
        <f t="shared" si="949"/>
        <v>0</v>
      </c>
      <c r="J790" s="130">
        <f t="shared" si="949"/>
        <v>0</v>
      </c>
      <c r="K790" s="126">
        <f t="shared" si="926"/>
        <v>7092000000</v>
      </c>
      <c r="L790" s="132">
        <f t="shared" ref="L790:Q790" si="950">+L791</f>
        <v>978466605</v>
      </c>
      <c r="M790" s="132">
        <f t="shared" si="950"/>
        <v>346208735</v>
      </c>
      <c r="N790" s="132">
        <f t="shared" si="950"/>
        <v>654264045</v>
      </c>
      <c r="O790" s="132">
        <f t="shared" si="950"/>
        <v>478782534</v>
      </c>
      <c r="P790" s="132">
        <f t="shared" si="950"/>
        <v>474244328</v>
      </c>
      <c r="Q790" s="132">
        <f t="shared" si="950"/>
        <v>378323582</v>
      </c>
      <c r="R790" s="78">
        <f t="shared" si="923"/>
        <v>3310289829</v>
      </c>
      <c r="S790" s="132">
        <f t="shared" ref="S790:Z790" si="951">+S791</f>
        <v>657268445.94000006</v>
      </c>
      <c r="T790" s="130">
        <f t="shared" si="951"/>
        <v>0</v>
      </c>
      <c r="U790" s="130">
        <f t="shared" si="951"/>
        <v>0</v>
      </c>
      <c r="V790" s="130">
        <f t="shared" si="951"/>
        <v>0</v>
      </c>
      <c r="W790" s="130">
        <f t="shared" si="951"/>
        <v>0</v>
      </c>
      <c r="X790" s="130">
        <f t="shared" si="951"/>
        <v>0</v>
      </c>
      <c r="Y790" s="132">
        <f t="shared" si="951"/>
        <v>0</v>
      </c>
      <c r="Z790" s="130">
        <f t="shared" si="951"/>
        <v>0</v>
      </c>
      <c r="AA790" s="78">
        <f t="shared" si="924"/>
        <v>657268445.94000006</v>
      </c>
      <c r="AB790" s="126">
        <f t="shared" si="909"/>
        <v>3967558274.9400001</v>
      </c>
      <c r="AC790" s="180">
        <f t="shared" si="910"/>
        <v>0.55944138112521147</v>
      </c>
    </row>
    <row r="791" spans="1:29" s="63" customFormat="1" ht="47.25" hidden="1" x14ac:dyDescent="0.2">
      <c r="A791" s="399"/>
      <c r="B791" s="81" t="s">
        <v>442</v>
      </c>
      <c r="C791" s="79" t="s">
        <v>991</v>
      </c>
      <c r="D791" s="339">
        <f>SUM(D792:D794)</f>
        <v>7092000000</v>
      </c>
      <c r="E791" s="187">
        <f>SUM('ADICIONES  2021'!C791:I791)</f>
        <v>0</v>
      </c>
      <c r="F791" s="130"/>
      <c r="G791" s="130">
        <f t="shared" ref="G791:J791" si="952">SUM(G792:G794)</f>
        <v>0</v>
      </c>
      <c r="H791" s="130">
        <f t="shared" si="952"/>
        <v>0</v>
      </c>
      <c r="I791" s="130">
        <f t="shared" si="952"/>
        <v>0</v>
      </c>
      <c r="J791" s="130">
        <f t="shared" si="952"/>
        <v>0</v>
      </c>
      <c r="K791" s="78">
        <f t="shared" si="926"/>
        <v>7092000000</v>
      </c>
      <c r="L791" s="130">
        <f t="shared" ref="L791:Q791" si="953">SUM(L792:L794)</f>
        <v>978466605</v>
      </c>
      <c r="M791" s="130">
        <f t="shared" si="953"/>
        <v>346208735</v>
      </c>
      <c r="N791" s="130">
        <f t="shared" si="953"/>
        <v>654264045</v>
      </c>
      <c r="O791" s="130">
        <f t="shared" si="953"/>
        <v>478782534</v>
      </c>
      <c r="P791" s="130">
        <f t="shared" si="953"/>
        <v>474244328</v>
      </c>
      <c r="Q791" s="423">
        <f t="shared" si="953"/>
        <v>378323582</v>
      </c>
      <c r="R791" s="78">
        <f t="shared" si="923"/>
        <v>3310289829</v>
      </c>
      <c r="S791" s="130">
        <f t="shared" ref="S791:Z791" si="954">SUM(S792:S794)</f>
        <v>657268445.94000006</v>
      </c>
      <c r="T791" s="130">
        <f t="shared" si="954"/>
        <v>0</v>
      </c>
      <c r="U791" s="130">
        <f t="shared" si="954"/>
        <v>0</v>
      </c>
      <c r="V791" s="130">
        <f t="shared" si="954"/>
        <v>0</v>
      </c>
      <c r="W791" s="130">
        <f t="shared" si="954"/>
        <v>0</v>
      </c>
      <c r="X791" s="130">
        <f t="shared" si="954"/>
        <v>0</v>
      </c>
      <c r="Y791" s="130">
        <f t="shared" si="954"/>
        <v>0</v>
      </c>
      <c r="Z791" s="130">
        <f t="shared" si="954"/>
        <v>0</v>
      </c>
      <c r="AA791" s="78">
        <f t="shared" si="924"/>
        <v>657268445.94000006</v>
      </c>
      <c r="AB791" s="78">
        <f t="shared" si="909"/>
        <v>3967558274.9400001</v>
      </c>
      <c r="AC791" s="174">
        <f t="shared" si="910"/>
        <v>0.55944138112521147</v>
      </c>
    </row>
    <row r="792" spans="1:29" ht="28.5" hidden="1" x14ac:dyDescent="0.2">
      <c r="B792" s="76" t="s">
        <v>444</v>
      </c>
      <c r="C792" s="77" t="s">
        <v>375</v>
      </c>
      <c r="D792" s="340">
        <f>+D793</f>
        <v>1773000000</v>
      </c>
      <c r="E792" s="188">
        <f>SUM('ADICIONES  2021'!C792:I792)</f>
        <v>0</v>
      </c>
      <c r="F792" s="131"/>
      <c r="G792" s="131"/>
      <c r="H792" s="131"/>
      <c r="I792" s="131"/>
      <c r="J792" s="131"/>
      <c r="K792" s="128">
        <f t="shared" si="926"/>
        <v>1773000000</v>
      </c>
      <c r="L792" s="131">
        <v>244616651</v>
      </c>
      <c r="M792" s="131">
        <v>86552184</v>
      </c>
      <c r="N792" s="131">
        <v>163619062</v>
      </c>
      <c r="O792" s="131">
        <v>119695600</v>
      </c>
      <c r="P792" s="131">
        <v>118561000</v>
      </c>
      <c r="Q792" s="424">
        <v>94584130</v>
      </c>
      <c r="R792" s="128">
        <f t="shared" si="923"/>
        <v>827628627</v>
      </c>
      <c r="S792" s="131">
        <v>163093650</v>
      </c>
      <c r="T792" s="131"/>
      <c r="U792" s="131"/>
      <c r="V792" s="131"/>
      <c r="W792" s="131"/>
      <c r="X792" s="131"/>
      <c r="Y792" s="131"/>
      <c r="Z792" s="131"/>
      <c r="AA792" s="128">
        <f t="shared" si="924"/>
        <v>163093650</v>
      </c>
      <c r="AB792" s="128">
        <f t="shared" si="909"/>
        <v>990722277</v>
      </c>
      <c r="AC792" s="175">
        <f t="shared" si="910"/>
        <v>0.55878301015228427</v>
      </c>
    </row>
    <row r="793" spans="1:29" ht="28.5" hidden="1" x14ac:dyDescent="0.2">
      <c r="B793" s="76" t="s">
        <v>445</v>
      </c>
      <c r="C793" s="77" t="s">
        <v>376</v>
      </c>
      <c r="D793" s="340">
        <v>1773000000</v>
      </c>
      <c r="E793" s="188">
        <f>SUM('ADICIONES  2021'!C793:I793)</f>
        <v>0</v>
      </c>
      <c r="F793" s="131"/>
      <c r="G793" s="131"/>
      <c r="H793" s="131"/>
      <c r="I793" s="131"/>
      <c r="J793" s="131"/>
      <c r="K793" s="128">
        <f t="shared" si="926"/>
        <v>1773000000</v>
      </c>
      <c r="L793" s="131">
        <v>244616651</v>
      </c>
      <c r="M793" s="131">
        <v>86552184</v>
      </c>
      <c r="N793" s="131">
        <v>163619062</v>
      </c>
      <c r="O793" s="131">
        <v>119695600</v>
      </c>
      <c r="P793" s="131">
        <v>118561000</v>
      </c>
      <c r="Q793" s="424">
        <v>94584130</v>
      </c>
      <c r="R793" s="128">
        <f t="shared" si="923"/>
        <v>827628627</v>
      </c>
      <c r="S793" s="131">
        <v>163093650</v>
      </c>
      <c r="T793" s="131"/>
      <c r="U793" s="131"/>
      <c r="V793" s="131"/>
      <c r="W793" s="131"/>
      <c r="X793" s="131"/>
      <c r="Y793" s="131"/>
      <c r="Z793" s="131"/>
      <c r="AA793" s="128">
        <f t="shared" si="924"/>
        <v>163093650</v>
      </c>
      <c r="AB793" s="128">
        <f t="shared" si="909"/>
        <v>990722277</v>
      </c>
      <c r="AC793" s="175">
        <f t="shared" si="910"/>
        <v>0.55878301015228427</v>
      </c>
    </row>
    <row r="794" spans="1:29" s="63" customFormat="1" ht="30" hidden="1" x14ac:dyDescent="0.2">
      <c r="A794" s="399"/>
      <c r="B794" s="81" t="s">
        <v>446</v>
      </c>
      <c r="C794" s="194" t="s">
        <v>987</v>
      </c>
      <c r="D794" s="339">
        <f>+D795</f>
        <v>3546000000</v>
      </c>
      <c r="E794" s="187">
        <f>SUM('ADICIONES  2021'!C794:I794)</f>
        <v>0</v>
      </c>
      <c r="F794" s="130"/>
      <c r="G794" s="130">
        <f t="shared" ref="G794:J794" si="955">+G795</f>
        <v>0</v>
      </c>
      <c r="H794" s="130">
        <f t="shared" si="955"/>
        <v>0</v>
      </c>
      <c r="I794" s="130">
        <f t="shared" si="955"/>
        <v>0</v>
      </c>
      <c r="J794" s="130">
        <f t="shared" si="955"/>
        <v>0</v>
      </c>
      <c r="K794" s="78">
        <f t="shared" si="926"/>
        <v>3546000000</v>
      </c>
      <c r="L794" s="130">
        <f t="shared" ref="L794:Q794" si="956">+L795</f>
        <v>489233303</v>
      </c>
      <c r="M794" s="130">
        <f t="shared" si="956"/>
        <v>173104367</v>
      </c>
      <c r="N794" s="130">
        <f t="shared" si="956"/>
        <v>327025921</v>
      </c>
      <c r="O794" s="130">
        <f t="shared" si="956"/>
        <v>239391334</v>
      </c>
      <c r="P794" s="130">
        <f t="shared" si="956"/>
        <v>237122328</v>
      </c>
      <c r="Q794" s="423">
        <f t="shared" si="956"/>
        <v>189155322</v>
      </c>
      <c r="R794" s="78">
        <f t="shared" si="923"/>
        <v>1655032575</v>
      </c>
      <c r="S794" s="130">
        <f t="shared" ref="S794:Z794" si="957">+S795</f>
        <v>331081145.94</v>
      </c>
      <c r="T794" s="130">
        <f t="shared" si="957"/>
        <v>0</v>
      </c>
      <c r="U794" s="130">
        <f t="shared" si="957"/>
        <v>0</v>
      </c>
      <c r="V794" s="130">
        <f t="shared" si="957"/>
        <v>0</v>
      </c>
      <c r="W794" s="130">
        <f t="shared" si="957"/>
        <v>0</v>
      </c>
      <c r="X794" s="130">
        <f t="shared" si="957"/>
        <v>0</v>
      </c>
      <c r="Y794" s="130">
        <f t="shared" si="957"/>
        <v>0</v>
      </c>
      <c r="Z794" s="130">
        <f t="shared" si="957"/>
        <v>0</v>
      </c>
      <c r="AA794" s="78">
        <f t="shared" si="924"/>
        <v>331081145.94</v>
      </c>
      <c r="AB794" s="78">
        <f t="shared" si="909"/>
        <v>1986113720.9400001</v>
      </c>
      <c r="AC794" s="174">
        <f t="shared" si="910"/>
        <v>0.56009975209813878</v>
      </c>
    </row>
    <row r="795" spans="1:29" ht="14.25" hidden="1" x14ac:dyDescent="0.2">
      <c r="B795" s="76" t="s">
        <v>992</v>
      </c>
      <c r="C795" s="77" t="s">
        <v>378</v>
      </c>
      <c r="D795" s="340">
        <v>3546000000</v>
      </c>
      <c r="E795" s="188">
        <f>SUM('ADICIONES  2021'!C795:I795)</f>
        <v>0</v>
      </c>
      <c r="F795" s="131"/>
      <c r="G795" s="131"/>
      <c r="H795" s="131"/>
      <c r="I795" s="131"/>
      <c r="J795" s="131"/>
      <c r="K795" s="128">
        <f t="shared" si="926"/>
        <v>3546000000</v>
      </c>
      <c r="L795" s="131">
        <v>489233303</v>
      </c>
      <c r="M795" s="131">
        <v>173104367</v>
      </c>
      <c r="N795" s="131">
        <v>327025921</v>
      </c>
      <c r="O795" s="131">
        <v>239391334</v>
      </c>
      <c r="P795" s="131">
        <v>237122328</v>
      </c>
      <c r="Q795" s="424">
        <v>189155322</v>
      </c>
      <c r="R795" s="128">
        <f t="shared" si="923"/>
        <v>1655032575</v>
      </c>
      <c r="S795" s="131">
        <v>331081145.94</v>
      </c>
      <c r="T795" s="131"/>
      <c r="U795" s="131"/>
      <c r="V795" s="131"/>
      <c r="W795" s="131"/>
      <c r="X795" s="131"/>
      <c r="Y795" s="131"/>
      <c r="Z795" s="131"/>
      <c r="AA795" s="128">
        <f t="shared" si="924"/>
        <v>331081145.94</v>
      </c>
      <c r="AB795" s="128">
        <f t="shared" si="909"/>
        <v>1986113720.9400001</v>
      </c>
      <c r="AC795" s="175">
        <f t="shared" si="910"/>
        <v>0.56009975209813878</v>
      </c>
    </row>
    <row r="796" spans="1:29" s="63" customFormat="1" ht="31.5" x14ac:dyDescent="0.2">
      <c r="A796" s="399">
        <v>1</v>
      </c>
      <c r="B796" s="81" t="s">
        <v>449</v>
      </c>
      <c r="C796" s="79" t="s">
        <v>993</v>
      </c>
      <c r="D796" s="339">
        <f>+D797+D802</f>
        <v>8082707593.5100002</v>
      </c>
      <c r="E796" s="187">
        <f>SUM('ADICIONES  2021'!C796:I796)</f>
        <v>0</v>
      </c>
      <c r="F796" s="130"/>
      <c r="G796" s="130">
        <f t="shared" ref="G796:J796" si="958">+G797+G802</f>
        <v>0</v>
      </c>
      <c r="H796" s="130">
        <f t="shared" si="958"/>
        <v>0</v>
      </c>
      <c r="I796" s="130">
        <f t="shared" si="958"/>
        <v>0</v>
      </c>
      <c r="J796" s="130">
        <f t="shared" si="958"/>
        <v>0</v>
      </c>
      <c r="K796" s="78">
        <f t="shared" si="926"/>
        <v>8082707593.5100002</v>
      </c>
      <c r="L796" s="130">
        <f t="shared" ref="L796:Q796" si="959">+L797+L802</f>
        <v>1226463413</v>
      </c>
      <c r="M796" s="130">
        <f t="shared" si="959"/>
        <v>423548274</v>
      </c>
      <c r="N796" s="130">
        <f t="shared" si="959"/>
        <v>1381530069</v>
      </c>
      <c r="O796" s="130">
        <f t="shared" si="959"/>
        <v>266060453</v>
      </c>
      <c r="P796" s="130">
        <f t="shared" si="959"/>
        <v>487565235</v>
      </c>
      <c r="Q796" s="130">
        <f t="shared" si="959"/>
        <v>435181210</v>
      </c>
      <c r="R796" s="78">
        <f t="shared" si="923"/>
        <v>4220348654</v>
      </c>
      <c r="S796" s="130">
        <f t="shared" ref="S796:Z796" si="960">+S797+S802</f>
        <v>1490016968.4299998</v>
      </c>
      <c r="T796" s="130">
        <f t="shared" si="960"/>
        <v>0</v>
      </c>
      <c r="U796" s="130">
        <f t="shared" si="960"/>
        <v>0</v>
      </c>
      <c r="V796" s="130">
        <f t="shared" si="960"/>
        <v>0</v>
      </c>
      <c r="W796" s="130">
        <f t="shared" si="960"/>
        <v>0</v>
      </c>
      <c r="X796" s="130">
        <f t="shared" si="960"/>
        <v>0</v>
      </c>
      <c r="Y796" s="130">
        <f t="shared" si="960"/>
        <v>0</v>
      </c>
      <c r="Z796" s="130">
        <f t="shared" si="960"/>
        <v>0</v>
      </c>
      <c r="AA796" s="78">
        <f t="shared" si="924"/>
        <v>1490016968.4299998</v>
      </c>
      <c r="AB796" s="78">
        <f t="shared" si="909"/>
        <v>5710365622.4300003</v>
      </c>
      <c r="AC796" s="174">
        <f t="shared" si="910"/>
        <v>0.70649167452440453</v>
      </c>
    </row>
    <row r="797" spans="1:29" ht="45" x14ac:dyDescent="0.2">
      <c r="A797" s="398">
        <v>1</v>
      </c>
      <c r="B797" s="82" t="s">
        <v>451</v>
      </c>
      <c r="C797" s="83" t="s">
        <v>994</v>
      </c>
      <c r="D797" s="339">
        <f>SUM(D798:D800)</f>
        <v>6082707593.5100002</v>
      </c>
      <c r="E797" s="187">
        <f>SUM('ADICIONES  2021'!C797:I797)</f>
        <v>0</v>
      </c>
      <c r="F797" s="130"/>
      <c r="G797" s="130">
        <f t="shared" ref="G797:J797" si="961">SUM(G798:G800)</f>
        <v>0</v>
      </c>
      <c r="H797" s="130">
        <f t="shared" si="961"/>
        <v>0</v>
      </c>
      <c r="I797" s="130">
        <f t="shared" si="961"/>
        <v>0</v>
      </c>
      <c r="J797" s="130">
        <f t="shared" si="961"/>
        <v>0</v>
      </c>
      <c r="K797" s="126">
        <f t="shared" si="926"/>
        <v>6082707593.5100002</v>
      </c>
      <c r="L797" s="132">
        <f t="shared" ref="L797:Q797" si="962">SUM(L798:L800)</f>
        <v>830024548</v>
      </c>
      <c r="M797" s="132">
        <f t="shared" si="962"/>
        <v>251139589</v>
      </c>
      <c r="N797" s="132">
        <f t="shared" si="962"/>
        <v>1140121455</v>
      </c>
      <c r="O797" s="132">
        <f t="shared" si="962"/>
        <v>120077160</v>
      </c>
      <c r="P797" s="132">
        <f t="shared" si="962"/>
        <v>339176780</v>
      </c>
      <c r="Q797" s="132">
        <f t="shared" si="962"/>
        <v>211317730</v>
      </c>
      <c r="R797" s="78">
        <f t="shared" si="923"/>
        <v>2891857262</v>
      </c>
      <c r="S797" s="132">
        <f t="shared" ref="S797:Z797" si="963">SUM(S798:S800)</f>
        <v>1249131210.1799998</v>
      </c>
      <c r="T797" s="130">
        <f t="shared" si="963"/>
        <v>0</v>
      </c>
      <c r="U797" s="130">
        <f t="shared" si="963"/>
        <v>0</v>
      </c>
      <c r="V797" s="130">
        <f t="shared" si="963"/>
        <v>0</v>
      </c>
      <c r="W797" s="130">
        <f t="shared" si="963"/>
        <v>0</v>
      </c>
      <c r="X797" s="130">
        <f t="shared" si="963"/>
        <v>0</v>
      </c>
      <c r="Y797" s="132">
        <f t="shared" si="963"/>
        <v>0</v>
      </c>
      <c r="Z797" s="130">
        <f t="shared" si="963"/>
        <v>0</v>
      </c>
      <c r="AA797" s="78">
        <f t="shared" si="924"/>
        <v>1249131210.1799998</v>
      </c>
      <c r="AB797" s="126">
        <f t="shared" si="909"/>
        <v>4140988472.1799998</v>
      </c>
      <c r="AC797" s="180">
        <f t="shared" si="910"/>
        <v>0.68078045977391133</v>
      </c>
    </row>
    <row r="798" spans="1:29" ht="28.5" hidden="1" x14ac:dyDescent="0.2">
      <c r="B798" s="76" t="s">
        <v>453</v>
      </c>
      <c r="C798" s="77" t="s">
        <v>375</v>
      </c>
      <c r="D798" s="340">
        <v>1520676898.3800001</v>
      </c>
      <c r="E798" s="188">
        <f>SUM('ADICIONES  2021'!C798:I798)</f>
        <v>0</v>
      </c>
      <c r="F798" s="131"/>
      <c r="G798" s="131"/>
      <c r="H798" s="131"/>
      <c r="I798" s="131"/>
      <c r="J798" s="131"/>
      <c r="K798" s="128">
        <f t="shared" si="926"/>
        <v>1520676898.3800001</v>
      </c>
      <c r="L798" s="131">
        <v>207506137</v>
      </c>
      <c r="M798" s="131">
        <v>62784897.5</v>
      </c>
      <c r="N798" s="131">
        <v>285030363.75</v>
      </c>
      <c r="O798" s="131">
        <v>30019290</v>
      </c>
      <c r="P798" s="131">
        <v>84794195</v>
      </c>
      <c r="Q798" s="424">
        <v>52829432.5</v>
      </c>
      <c r="R798" s="128">
        <f t="shared" si="923"/>
        <v>722964315.75</v>
      </c>
      <c r="S798" s="131">
        <v>310925892.5</v>
      </c>
      <c r="T798" s="131"/>
      <c r="U798" s="131"/>
      <c r="V798" s="131"/>
      <c r="W798" s="131"/>
      <c r="X798" s="131"/>
      <c r="Y798" s="131"/>
      <c r="Z798" s="131"/>
      <c r="AA798" s="128">
        <f t="shared" si="924"/>
        <v>310925892.5</v>
      </c>
      <c r="AB798" s="128">
        <f t="shared" si="909"/>
        <v>1033890208.25</v>
      </c>
      <c r="AC798" s="175">
        <f t="shared" si="910"/>
        <v>0.67988815332923036</v>
      </c>
    </row>
    <row r="799" spans="1:29" ht="28.5" hidden="1" x14ac:dyDescent="0.2">
      <c r="B799" s="76" t="s">
        <v>454</v>
      </c>
      <c r="C799" s="77" t="s">
        <v>376</v>
      </c>
      <c r="D799" s="340">
        <v>1520676898.3800001</v>
      </c>
      <c r="E799" s="188">
        <f>SUM('ADICIONES  2021'!C799:I799)</f>
        <v>0</v>
      </c>
      <c r="F799" s="131"/>
      <c r="G799" s="131"/>
      <c r="H799" s="131"/>
      <c r="I799" s="131"/>
      <c r="J799" s="131"/>
      <c r="K799" s="128">
        <f t="shared" si="926"/>
        <v>1520676898.3800001</v>
      </c>
      <c r="L799" s="131">
        <v>207506137</v>
      </c>
      <c r="M799" s="131">
        <v>62784897.5</v>
      </c>
      <c r="N799" s="131">
        <v>285030363.75</v>
      </c>
      <c r="O799" s="131">
        <v>30019290</v>
      </c>
      <c r="P799" s="131">
        <v>84794195</v>
      </c>
      <c r="Q799" s="424">
        <v>52829432.5</v>
      </c>
      <c r="R799" s="128">
        <f t="shared" si="923"/>
        <v>722964315.75</v>
      </c>
      <c r="S799" s="131">
        <v>310925892.5</v>
      </c>
      <c r="T799" s="131"/>
      <c r="U799" s="131"/>
      <c r="V799" s="131"/>
      <c r="W799" s="131"/>
      <c r="X799" s="131"/>
      <c r="Y799" s="131"/>
      <c r="Z799" s="131"/>
      <c r="AA799" s="128">
        <f t="shared" si="924"/>
        <v>310925892.5</v>
      </c>
      <c r="AB799" s="128">
        <f t="shared" si="909"/>
        <v>1033890208.25</v>
      </c>
      <c r="AC799" s="175">
        <f t="shared" si="910"/>
        <v>0.67988815332923036</v>
      </c>
    </row>
    <row r="800" spans="1:29" s="63" customFormat="1" ht="30" hidden="1" x14ac:dyDescent="0.2">
      <c r="A800" s="399"/>
      <c r="B800" s="81" t="s">
        <v>455</v>
      </c>
      <c r="C800" s="194" t="s">
        <v>987</v>
      </c>
      <c r="D800" s="339">
        <f>+D801</f>
        <v>3041353796.75</v>
      </c>
      <c r="E800" s="187">
        <f>SUM('ADICIONES  2021'!C800:I800)</f>
        <v>0</v>
      </c>
      <c r="F800" s="130"/>
      <c r="G800" s="130">
        <f t="shared" ref="G800:J800" si="964">+G801</f>
        <v>0</v>
      </c>
      <c r="H800" s="130">
        <f t="shared" si="964"/>
        <v>0</v>
      </c>
      <c r="I800" s="130">
        <f t="shared" si="964"/>
        <v>0</v>
      </c>
      <c r="J800" s="130">
        <f t="shared" si="964"/>
        <v>0</v>
      </c>
      <c r="K800" s="78">
        <f t="shared" si="926"/>
        <v>3041353796.75</v>
      </c>
      <c r="L800" s="130">
        <f t="shared" ref="L800:Q800" si="965">+L801</f>
        <v>415012274</v>
      </c>
      <c r="M800" s="130">
        <f t="shared" si="965"/>
        <v>125569794</v>
      </c>
      <c r="N800" s="130">
        <f t="shared" si="965"/>
        <v>570060727.5</v>
      </c>
      <c r="O800" s="130">
        <f t="shared" si="965"/>
        <v>60038580</v>
      </c>
      <c r="P800" s="130">
        <f t="shared" si="965"/>
        <v>169588390</v>
      </c>
      <c r="Q800" s="423">
        <f t="shared" si="965"/>
        <v>105658865</v>
      </c>
      <c r="R800" s="78">
        <f t="shared" si="923"/>
        <v>1445928630.5</v>
      </c>
      <c r="S800" s="130">
        <f t="shared" ref="S800:Z800" si="966">+S801</f>
        <v>627279425.17999995</v>
      </c>
      <c r="T800" s="130">
        <f t="shared" si="966"/>
        <v>0</v>
      </c>
      <c r="U800" s="130">
        <f t="shared" si="966"/>
        <v>0</v>
      </c>
      <c r="V800" s="130">
        <f t="shared" si="966"/>
        <v>0</v>
      </c>
      <c r="W800" s="130">
        <f t="shared" si="966"/>
        <v>0</v>
      </c>
      <c r="X800" s="130">
        <f t="shared" si="966"/>
        <v>0</v>
      </c>
      <c r="Y800" s="130">
        <f t="shared" si="966"/>
        <v>0</v>
      </c>
      <c r="Z800" s="130">
        <f t="shared" si="966"/>
        <v>0</v>
      </c>
      <c r="AA800" s="78">
        <f t="shared" ref="AA800:AA802" si="967">SUM(S800:Z800)</f>
        <v>627279425.17999995</v>
      </c>
      <c r="AB800" s="78">
        <f t="shared" si="909"/>
        <v>2073208055.6799998</v>
      </c>
      <c r="AC800" s="174">
        <f t="shared" si="910"/>
        <v>0.68167276621859529</v>
      </c>
    </row>
    <row r="801" spans="1:29" ht="14.25" hidden="1" x14ac:dyDescent="0.2">
      <c r="B801" s="76" t="s">
        <v>995</v>
      </c>
      <c r="C801" s="77" t="s">
        <v>378</v>
      </c>
      <c r="D801" s="340">
        <v>3041353796.75</v>
      </c>
      <c r="E801" s="188">
        <f>SUM('ADICIONES  2021'!C801:I801)</f>
        <v>0</v>
      </c>
      <c r="F801" s="131"/>
      <c r="G801" s="131"/>
      <c r="H801" s="131"/>
      <c r="I801" s="131"/>
      <c r="J801" s="131"/>
      <c r="K801" s="128">
        <f t="shared" si="926"/>
        <v>3041353796.75</v>
      </c>
      <c r="L801" s="131">
        <v>415012274</v>
      </c>
      <c r="M801" s="131">
        <v>125569794</v>
      </c>
      <c r="N801" s="131">
        <v>570060727.5</v>
      </c>
      <c r="O801" s="131">
        <v>60038580</v>
      </c>
      <c r="P801" s="131">
        <v>169588390</v>
      </c>
      <c r="Q801" s="424">
        <v>105658865</v>
      </c>
      <c r="R801" s="128">
        <f t="shared" si="923"/>
        <v>1445928630.5</v>
      </c>
      <c r="S801" s="131">
        <v>627279425.17999995</v>
      </c>
      <c r="T801" s="131"/>
      <c r="U801" s="131"/>
      <c r="V801" s="131"/>
      <c r="W801" s="131"/>
      <c r="X801" s="131"/>
      <c r="Y801" s="131"/>
      <c r="Z801" s="131"/>
      <c r="AA801" s="128">
        <f t="shared" si="967"/>
        <v>627279425.17999995</v>
      </c>
      <c r="AB801" s="128">
        <f t="shared" si="909"/>
        <v>2073208055.6799998</v>
      </c>
      <c r="AC801" s="175">
        <f t="shared" si="910"/>
        <v>0.68167276621859529</v>
      </c>
    </row>
    <row r="802" spans="1:29" s="19" customFormat="1" ht="45" x14ac:dyDescent="0.2">
      <c r="A802" s="71">
        <v>1</v>
      </c>
      <c r="B802" s="82" t="s">
        <v>458</v>
      </c>
      <c r="C802" s="83" t="s">
        <v>996</v>
      </c>
      <c r="D802" s="339">
        <f>SUM(D803:D805)</f>
        <v>2000000000</v>
      </c>
      <c r="E802" s="187">
        <f>SUM('ADICIONES  2021'!C802:I802)</f>
        <v>0</v>
      </c>
      <c r="F802" s="130"/>
      <c r="G802" s="130">
        <f t="shared" ref="G802:J802" si="968">SUM(G803:G805)</f>
        <v>0</v>
      </c>
      <c r="H802" s="130">
        <f t="shared" si="968"/>
        <v>0</v>
      </c>
      <c r="I802" s="130">
        <f t="shared" si="968"/>
        <v>0</v>
      </c>
      <c r="J802" s="130">
        <f t="shared" si="968"/>
        <v>0</v>
      </c>
      <c r="K802" s="126">
        <f t="shared" si="926"/>
        <v>2000000000</v>
      </c>
      <c r="L802" s="132">
        <f t="shared" ref="L802:Q802" si="969">SUM(L803:L805)</f>
        <v>396438865</v>
      </c>
      <c r="M802" s="132">
        <f t="shared" si="969"/>
        <v>172408685</v>
      </c>
      <c r="N802" s="132">
        <f t="shared" si="969"/>
        <v>241408614</v>
      </c>
      <c r="O802" s="132">
        <f t="shared" si="969"/>
        <v>145983293</v>
      </c>
      <c r="P802" s="132">
        <f t="shared" si="969"/>
        <v>148388455</v>
      </c>
      <c r="Q802" s="132">
        <f t="shared" si="969"/>
        <v>223863480</v>
      </c>
      <c r="R802" s="78">
        <f t="shared" si="923"/>
        <v>1328491392</v>
      </c>
      <c r="S802" s="132">
        <f t="shared" ref="S802:Z802" si="970">SUM(S803:S805)</f>
        <v>240885758.25</v>
      </c>
      <c r="T802" s="130">
        <f t="shared" si="970"/>
        <v>0</v>
      </c>
      <c r="U802" s="130">
        <f t="shared" si="970"/>
        <v>0</v>
      </c>
      <c r="V802" s="130">
        <f t="shared" si="970"/>
        <v>0</v>
      </c>
      <c r="W802" s="130">
        <f t="shared" si="970"/>
        <v>0</v>
      </c>
      <c r="X802" s="130">
        <f t="shared" si="970"/>
        <v>0</v>
      </c>
      <c r="Y802" s="132">
        <f t="shared" si="970"/>
        <v>0</v>
      </c>
      <c r="Z802" s="130">
        <f t="shared" si="970"/>
        <v>0</v>
      </c>
      <c r="AA802" s="78">
        <f t="shared" si="967"/>
        <v>240885758.25</v>
      </c>
      <c r="AB802" s="126">
        <f t="shared" si="909"/>
        <v>1569377150.25</v>
      </c>
      <c r="AC802" s="180">
        <f t="shared" si="910"/>
        <v>0.78468857512500001</v>
      </c>
    </row>
    <row r="803" spans="1:29" ht="28.5" hidden="1" x14ac:dyDescent="0.2">
      <c r="B803" s="76" t="s">
        <v>460</v>
      </c>
      <c r="C803" s="77" t="s">
        <v>375</v>
      </c>
      <c r="D803" s="340">
        <v>500000000</v>
      </c>
      <c r="E803" s="188">
        <f>SUM('ADICIONES  2021'!C803:I803)</f>
        <v>0</v>
      </c>
      <c r="F803" s="131"/>
      <c r="G803" s="131"/>
      <c r="H803" s="131"/>
      <c r="I803" s="131"/>
      <c r="J803" s="131"/>
      <c r="K803" s="128">
        <f t="shared" si="926"/>
        <v>500000000</v>
      </c>
      <c r="L803" s="131">
        <v>98983349</v>
      </c>
      <c r="M803" s="131">
        <v>52056041</v>
      </c>
      <c r="N803" s="131">
        <v>60351938</v>
      </c>
      <c r="O803" s="131">
        <v>36495400</v>
      </c>
      <c r="P803" s="131">
        <v>37097000</v>
      </c>
      <c r="Q803" s="424">
        <v>55965870</v>
      </c>
      <c r="R803" s="128">
        <f t="shared" si="923"/>
        <v>340949598</v>
      </c>
      <c r="S803" s="131">
        <v>59650350</v>
      </c>
      <c r="T803" s="131"/>
      <c r="U803" s="131"/>
      <c r="V803" s="131"/>
      <c r="W803" s="131"/>
      <c r="X803" s="131"/>
      <c r="Y803" s="131"/>
      <c r="Z803" s="131"/>
      <c r="AA803" s="128">
        <f t="shared" si="924"/>
        <v>59650350</v>
      </c>
      <c r="AB803" s="128">
        <f t="shared" si="909"/>
        <v>400599948</v>
      </c>
      <c r="AC803" s="175">
        <f t="shared" si="910"/>
        <v>0.80119989599999997</v>
      </c>
    </row>
    <row r="804" spans="1:29" ht="28.5" hidden="1" x14ac:dyDescent="0.2">
      <c r="B804" s="76" t="s">
        <v>461</v>
      </c>
      <c r="C804" s="243" t="s">
        <v>376</v>
      </c>
      <c r="D804" s="340">
        <v>500000000</v>
      </c>
      <c r="E804" s="188">
        <f>SUM('ADICIONES  2021'!C804:I804)</f>
        <v>0</v>
      </c>
      <c r="F804" s="131"/>
      <c r="G804" s="131"/>
      <c r="H804" s="131"/>
      <c r="I804" s="131"/>
      <c r="J804" s="131"/>
      <c r="K804" s="128">
        <f t="shared" si="926"/>
        <v>500000000</v>
      </c>
      <c r="L804" s="131">
        <v>98983349</v>
      </c>
      <c r="M804" s="131">
        <v>52056041</v>
      </c>
      <c r="N804" s="131">
        <v>60351938</v>
      </c>
      <c r="O804" s="131">
        <v>36495400</v>
      </c>
      <c r="P804" s="131">
        <v>37097000</v>
      </c>
      <c r="Q804" s="424">
        <v>55965870</v>
      </c>
      <c r="R804" s="128">
        <f t="shared" si="923"/>
        <v>340949598</v>
      </c>
      <c r="S804" s="131">
        <v>59650350</v>
      </c>
      <c r="T804" s="131"/>
      <c r="U804" s="131"/>
      <c r="V804" s="131"/>
      <c r="W804" s="131"/>
      <c r="X804" s="131"/>
      <c r="Y804" s="131"/>
      <c r="Z804" s="131"/>
      <c r="AA804" s="128">
        <f t="shared" si="924"/>
        <v>59650350</v>
      </c>
      <c r="AB804" s="128">
        <f t="shared" si="909"/>
        <v>400599948</v>
      </c>
      <c r="AC804" s="175">
        <f t="shared" si="910"/>
        <v>0.80119989599999997</v>
      </c>
    </row>
    <row r="805" spans="1:29" s="63" customFormat="1" ht="31.5" hidden="1" x14ac:dyDescent="0.2">
      <c r="A805" s="399"/>
      <c r="B805" s="81" t="s">
        <v>462</v>
      </c>
      <c r="C805" s="79" t="s">
        <v>987</v>
      </c>
      <c r="D805" s="339">
        <f>+D806</f>
        <v>1000000000</v>
      </c>
      <c r="E805" s="187">
        <f>SUM('ADICIONES  2021'!C805:I805)</f>
        <v>0</v>
      </c>
      <c r="F805" s="130"/>
      <c r="G805" s="130">
        <f t="shared" ref="G805:J805" si="971">+G806</f>
        <v>0</v>
      </c>
      <c r="H805" s="130">
        <f t="shared" si="971"/>
        <v>0</v>
      </c>
      <c r="I805" s="130">
        <f t="shared" si="971"/>
        <v>0</v>
      </c>
      <c r="J805" s="130">
        <f t="shared" si="971"/>
        <v>0</v>
      </c>
      <c r="K805" s="78">
        <f t="shared" si="926"/>
        <v>1000000000</v>
      </c>
      <c r="L805" s="130">
        <f t="shared" ref="L805:Q805" si="972">+L806</f>
        <v>198472167</v>
      </c>
      <c r="M805" s="130">
        <f t="shared" si="972"/>
        <v>68296603</v>
      </c>
      <c r="N805" s="130">
        <f t="shared" si="972"/>
        <v>120704738</v>
      </c>
      <c r="O805" s="130">
        <f t="shared" si="972"/>
        <v>72992493</v>
      </c>
      <c r="P805" s="130">
        <f t="shared" si="972"/>
        <v>74194455</v>
      </c>
      <c r="Q805" s="423">
        <f t="shared" si="972"/>
        <v>111931740</v>
      </c>
      <c r="R805" s="78">
        <f t="shared" si="923"/>
        <v>646592196</v>
      </c>
      <c r="S805" s="130">
        <f t="shared" ref="S805:Z805" si="973">+S806</f>
        <v>121585058.25</v>
      </c>
      <c r="T805" s="130">
        <f t="shared" si="973"/>
        <v>0</v>
      </c>
      <c r="U805" s="130">
        <f t="shared" si="973"/>
        <v>0</v>
      </c>
      <c r="V805" s="130">
        <f t="shared" si="973"/>
        <v>0</v>
      </c>
      <c r="W805" s="130">
        <f t="shared" si="973"/>
        <v>0</v>
      </c>
      <c r="X805" s="130">
        <f t="shared" si="973"/>
        <v>0</v>
      </c>
      <c r="Y805" s="130">
        <f t="shared" si="973"/>
        <v>0</v>
      </c>
      <c r="Z805" s="130">
        <f t="shared" si="973"/>
        <v>0</v>
      </c>
      <c r="AA805" s="78">
        <f t="shared" si="924"/>
        <v>121585058.25</v>
      </c>
      <c r="AB805" s="78">
        <f t="shared" si="909"/>
        <v>768177254.25</v>
      </c>
      <c r="AC805" s="174">
        <f t="shared" si="910"/>
        <v>0.76817725425000005</v>
      </c>
    </row>
    <row r="806" spans="1:29" ht="14.25" hidden="1" x14ac:dyDescent="0.2">
      <c r="B806" s="76" t="s">
        <v>997</v>
      </c>
      <c r="C806" s="77" t="s">
        <v>378</v>
      </c>
      <c r="D806" s="340">
        <v>1000000000</v>
      </c>
      <c r="E806" s="188">
        <f>SUM('ADICIONES  2021'!C806:I806)</f>
        <v>0</v>
      </c>
      <c r="F806" s="131"/>
      <c r="G806" s="131"/>
      <c r="H806" s="131"/>
      <c r="I806" s="131"/>
      <c r="J806" s="131"/>
      <c r="K806" s="128">
        <f t="shared" si="926"/>
        <v>1000000000</v>
      </c>
      <c r="L806" s="131">
        <v>198472167</v>
      </c>
      <c r="M806" s="131">
        <v>68296603</v>
      </c>
      <c r="N806" s="131">
        <v>120704738</v>
      </c>
      <c r="O806" s="131">
        <v>72992493</v>
      </c>
      <c r="P806" s="131">
        <v>74194455</v>
      </c>
      <c r="Q806" s="424">
        <v>111931740</v>
      </c>
      <c r="R806" s="128">
        <f t="shared" si="923"/>
        <v>646592196</v>
      </c>
      <c r="S806" s="131">
        <v>121585058.25</v>
      </c>
      <c r="T806" s="131"/>
      <c r="U806" s="131"/>
      <c r="V806" s="131"/>
      <c r="W806" s="131"/>
      <c r="X806" s="131"/>
      <c r="Y806" s="131"/>
      <c r="Z806" s="131"/>
      <c r="AA806" s="128">
        <f t="shared" si="924"/>
        <v>121585058.25</v>
      </c>
      <c r="AB806" s="128">
        <f t="shared" si="909"/>
        <v>768177254.25</v>
      </c>
      <c r="AC806" s="175">
        <f t="shared" si="910"/>
        <v>0.76817725425000005</v>
      </c>
    </row>
    <row r="807" spans="1:29" s="63" customFormat="1" ht="31.5" x14ac:dyDescent="0.2">
      <c r="A807" s="399">
        <v>1</v>
      </c>
      <c r="B807" s="81" t="s">
        <v>465</v>
      </c>
      <c r="C807" s="79" t="s">
        <v>998</v>
      </c>
      <c r="D807" s="339">
        <f>+D808+D813</f>
        <v>25800000000</v>
      </c>
      <c r="E807" s="187">
        <f>SUM('ADICIONES  2021'!C807:I807)</f>
        <v>0</v>
      </c>
      <c r="F807" s="130"/>
      <c r="G807" s="130">
        <f t="shared" ref="G807:J807" si="974">+G808+G813</f>
        <v>0</v>
      </c>
      <c r="H807" s="130">
        <f t="shared" si="974"/>
        <v>0</v>
      </c>
      <c r="I807" s="130">
        <f t="shared" si="974"/>
        <v>0</v>
      </c>
      <c r="J807" s="130">
        <f t="shared" si="974"/>
        <v>0</v>
      </c>
      <c r="K807" s="78">
        <f t="shared" si="926"/>
        <v>25800000000</v>
      </c>
      <c r="L807" s="130">
        <f t="shared" ref="L807:Q807" si="975">+L808+L813</f>
        <v>3025966900</v>
      </c>
      <c r="M807" s="130">
        <f t="shared" si="975"/>
        <v>2648887721</v>
      </c>
      <c r="N807" s="130">
        <f t="shared" si="975"/>
        <v>2095466780</v>
      </c>
      <c r="O807" s="130">
        <f t="shared" si="975"/>
        <v>2180051261</v>
      </c>
      <c r="P807" s="130">
        <f t="shared" si="975"/>
        <v>2256631679</v>
      </c>
      <c r="Q807" s="130">
        <f t="shared" si="975"/>
        <v>2100205076</v>
      </c>
      <c r="R807" s="78">
        <f t="shared" si="923"/>
        <v>14307209417</v>
      </c>
      <c r="S807" s="130">
        <f t="shared" ref="S807:Z807" si="976">+S808+S813</f>
        <v>1916805034</v>
      </c>
      <c r="T807" s="130">
        <f t="shared" si="976"/>
        <v>0</v>
      </c>
      <c r="U807" s="130">
        <f t="shared" si="976"/>
        <v>0</v>
      </c>
      <c r="V807" s="130">
        <f t="shared" si="976"/>
        <v>0</v>
      </c>
      <c r="W807" s="130">
        <f t="shared" si="976"/>
        <v>0</v>
      </c>
      <c r="X807" s="130">
        <f t="shared" si="976"/>
        <v>0</v>
      </c>
      <c r="Y807" s="130">
        <f t="shared" si="976"/>
        <v>0</v>
      </c>
      <c r="Z807" s="130">
        <f t="shared" si="976"/>
        <v>0</v>
      </c>
      <c r="AA807" s="78">
        <f t="shared" si="924"/>
        <v>1916805034</v>
      </c>
      <c r="AB807" s="78">
        <f t="shared" si="909"/>
        <v>16224014451</v>
      </c>
      <c r="AC807" s="174">
        <f t="shared" si="910"/>
        <v>0.6288377694186047</v>
      </c>
    </row>
    <row r="808" spans="1:29" s="19" customFormat="1" ht="45" x14ac:dyDescent="0.2">
      <c r="A808" s="71">
        <v>1</v>
      </c>
      <c r="B808" s="82" t="s">
        <v>999</v>
      </c>
      <c r="C808" s="83" t="s">
        <v>1000</v>
      </c>
      <c r="D808" s="339">
        <f>SUM(D809:D811)</f>
        <v>24830592091</v>
      </c>
      <c r="E808" s="187">
        <f>SUM('ADICIONES  2021'!C808:I808)</f>
        <v>0</v>
      </c>
      <c r="F808" s="130"/>
      <c r="G808" s="130">
        <f t="shared" ref="G808:J808" si="977">SUM(G809:G811)</f>
        <v>0</v>
      </c>
      <c r="H808" s="130">
        <f t="shared" si="977"/>
        <v>0</v>
      </c>
      <c r="I808" s="130">
        <f t="shared" si="977"/>
        <v>0</v>
      </c>
      <c r="J808" s="130">
        <f t="shared" si="977"/>
        <v>0</v>
      </c>
      <c r="K808" s="126">
        <f t="shared" si="926"/>
        <v>24830592091</v>
      </c>
      <c r="L808" s="132">
        <f t="shared" ref="L808:Q808" si="978">SUM(L809:L811)</f>
        <v>2998827000</v>
      </c>
      <c r="M808" s="132">
        <f t="shared" si="978"/>
        <v>2621013000</v>
      </c>
      <c r="N808" s="132">
        <f t="shared" si="978"/>
        <v>2043878000</v>
      </c>
      <c r="O808" s="132">
        <f t="shared" si="978"/>
        <v>2162047000</v>
      </c>
      <c r="P808" s="132">
        <f t="shared" si="978"/>
        <v>2235484000</v>
      </c>
      <c r="Q808" s="132">
        <f t="shared" si="978"/>
        <v>2081017000</v>
      </c>
      <c r="R808" s="78">
        <f t="shared" si="923"/>
        <v>14142266000</v>
      </c>
      <c r="S808" s="132">
        <f t="shared" ref="S808:Z808" si="979">SUM(S809:S811)</f>
        <v>1905340815.49</v>
      </c>
      <c r="T808" s="130">
        <f t="shared" si="979"/>
        <v>0</v>
      </c>
      <c r="U808" s="130">
        <f t="shared" si="979"/>
        <v>0</v>
      </c>
      <c r="V808" s="130">
        <f t="shared" si="979"/>
        <v>0</v>
      </c>
      <c r="W808" s="130">
        <f t="shared" si="979"/>
        <v>0</v>
      </c>
      <c r="X808" s="130">
        <f t="shared" si="979"/>
        <v>0</v>
      </c>
      <c r="Y808" s="132">
        <f t="shared" si="979"/>
        <v>0</v>
      </c>
      <c r="Z808" s="130">
        <f t="shared" si="979"/>
        <v>0</v>
      </c>
      <c r="AA808" s="78">
        <f t="shared" si="924"/>
        <v>1905340815.49</v>
      </c>
      <c r="AB808" s="126">
        <f t="shared" si="909"/>
        <v>16047606815.49</v>
      </c>
      <c r="AC808" s="180">
        <f t="shared" si="910"/>
        <v>0.64628369539792618</v>
      </c>
    </row>
    <row r="809" spans="1:29" ht="28.5" hidden="1" x14ac:dyDescent="0.2">
      <c r="B809" s="76" t="s">
        <v>1001</v>
      </c>
      <c r="C809" s="77" t="s">
        <v>375</v>
      </c>
      <c r="D809" s="340">
        <v>6207648022.75</v>
      </c>
      <c r="E809" s="188">
        <f>SUM('ADICIONES  2021'!C809:I809)</f>
        <v>0</v>
      </c>
      <c r="F809" s="131"/>
      <c r="G809" s="131"/>
      <c r="H809" s="131"/>
      <c r="I809" s="131"/>
      <c r="J809" s="131"/>
      <c r="K809" s="128">
        <f t="shared" si="926"/>
        <v>6207648022.75</v>
      </c>
      <c r="L809" s="131">
        <v>749706750</v>
      </c>
      <c r="M809" s="131">
        <v>655253250</v>
      </c>
      <c r="N809" s="131">
        <v>510969500</v>
      </c>
      <c r="O809" s="131">
        <v>540511750</v>
      </c>
      <c r="P809" s="131">
        <v>558871000</v>
      </c>
      <c r="Q809" s="424">
        <v>520254250</v>
      </c>
      <c r="R809" s="128">
        <f t="shared" si="923"/>
        <v>3535566500</v>
      </c>
      <c r="S809" s="131">
        <v>472671750</v>
      </c>
      <c r="T809" s="131"/>
      <c r="U809" s="131"/>
      <c r="V809" s="131"/>
      <c r="W809" s="131"/>
      <c r="X809" s="131"/>
      <c r="Y809" s="131"/>
      <c r="Z809" s="131"/>
      <c r="AA809" s="128">
        <f t="shared" si="924"/>
        <v>472671750</v>
      </c>
      <c r="AB809" s="128">
        <f t="shared" si="909"/>
        <v>4008238250</v>
      </c>
      <c r="AC809" s="175">
        <f t="shared" si="910"/>
        <v>0.64569354372388255</v>
      </c>
    </row>
    <row r="810" spans="1:29" ht="28.5" hidden="1" x14ac:dyDescent="0.2">
      <c r="B810" s="76" t="s">
        <v>1002</v>
      </c>
      <c r="C810" s="77" t="s">
        <v>376</v>
      </c>
      <c r="D810" s="340">
        <v>6207648022.75</v>
      </c>
      <c r="E810" s="188">
        <f>SUM('ADICIONES  2021'!C810:I810)</f>
        <v>0</v>
      </c>
      <c r="F810" s="131"/>
      <c r="G810" s="131"/>
      <c r="H810" s="131"/>
      <c r="I810" s="131"/>
      <c r="J810" s="131"/>
      <c r="K810" s="128">
        <f t="shared" si="926"/>
        <v>6207648022.75</v>
      </c>
      <c r="L810" s="131">
        <v>749706750</v>
      </c>
      <c r="M810" s="131">
        <v>655253250</v>
      </c>
      <c r="N810" s="131">
        <v>510969500</v>
      </c>
      <c r="O810" s="131">
        <v>540511750</v>
      </c>
      <c r="P810" s="131">
        <v>558871000</v>
      </c>
      <c r="Q810" s="424">
        <v>520254250</v>
      </c>
      <c r="R810" s="128">
        <f t="shared" si="923"/>
        <v>3535566500</v>
      </c>
      <c r="S810" s="131">
        <v>472671750</v>
      </c>
      <c r="T810" s="131"/>
      <c r="U810" s="131"/>
      <c r="V810" s="131"/>
      <c r="W810" s="131"/>
      <c r="X810" s="131"/>
      <c r="Y810" s="131"/>
      <c r="Z810" s="131"/>
      <c r="AA810" s="128">
        <f t="shared" si="924"/>
        <v>472671750</v>
      </c>
      <c r="AB810" s="128">
        <f t="shared" si="909"/>
        <v>4008238250</v>
      </c>
      <c r="AC810" s="175">
        <f t="shared" si="910"/>
        <v>0.64569354372388255</v>
      </c>
    </row>
    <row r="811" spans="1:29" s="63" customFormat="1" ht="30" hidden="1" x14ac:dyDescent="0.2">
      <c r="A811" s="399"/>
      <c r="B811" s="81" t="s">
        <v>1003</v>
      </c>
      <c r="C811" s="194" t="s">
        <v>987</v>
      </c>
      <c r="D811" s="339">
        <f>+D812</f>
        <v>12415296045.5</v>
      </c>
      <c r="E811" s="187">
        <f>SUM('ADICIONES  2021'!C811:I811)</f>
        <v>0</v>
      </c>
      <c r="F811" s="130"/>
      <c r="G811" s="130">
        <f t="shared" ref="G811:J811" si="980">+G812</f>
        <v>0</v>
      </c>
      <c r="H811" s="130">
        <f t="shared" si="980"/>
        <v>0</v>
      </c>
      <c r="I811" s="130">
        <f t="shared" si="980"/>
        <v>0</v>
      </c>
      <c r="J811" s="130">
        <f t="shared" si="980"/>
        <v>0</v>
      </c>
      <c r="K811" s="78">
        <f t="shared" si="926"/>
        <v>12415296045.5</v>
      </c>
      <c r="L811" s="130">
        <f t="shared" ref="L811:Q811" si="981">+L812</f>
        <v>1499413500</v>
      </c>
      <c r="M811" s="130">
        <f t="shared" si="981"/>
        <v>1310506500</v>
      </c>
      <c r="N811" s="130">
        <f t="shared" si="981"/>
        <v>1021939000</v>
      </c>
      <c r="O811" s="130">
        <f t="shared" si="981"/>
        <v>1081023500</v>
      </c>
      <c r="P811" s="130">
        <f t="shared" si="981"/>
        <v>1117742000</v>
      </c>
      <c r="Q811" s="423">
        <f t="shared" si="981"/>
        <v>1040508500</v>
      </c>
      <c r="R811" s="78">
        <f t="shared" si="923"/>
        <v>7071133000</v>
      </c>
      <c r="S811" s="130">
        <f t="shared" ref="S811:Z811" si="982">+S812</f>
        <v>959997315.49000001</v>
      </c>
      <c r="T811" s="130">
        <f t="shared" si="982"/>
        <v>0</v>
      </c>
      <c r="U811" s="130">
        <f t="shared" si="982"/>
        <v>0</v>
      </c>
      <c r="V811" s="130">
        <f t="shared" si="982"/>
        <v>0</v>
      </c>
      <c r="W811" s="130">
        <f t="shared" si="982"/>
        <v>0</v>
      </c>
      <c r="X811" s="130">
        <f t="shared" si="982"/>
        <v>0</v>
      </c>
      <c r="Y811" s="130">
        <f t="shared" si="982"/>
        <v>0</v>
      </c>
      <c r="Z811" s="130">
        <f t="shared" si="982"/>
        <v>0</v>
      </c>
      <c r="AA811" s="78">
        <f t="shared" si="924"/>
        <v>959997315.49000001</v>
      </c>
      <c r="AB811" s="78">
        <f t="shared" si="909"/>
        <v>8031130315.4899998</v>
      </c>
      <c r="AC811" s="174">
        <f t="shared" si="910"/>
        <v>0.64687384707196993</v>
      </c>
    </row>
    <row r="812" spans="1:29" ht="14.25" hidden="1" x14ac:dyDescent="0.2">
      <c r="B812" s="76" t="s">
        <v>1004</v>
      </c>
      <c r="C812" s="77" t="s">
        <v>378</v>
      </c>
      <c r="D812" s="340">
        <v>12415296045.5</v>
      </c>
      <c r="E812" s="188">
        <f>SUM('ADICIONES  2021'!C812:I812)</f>
        <v>0</v>
      </c>
      <c r="F812" s="131"/>
      <c r="G812" s="131"/>
      <c r="H812" s="131"/>
      <c r="I812" s="131"/>
      <c r="J812" s="131"/>
      <c r="K812" s="128">
        <f t="shared" si="926"/>
        <v>12415296045.5</v>
      </c>
      <c r="L812" s="131">
        <v>1499413500</v>
      </c>
      <c r="M812" s="131">
        <v>1310506500</v>
      </c>
      <c r="N812" s="131">
        <v>1021939000</v>
      </c>
      <c r="O812" s="131">
        <v>1081023500</v>
      </c>
      <c r="P812" s="131">
        <v>1117742000</v>
      </c>
      <c r="Q812" s="424">
        <v>1040508500</v>
      </c>
      <c r="R812" s="128">
        <f t="shared" si="923"/>
        <v>7071133000</v>
      </c>
      <c r="S812" s="131">
        <v>959997315.49000001</v>
      </c>
      <c r="T812" s="131"/>
      <c r="U812" s="131"/>
      <c r="V812" s="131"/>
      <c r="W812" s="131"/>
      <c r="X812" s="131"/>
      <c r="Y812" s="131"/>
      <c r="Z812" s="131"/>
      <c r="AA812" s="128">
        <f t="shared" si="924"/>
        <v>959997315.49000001</v>
      </c>
      <c r="AB812" s="128">
        <f t="shared" si="909"/>
        <v>8031130315.4899998</v>
      </c>
      <c r="AC812" s="175">
        <f t="shared" si="910"/>
        <v>0.64687384707196993</v>
      </c>
    </row>
    <row r="813" spans="1:29" s="19" customFormat="1" ht="45" x14ac:dyDescent="0.2">
      <c r="A813" s="71">
        <v>1</v>
      </c>
      <c r="B813" s="82" t="s">
        <v>467</v>
      </c>
      <c r="C813" s="83" t="s">
        <v>1005</v>
      </c>
      <c r="D813" s="339">
        <f>SUM(D814:D816)</f>
        <v>969407909</v>
      </c>
      <c r="E813" s="187">
        <f>SUM('ADICIONES  2021'!C813:I813)</f>
        <v>0</v>
      </c>
      <c r="F813" s="130"/>
      <c r="G813" s="130">
        <f t="shared" ref="G813:J813" si="983">SUM(G814:G816)</f>
        <v>0</v>
      </c>
      <c r="H813" s="130">
        <f t="shared" si="983"/>
        <v>0</v>
      </c>
      <c r="I813" s="130">
        <f t="shared" si="983"/>
        <v>0</v>
      </c>
      <c r="J813" s="130">
        <f t="shared" si="983"/>
        <v>0</v>
      </c>
      <c r="K813" s="126">
        <f t="shared" si="926"/>
        <v>969407909</v>
      </c>
      <c r="L813" s="132">
        <f t="shared" ref="L813:Q813" si="984">SUM(L814:L816)</f>
        <v>27139900</v>
      </c>
      <c r="M813" s="132">
        <f t="shared" si="984"/>
        <v>27874721</v>
      </c>
      <c r="N813" s="132">
        <f t="shared" si="984"/>
        <v>51588780</v>
      </c>
      <c r="O813" s="132">
        <f t="shared" si="984"/>
        <v>18004261</v>
      </c>
      <c r="P813" s="132">
        <f t="shared" si="984"/>
        <v>21147679</v>
      </c>
      <c r="Q813" s="132">
        <f t="shared" si="984"/>
        <v>19188076</v>
      </c>
      <c r="R813" s="78">
        <f t="shared" si="923"/>
        <v>164943417</v>
      </c>
      <c r="S813" s="132">
        <f t="shared" ref="S813:Z813" si="985">SUM(S814:S816)</f>
        <v>11464218.51</v>
      </c>
      <c r="T813" s="130">
        <f t="shared" si="985"/>
        <v>0</v>
      </c>
      <c r="U813" s="130">
        <f t="shared" si="985"/>
        <v>0</v>
      </c>
      <c r="V813" s="130">
        <f t="shared" si="985"/>
        <v>0</v>
      </c>
      <c r="W813" s="130">
        <f t="shared" si="985"/>
        <v>0</v>
      </c>
      <c r="X813" s="130">
        <f t="shared" si="985"/>
        <v>0</v>
      </c>
      <c r="Y813" s="132">
        <f t="shared" si="985"/>
        <v>0</v>
      </c>
      <c r="Z813" s="130">
        <f t="shared" si="985"/>
        <v>0</v>
      </c>
      <c r="AA813" s="78">
        <f t="shared" si="924"/>
        <v>11464218.51</v>
      </c>
      <c r="AB813" s="126">
        <f t="shared" si="909"/>
        <v>176407635.50999999</v>
      </c>
      <c r="AC813" s="180">
        <f t="shared" si="910"/>
        <v>0.18197461963351899</v>
      </c>
    </row>
    <row r="814" spans="1:29" ht="28.5" hidden="1" x14ac:dyDescent="0.2">
      <c r="B814" s="76" t="s">
        <v>469</v>
      </c>
      <c r="C814" s="77" t="s">
        <v>375</v>
      </c>
      <c r="D814" s="340">
        <v>242351977.25</v>
      </c>
      <c r="E814" s="188">
        <f>SUM('ADICIONES  2021'!C814:I814)</f>
        <v>0</v>
      </c>
      <c r="F814" s="131"/>
      <c r="G814" s="131"/>
      <c r="H814" s="131"/>
      <c r="I814" s="131"/>
      <c r="J814" s="131"/>
      <c r="K814" s="128">
        <f t="shared" si="926"/>
        <v>242351977.25</v>
      </c>
      <c r="L814" s="131">
        <v>6785000</v>
      </c>
      <c r="M814" s="131">
        <v>7248852</v>
      </c>
      <c r="N814" s="131">
        <v>12897000</v>
      </c>
      <c r="O814" s="131">
        <v>4501000</v>
      </c>
      <c r="P814" s="131">
        <v>5287000</v>
      </c>
      <c r="Q814" s="424">
        <v>4797000</v>
      </c>
      <c r="R814" s="128">
        <f t="shared" si="923"/>
        <v>41515852</v>
      </c>
      <c r="S814" s="131">
        <v>2832000</v>
      </c>
      <c r="T814" s="131"/>
      <c r="U814" s="131"/>
      <c r="V814" s="131"/>
      <c r="W814" s="131"/>
      <c r="X814" s="131"/>
      <c r="Y814" s="131"/>
      <c r="Z814" s="131"/>
      <c r="AA814" s="128">
        <f t="shared" si="924"/>
        <v>2832000</v>
      </c>
      <c r="AB814" s="128">
        <f t="shared" si="909"/>
        <v>44347852</v>
      </c>
      <c r="AC814" s="175">
        <f t="shared" si="910"/>
        <v>0.1829894375247974</v>
      </c>
    </row>
    <row r="815" spans="1:29" ht="28.5" hidden="1" x14ac:dyDescent="0.2">
      <c r="B815" s="76" t="s">
        <v>470</v>
      </c>
      <c r="C815" s="77" t="s">
        <v>376</v>
      </c>
      <c r="D815" s="340">
        <v>242351977.25</v>
      </c>
      <c r="E815" s="188">
        <f>SUM('ADICIONES  2021'!C815:I815)</f>
        <v>0</v>
      </c>
      <c r="F815" s="131"/>
      <c r="G815" s="131"/>
      <c r="H815" s="131"/>
      <c r="I815" s="131"/>
      <c r="J815" s="131"/>
      <c r="K815" s="128">
        <f t="shared" si="926"/>
        <v>242351977.25</v>
      </c>
      <c r="L815" s="131">
        <v>6785000</v>
      </c>
      <c r="M815" s="131">
        <v>7248852</v>
      </c>
      <c r="N815" s="131">
        <v>12897000</v>
      </c>
      <c r="O815" s="131">
        <v>4501000</v>
      </c>
      <c r="P815" s="131">
        <v>5287000</v>
      </c>
      <c r="Q815" s="424">
        <v>4797000</v>
      </c>
      <c r="R815" s="128">
        <f t="shared" si="923"/>
        <v>41515852</v>
      </c>
      <c r="S815" s="131">
        <v>2832000</v>
      </c>
      <c r="T815" s="131"/>
      <c r="U815" s="131"/>
      <c r="V815" s="131"/>
      <c r="W815" s="131"/>
      <c r="X815" s="131"/>
      <c r="Y815" s="131"/>
      <c r="Z815" s="131"/>
      <c r="AA815" s="128">
        <f t="shared" si="924"/>
        <v>2832000</v>
      </c>
      <c r="AB815" s="128">
        <f t="shared" si="909"/>
        <v>44347852</v>
      </c>
      <c r="AC815" s="175">
        <f t="shared" si="910"/>
        <v>0.1829894375247974</v>
      </c>
    </row>
    <row r="816" spans="1:29" s="63" customFormat="1" ht="30" hidden="1" x14ac:dyDescent="0.2">
      <c r="A816" s="399"/>
      <c r="B816" s="81" t="s">
        <v>471</v>
      </c>
      <c r="C816" s="194" t="s">
        <v>987</v>
      </c>
      <c r="D816" s="339">
        <f>+D817</f>
        <v>484703954.5</v>
      </c>
      <c r="E816" s="187">
        <f>SUM('ADICIONES  2021'!C816:I816)</f>
        <v>0</v>
      </c>
      <c r="F816" s="130"/>
      <c r="G816" s="130">
        <f t="shared" ref="G816:J816" si="986">+G817</f>
        <v>0</v>
      </c>
      <c r="H816" s="130">
        <f t="shared" si="986"/>
        <v>0</v>
      </c>
      <c r="I816" s="130">
        <f t="shared" si="986"/>
        <v>0</v>
      </c>
      <c r="J816" s="130">
        <f t="shared" si="986"/>
        <v>0</v>
      </c>
      <c r="K816" s="78">
        <f t="shared" si="926"/>
        <v>484703954.5</v>
      </c>
      <c r="L816" s="130">
        <f t="shared" ref="L816:Q816" si="987">+L817</f>
        <v>13569900</v>
      </c>
      <c r="M816" s="130">
        <f t="shared" si="987"/>
        <v>13377017</v>
      </c>
      <c r="N816" s="130">
        <f t="shared" si="987"/>
        <v>25794780</v>
      </c>
      <c r="O816" s="130">
        <f t="shared" si="987"/>
        <v>9002261</v>
      </c>
      <c r="P816" s="130">
        <f t="shared" si="987"/>
        <v>10573679</v>
      </c>
      <c r="Q816" s="423">
        <f t="shared" si="987"/>
        <v>9594076</v>
      </c>
      <c r="R816" s="78">
        <f t="shared" si="923"/>
        <v>81911713</v>
      </c>
      <c r="S816" s="130">
        <f t="shared" ref="S816:Z816" si="988">+S817</f>
        <v>5800218.5099999998</v>
      </c>
      <c r="T816" s="130">
        <f t="shared" si="988"/>
        <v>0</v>
      </c>
      <c r="U816" s="130">
        <f t="shared" si="988"/>
        <v>0</v>
      </c>
      <c r="V816" s="130">
        <f t="shared" si="988"/>
        <v>0</v>
      </c>
      <c r="W816" s="130">
        <f t="shared" si="988"/>
        <v>0</v>
      </c>
      <c r="X816" s="130">
        <f t="shared" si="988"/>
        <v>0</v>
      </c>
      <c r="Y816" s="130">
        <f t="shared" si="988"/>
        <v>0</v>
      </c>
      <c r="Z816" s="130">
        <f t="shared" si="988"/>
        <v>0</v>
      </c>
      <c r="AA816" s="78">
        <f t="shared" si="924"/>
        <v>5800218.5099999998</v>
      </c>
      <c r="AB816" s="78">
        <f t="shared" si="909"/>
        <v>87711931.510000005</v>
      </c>
      <c r="AC816" s="174">
        <f t="shared" si="910"/>
        <v>0.18095980174224061</v>
      </c>
    </row>
    <row r="817" spans="1:29" ht="14.25" hidden="1" x14ac:dyDescent="0.2">
      <c r="B817" s="76" t="s">
        <v>1006</v>
      </c>
      <c r="C817" s="77" t="s">
        <v>378</v>
      </c>
      <c r="D817" s="340">
        <v>484703954.5</v>
      </c>
      <c r="E817" s="188">
        <f>SUM('ADICIONES  2021'!C817:I817)</f>
        <v>0</v>
      </c>
      <c r="F817" s="131"/>
      <c r="G817" s="131"/>
      <c r="H817" s="131"/>
      <c r="I817" s="131"/>
      <c r="J817" s="131"/>
      <c r="K817" s="128">
        <f t="shared" si="926"/>
        <v>484703954.5</v>
      </c>
      <c r="L817" s="131">
        <v>13569900</v>
      </c>
      <c r="M817" s="131">
        <v>13377017</v>
      </c>
      <c r="N817" s="131">
        <v>25794780</v>
      </c>
      <c r="O817" s="131">
        <v>9002261</v>
      </c>
      <c r="P817" s="131">
        <v>10573679</v>
      </c>
      <c r="Q817" s="424">
        <v>9594076</v>
      </c>
      <c r="R817" s="128">
        <f t="shared" si="923"/>
        <v>81911713</v>
      </c>
      <c r="S817" s="131">
        <v>5800218.5099999998</v>
      </c>
      <c r="T817" s="131"/>
      <c r="U817" s="131"/>
      <c r="V817" s="131"/>
      <c r="W817" s="131"/>
      <c r="X817" s="131"/>
      <c r="Y817" s="131"/>
      <c r="Z817" s="131"/>
      <c r="AA817" s="128">
        <f t="shared" si="924"/>
        <v>5800218.5099999998</v>
      </c>
      <c r="AB817" s="128">
        <f t="shared" si="909"/>
        <v>87711931.510000005</v>
      </c>
      <c r="AC817" s="175">
        <f t="shared" si="910"/>
        <v>0.18095980174224061</v>
      </c>
    </row>
    <row r="818" spans="1:29" s="63" customFormat="1" ht="31.5" x14ac:dyDescent="0.2">
      <c r="A818" s="399">
        <v>1</v>
      </c>
      <c r="B818" s="81" t="s">
        <v>474</v>
      </c>
      <c r="C818" s="79" t="s">
        <v>1007</v>
      </c>
      <c r="D818" s="339">
        <f>+D819</f>
        <v>8371129322.3100004</v>
      </c>
      <c r="E818" s="187">
        <f>SUM('ADICIONES  2021'!C818:I818)</f>
        <v>0</v>
      </c>
      <c r="F818" s="130"/>
      <c r="G818" s="130">
        <f t="shared" ref="G818:J818" si="989">+G819</f>
        <v>0</v>
      </c>
      <c r="H818" s="130">
        <f t="shared" si="989"/>
        <v>0</v>
      </c>
      <c r="I818" s="130">
        <f t="shared" si="989"/>
        <v>0</v>
      </c>
      <c r="J818" s="130">
        <f t="shared" si="989"/>
        <v>0</v>
      </c>
      <c r="K818" s="78">
        <f t="shared" si="926"/>
        <v>8371129322.3100004</v>
      </c>
      <c r="L818" s="130">
        <f t="shared" ref="L818:Q818" si="990">+L819</f>
        <v>785407808</v>
      </c>
      <c r="M818" s="130">
        <f t="shared" si="990"/>
        <v>509996365</v>
      </c>
      <c r="N818" s="130">
        <f t="shared" si="990"/>
        <v>1732651064</v>
      </c>
      <c r="O818" s="130">
        <f t="shared" si="990"/>
        <v>828877149</v>
      </c>
      <c r="P818" s="130">
        <f t="shared" si="990"/>
        <v>983893160</v>
      </c>
      <c r="Q818" s="130">
        <f t="shared" si="990"/>
        <v>1067793950</v>
      </c>
      <c r="R818" s="78">
        <f t="shared" si="923"/>
        <v>5908619496</v>
      </c>
      <c r="S818" s="130">
        <f t="shared" ref="S818:Z818" si="991">+S819</f>
        <v>1089855071.51</v>
      </c>
      <c r="T818" s="130">
        <f t="shared" si="991"/>
        <v>0</v>
      </c>
      <c r="U818" s="130">
        <f t="shared" si="991"/>
        <v>0</v>
      </c>
      <c r="V818" s="130">
        <f t="shared" si="991"/>
        <v>0</v>
      </c>
      <c r="W818" s="130">
        <f t="shared" si="991"/>
        <v>0</v>
      </c>
      <c r="X818" s="130">
        <f t="shared" si="991"/>
        <v>0</v>
      </c>
      <c r="Y818" s="130">
        <f t="shared" si="991"/>
        <v>0</v>
      </c>
      <c r="Z818" s="130">
        <f t="shared" si="991"/>
        <v>0</v>
      </c>
      <c r="AA818" s="78">
        <f t="shared" si="924"/>
        <v>1089855071.51</v>
      </c>
      <c r="AB818" s="78">
        <f t="shared" si="909"/>
        <v>6998474567.5100002</v>
      </c>
      <c r="AC818" s="174">
        <f t="shared" si="910"/>
        <v>0.8360251404620257</v>
      </c>
    </row>
    <row r="819" spans="1:29" s="63" customFormat="1" ht="63" hidden="1" x14ac:dyDescent="0.2">
      <c r="A819" s="399"/>
      <c r="B819" s="81" t="s">
        <v>1008</v>
      </c>
      <c r="C819" s="79" t="s">
        <v>1009</v>
      </c>
      <c r="D819" s="339">
        <f>+D820+D822</f>
        <v>8371129322.3100004</v>
      </c>
      <c r="E819" s="187">
        <f>SUM('ADICIONES  2021'!C819:I819)</f>
        <v>0</v>
      </c>
      <c r="F819" s="130"/>
      <c r="G819" s="130">
        <f t="shared" ref="G819:J819" si="992">+G820+G822</f>
        <v>0</v>
      </c>
      <c r="H819" s="130">
        <f t="shared" si="992"/>
        <v>0</v>
      </c>
      <c r="I819" s="130">
        <f t="shared" si="992"/>
        <v>0</v>
      </c>
      <c r="J819" s="130">
        <f t="shared" si="992"/>
        <v>0</v>
      </c>
      <c r="K819" s="78">
        <f t="shared" si="926"/>
        <v>8371129322.3100004</v>
      </c>
      <c r="L819" s="130">
        <f t="shared" ref="L819:Q819" si="993">+L820+L822</f>
        <v>785407808</v>
      </c>
      <c r="M819" s="130">
        <f t="shared" si="993"/>
        <v>509996365</v>
      </c>
      <c r="N819" s="130">
        <f t="shared" si="993"/>
        <v>1732651064</v>
      </c>
      <c r="O819" s="130">
        <f t="shared" si="993"/>
        <v>828877149</v>
      </c>
      <c r="P819" s="130">
        <f t="shared" si="993"/>
        <v>983893160</v>
      </c>
      <c r="Q819" s="423">
        <f t="shared" si="993"/>
        <v>1067793950</v>
      </c>
      <c r="R819" s="78">
        <f t="shared" si="923"/>
        <v>5908619496</v>
      </c>
      <c r="S819" s="130">
        <f t="shared" ref="S819:Z819" si="994">+S820+S822</f>
        <v>1089855071.51</v>
      </c>
      <c r="T819" s="130">
        <f t="shared" si="994"/>
        <v>0</v>
      </c>
      <c r="U819" s="130">
        <f t="shared" si="994"/>
        <v>0</v>
      </c>
      <c r="V819" s="130">
        <f t="shared" si="994"/>
        <v>0</v>
      </c>
      <c r="W819" s="130">
        <f t="shared" si="994"/>
        <v>0</v>
      </c>
      <c r="X819" s="130">
        <f t="shared" si="994"/>
        <v>0</v>
      </c>
      <c r="Y819" s="130">
        <f t="shared" si="994"/>
        <v>0</v>
      </c>
      <c r="Z819" s="130">
        <f t="shared" si="994"/>
        <v>0</v>
      </c>
      <c r="AA819" s="78">
        <f t="shared" si="924"/>
        <v>1089855071.51</v>
      </c>
      <c r="AB819" s="78">
        <f t="shared" si="909"/>
        <v>6998474567.5100002</v>
      </c>
      <c r="AC819" s="174">
        <f t="shared" si="910"/>
        <v>0.8360251404620257</v>
      </c>
    </row>
    <row r="820" spans="1:29" s="19" customFormat="1" ht="60" x14ac:dyDescent="0.2">
      <c r="A820" s="71">
        <v>1</v>
      </c>
      <c r="B820" s="82" t="s">
        <v>1010</v>
      </c>
      <c r="C820" s="83" t="s">
        <v>1011</v>
      </c>
      <c r="D820" s="339">
        <f>+D821</f>
        <v>656122480</v>
      </c>
      <c r="E820" s="187">
        <f>SUM('ADICIONES  2021'!C820:I820)</f>
        <v>0</v>
      </c>
      <c r="F820" s="130"/>
      <c r="G820" s="130">
        <f t="shared" ref="G820:J820" si="995">+G821</f>
        <v>0</v>
      </c>
      <c r="H820" s="130">
        <f t="shared" si="995"/>
        <v>0</v>
      </c>
      <c r="I820" s="130">
        <f t="shared" si="995"/>
        <v>0</v>
      </c>
      <c r="J820" s="130">
        <f t="shared" si="995"/>
        <v>0</v>
      </c>
      <c r="K820" s="126">
        <f t="shared" si="926"/>
        <v>656122480</v>
      </c>
      <c r="L820" s="132">
        <f t="shared" ref="L820:Q820" si="996">+L821</f>
        <v>0</v>
      </c>
      <c r="M820" s="132">
        <f t="shared" si="996"/>
        <v>0</v>
      </c>
      <c r="N820" s="132">
        <f t="shared" si="996"/>
        <v>0</v>
      </c>
      <c r="O820" s="132">
        <f t="shared" si="996"/>
        <v>0</v>
      </c>
      <c r="P820" s="132">
        <f t="shared" si="996"/>
        <v>0</v>
      </c>
      <c r="Q820" s="132">
        <f t="shared" si="996"/>
        <v>0</v>
      </c>
      <c r="R820" s="78">
        <f t="shared" si="923"/>
        <v>0</v>
      </c>
      <c r="S820" s="132">
        <f t="shared" ref="S820:Z820" si="997">+S821</f>
        <v>0</v>
      </c>
      <c r="T820" s="130">
        <f t="shared" si="997"/>
        <v>0</v>
      </c>
      <c r="U820" s="130">
        <f t="shared" si="997"/>
        <v>0</v>
      </c>
      <c r="V820" s="130">
        <f t="shared" si="997"/>
        <v>0</v>
      </c>
      <c r="W820" s="130">
        <f t="shared" si="997"/>
        <v>0</v>
      </c>
      <c r="X820" s="130">
        <f t="shared" si="997"/>
        <v>0</v>
      </c>
      <c r="Y820" s="132">
        <f t="shared" si="997"/>
        <v>0</v>
      </c>
      <c r="Z820" s="130">
        <f t="shared" si="997"/>
        <v>0</v>
      </c>
      <c r="AA820" s="78">
        <f t="shared" ref="AA820" si="998">SUM(S820:Z820)</f>
        <v>0</v>
      </c>
      <c r="AB820" s="126">
        <f t="shared" si="909"/>
        <v>0</v>
      </c>
      <c r="AC820" s="180">
        <f t="shared" si="910"/>
        <v>0</v>
      </c>
    </row>
    <row r="821" spans="1:29" ht="14.25" hidden="1" x14ac:dyDescent="0.2">
      <c r="B821" s="76" t="s">
        <v>1012</v>
      </c>
      <c r="C821" s="77" t="s">
        <v>378</v>
      </c>
      <c r="D821" s="340">
        <v>656122480</v>
      </c>
      <c r="E821" s="188">
        <f>SUM('ADICIONES  2021'!C821:I821)</f>
        <v>0</v>
      </c>
      <c r="F821" s="131"/>
      <c r="G821" s="131"/>
      <c r="H821" s="131"/>
      <c r="I821" s="131"/>
      <c r="J821" s="131"/>
      <c r="K821" s="128">
        <f t="shared" si="926"/>
        <v>656122480</v>
      </c>
      <c r="L821" s="131">
        <v>0</v>
      </c>
      <c r="M821" s="131">
        <v>0</v>
      </c>
      <c r="N821" s="131">
        <v>0</v>
      </c>
      <c r="O821" s="131">
        <v>0</v>
      </c>
      <c r="P821" s="131"/>
      <c r="Q821" s="424">
        <v>0</v>
      </c>
      <c r="R821" s="128">
        <f t="shared" si="923"/>
        <v>0</v>
      </c>
      <c r="S821" s="131"/>
      <c r="T821" s="131"/>
      <c r="U821" s="131"/>
      <c r="V821" s="131"/>
      <c r="W821" s="131"/>
      <c r="X821" s="131"/>
      <c r="Y821" s="131"/>
      <c r="Z821" s="131"/>
      <c r="AA821" s="128">
        <f t="shared" si="924"/>
        <v>0</v>
      </c>
      <c r="AB821" s="128">
        <f t="shared" si="909"/>
        <v>0</v>
      </c>
      <c r="AC821" s="175">
        <f t="shared" si="910"/>
        <v>0</v>
      </c>
    </row>
    <row r="822" spans="1:29" s="19" customFormat="1" ht="60" x14ac:dyDescent="0.2">
      <c r="A822" s="71">
        <v>1</v>
      </c>
      <c r="B822" s="82" t="s">
        <v>1013</v>
      </c>
      <c r="C822" s="83" t="s">
        <v>1014</v>
      </c>
      <c r="D822" s="339">
        <f>+D823</f>
        <v>7715006842.3100004</v>
      </c>
      <c r="E822" s="187">
        <f>SUM('ADICIONES  2021'!C822:I822)</f>
        <v>0</v>
      </c>
      <c r="F822" s="130"/>
      <c r="G822" s="130">
        <f t="shared" ref="G822:J822" si="999">+G823</f>
        <v>0</v>
      </c>
      <c r="H822" s="130">
        <f t="shared" si="999"/>
        <v>0</v>
      </c>
      <c r="I822" s="130">
        <f t="shared" si="999"/>
        <v>0</v>
      </c>
      <c r="J822" s="130">
        <f t="shared" si="999"/>
        <v>0</v>
      </c>
      <c r="K822" s="126">
        <f t="shared" si="926"/>
        <v>7715006842.3100004</v>
      </c>
      <c r="L822" s="132">
        <f t="shared" ref="L822:Q822" si="1000">+L823</f>
        <v>785407808</v>
      </c>
      <c r="M822" s="132">
        <f t="shared" si="1000"/>
        <v>509996365</v>
      </c>
      <c r="N822" s="132">
        <f t="shared" si="1000"/>
        <v>1732651064</v>
      </c>
      <c r="O822" s="132">
        <f t="shared" si="1000"/>
        <v>828877149</v>
      </c>
      <c r="P822" s="132">
        <f t="shared" si="1000"/>
        <v>983893160</v>
      </c>
      <c r="Q822" s="132">
        <f t="shared" si="1000"/>
        <v>1067793950</v>
      </c>
      <c r="R822" s="78">
        <f t="shared" si="923"/>
        <v>5908619496</v>
      </c>
      <c r="S822" s="132">
        <f t="shared" ref="S822:Z822" si="1001">+S823</f>
        <v>1089855071.51</v>
      </c>
      <c r="T822" s="130">
        <f t="shared" si="1001"/>
        <v>0</v>
      </c>
      <c r="U822" s="130">
        <f t="shared" si="1001"/>
        <v>0</v>
      </c>
      <c r="V822" s="130">
        <f t="shared" si="1001"/>
        <v>0</v>
      </c>
      <c r="W822" s="130">
        <f t="shared" si="1001"/>
        <v>0</v>
      </c>
      <c r="X822" s="130">
        <f t="shared" si="1001"/>
        <v>0</v>
      </c>
      <c r="Y822" s="132">
        <f t="shared" si="1001"/>
        <v>0</v>
      </c>
      <c r="Z822" s="130">
        <f t="shared" si="1001"/>
        <v>0</v>
      </c>
      <c r="AA822" s="78">
        <f t="shared" si="924"/>
        <v>1089855071.51</v>
      </c>
      <c r="AB822" s="126">
        <f t="shared" si="909"/>
        <v>6998474567.5100002</v>
      </c>
      <c r="AC822" s="180">
        <f t="shared" si="910"/>
        <v>0.9071248685263047</v>
      </c>
    </row>
    <row r="823" spans="1:29" ht="14.25" hidden="1" x14ac:dyDescent="0.2">
      <c r="B823" s="76" t="s">
        <v>1015</v>
      </c>
      <c r="C823" s="77" t="s">
        <v>378</v>
      </c>
      <c r="D823" s="340">
        <v>7715006842.3100004</v>
      </c>
      <c r="E823" s="188">
        <f>SUM('ADICIONES  2021'!C823:I823)</f>
        <v>0</v>
      </c>
      <c r="F823" s="131"/>
      <c r="G823" s="131"/>
      <c r="H823" s="131"/>
      <c r="I823" s="131"/>
      <c r="J823" s="131"/>
      <c r="K823" s="128">
        <f t="shared" si="926"/>
        <v>7715006842.3100004</v>
      </c>
      <c r="L823" s="131">
        <v>785407808</v>
      </c>
      <c r="M823" s="131">
        <v>509996365</v>
      </c>
      <c r="N823" s="131">
        <v>1732651064</v>
      </c>
      <c r="O823" s="131">
        <v>828877149</v>
      </c>
      <c r="P823" s="131">
        <v>983893160</v>
      </c>
      <c r="Q823" s="424">
        <v>1067793950</v>
      </c>
      <c r="R823" s="128">
        <f t="shared" si="923"/>
        <v>5908619496</v>
      </c>
      <c r="S823" s="131">
        <v>1089855071.51</v>
      </c>
      <c r="T823" s="131"/>
      <c r="U823" s="131"/>
      <c r="V823" s="131"/>
      <c r="W823" s="131"/>
      <c r="X823" s="131"/>
      <c r="Y823" s="131"/>
      <c r="Z823" s="131"/>
      <c r="AA823" s="128">
        <f t="shared" si="924"/>
        <v>1089855071.51</v>
      </c>
      <c r="AB823" s="128">
        <f t="shared" si="909"/>
        <v>6998474567.5100002</v>
      </c>
      <c r="AC823" s="175">
        <f t="shared" si="910"/>
        <v>0.9071248685263047</v>
      </c>
    </row>
    <row r="824" spans="1:29" s="214" customFormat="1" ht="19.5" x14ac:dyDescent="0.2">
      <c r="A824" s="211">
        <v>1</v>
      </c>
      <c r="B824" s="212" t="s">
        <v>535</v>
      </c>
      <c r="C824" s="213" t="s">
        <v>211</v>
      </c>
      <c r="D824" s="341">
        <f>+D825+D831+D835+D872</f>
        <v>75497971256.809998</v>
      </c>
      <c r="E824" s="306">
        <f>SUM('ADICIONES  2021'!C824:I824)</f>
        <v>16886111434.870001</v>
      </c>
      <c r="F824" s="236"/>
      <c r="G824" s="236">
        <f>+G825+G831+G835+G872</f>
        <v>2500000000</v>
      </c>
      <c r="H824" s="236">
        <f>+H825+H831+H835+H872</f>
        <v>350000000</v>
      </c>
      <c r="I824" s="236">
        <f>+I825+I831+I835+I872</f>
        <v>0</v>
      </c>
      <c r="J824" s="236">
        <f>+J825+J831+J835+J872</f>
        <v>0</v>
      </c>
      <c r="K824" s="206">
        <f t="shared" si="926"/>
        <v>94534082691.679993</v>
      </c>
      <c r="L824" s="236">
        <f t="shared" ref="L824:Q824" si="1002">+L825+L831+L835+L872</f>
        <v>7913795786.4992008</v>
      </c>
      <c r="M824" s="236">
        <f t="shared" si="1002"/>
        <v>4175360519.2983999</v>
      </c>
      <c r="N824" s="236">
        <f t="shared" si="1002"/>
        <v>8611672717.3661995</v>
      </c>
      <c r="O824" s="236">
        <f t="shared" si="1002"/>
        <v>9618170460.1716003</v>
      </c>
      <c r="P824" s="236">
        <f t="shared" si="1002"/>
        <v>16431035349.454802</v>
      </c>
      <c r="Q824" s="236">
        <f t="shared" si="1002"/>
        <v>6475180211.7431993</v>
      </c>
      <c r="R824" s="206">
        <f t="shared" si="923"/>
        <v>53225215044.533401</v>
      </c>
      <c r="S824" s="236">
        <f t="shared" ref="S824:Z824" si="1003">+S825+S831+S835+S872</f>
        <v>9258852449.5408001</v>
      </c>
      <c r="T824" s="236">
        <f t="shared" si="1003"/>
        <v>0</v>
      </c>
      <c r="U824" s="236">
        <f t="shared" si="1003"/>
        <v>0</v>
      </c>
      <c r="V824" s="236">
        <f t="shared" si="1003"/>
        <v>0</v>
      </c>
      <c r="W824" s="236">
        <f t="shared" si="1003"/>
        <v>0</v>
      </c>
      <c r="X824" s="236">
        <f t="shared" si="1003"/>
        <v>0</v>
      </c>
      <c r="Y824" s="236">
        <f t="shared" si="1003"/>
        <v>0</v>
      </c>
      <c r="Z824" s="236">
        <f t="shared" si="1003"/>
        <v>0</v>
      </c>
      <c r="AA824" s="206">
        <f t="shared" si="924"/>
        <v>9258852449.5408001</v>
      </c>
      <c r="AB824" s="206">
        <f t="shared" si="909"/>
        <v>62484067494.074203</v>
      </c>
      <c r="AC824" s="207">
        <f t="shared" si="910"/>
        <v>0.66096867621664102</v>
      </c>
    </row>
    <row r="825" spans="1:29" s="19" customFormat="1" ht="15.75" x14ac:dyDescent="0.2">
      <c r="A825" s="71">
        <v>1</v>
      </c>
      <c r="B825" s="82" t="s">
        <v>1016</v>
      </c>
      <c r="C825" s="83" t="s">
        <v>1017</v>
      </c>
      <c r="D825" s="339">
        <f>+D826</f>
        <v>946682539</v>
      </c>
      <c r="E825" s="187">
        <f>SUM('ADICIONES  2021'!C825:I825)</f>
        <v>0</v>
      </c>
      <c r="F825" s="130"/>
      <c r="G825" s="130">
        <f t="shared" ref="G825:J825" si="1004">+G826</f>
        <v>0</v>
      </c>
      <c r="H825" s="130">
        <f t="shared" si="1004"/>
        <v>0</v>
      </c>
      <c r="I825" s="130">
        <f t="shared" si="1004"/>
        <v>0</v>
      </c>
      <c r="J825" s="130">
        <f t="shared" si="1004"/>
        <v>0</v>
      </c>
      <c r="K825" s="126">
        <f t="shared" si="926"/>
        <v>946682539</v>
      </c>
      <c r="L825" s="132">
        <f t="shared" ref="L825:Q825" si="1005">+L826</f>
        <v>142810989.59999999</v>
      </c>
      <c r="M825" s="132">
        <f t="shared" si="1005"/>
        <v>119753997.64</v>
      </c>
      <c r="N825" s="132">
        <f t="shared" si="1005"/>
        <v>117907040.40000001</v>
      </c>
      <c r="O825" s="132">
        <f t="shared" si="1005"/>
        <v>106693304.59999999</v>
      </c>
      <c r="P825" s="132">
        <f t="shared" si="1005"/>
        <v>154730333.44</v>
      </c>
      <c r="Q825" s="132">
        <f t="shared" si="1005"/>
        <v>112025652.2</v>
      </c>
      <c r="R825" s="78">
        <f t="shared" si="923"/>
        <v>753921317.88000011</v>
      </c>
      <c r="S825" s="132">
        <f t="shared" ref="S825:Z825" si="1006">+S826</f>
        <v>166139403.5</v>
      </c>
      <c r="T825" s="130">
        <f t="shared" si="1006"/>
        <v>0</v>
      </c>
      <c r="U825" s="130">
        <f t="shared" si="1006"/>
        <v>0</v>
      </c>
      <c r="V825" s="130">
        <f t="shared" si="1006"/>
        <v>0</v>
      </c>
      <c r="W825" s="130">
        <f t="shared" si="1006"/>
        <v>0</v>
      </c>
      <c r="X825" s="130">
        <f t="shared" si="1006"/>
        <v>0</v>
      </c>
      <c r="Y825" s="132">
        <f t="shared" si="1006"/>
        <v>0</v>
      </c>
      <c r="Z825" s="130">
        <f t="shared" si="1006"/>
        <v>0</v>
      </c>
      <c r="AA825" s="78">
        <f t="shared" si="924"/>
        <v>166139403.5</v>
      </c>
      <c r="AB825" s="126">
        <f t="shared" si="909"/>
        <v>920060721.38000011</v>
      </c>
      <c r="AC825" s="180">
        <f t="shared" si="910"/>
        <v>0.97187883316394419</v>
      </c>
    </row>
    <row r="826" spans="1:29" s="63" customFormat="1" ht="47.25" hidden="1" x14ac:dyDescent="0.2">
      <c r="A826" s="399"/>
      <c r="B826" s="81" t="s">
        <v>1018</v>
      </c>
      <c r="C826" s="79" t="s">
        <v>1019</v>
      </c>
      <c r="D826" s="339">
        <f>SUM(D827:D830)</f>
        <v>946682539</v>
      </c>
      <c r="E826" s="187">
        <f>SUM('ADICIONES  2021'!C826:I826)</f>
        <v>0</v>
      </c>
      <c r="F826" s="130"/>
      <c r="G826" s="130">
        <f t="shared" ref="G826:J826" si="1007">SUM(G827:G830)</f>
        <v>0</v>
      </c>
      <c r="H826" s="130">
        <f t="shared" si="1007"/>
        <v>0</v>
      </c>
      <c r="I826" s="130">
        <f t="shared" si="1007"/>
        <v>0</v>
      </c>
      <c r="J826" s="130">
        <f t="shared" si="1007"/>
        <v>0</v>
      </c>
      <c r="K826" s="78">
        <f t="shared" si="926"/>
        <v>946682539</v>
      </c>
      <c r="L826" s="130">
        <f t="shared" ref="L826:Q826" si="1008">SUM(L827:L830)</f>
        <v>142810989.59999999</v>
      </c>
      <c r="M826" s="130">
        <f t="shared" si="1008"/>
        <v>119753997.64</v>
      </c>
      <c r="N826" s="130">
        <f t="shared" si="1008"/>
        <v>117907040.40000001</v>
      </c>
      <c r="O826" s="130">
        <f t="shared" si="1008"/>
        <v>106693304.59999999</v>
      </c>
      <c r="P826" s="130">
        <f t="shared" si="1008"/>
        <v>154730333.44</v>
      </c>
      <c r="Q826" s="423">
        <f t="shared" si="1008"/>
        <v>112025652.2</v>
      </c>
      <c r="R826" s="78">
        <f t="shared" si="923"/>
        <v>753921317.88000011</v>
      </c>
      <c r="S826" s="130">
        <f t="shared" ref="S826:Z826" si="1009">SUM(S827:S830)</f>
        <v>166139403.5</v>
      </c>
      <c r="T826" s="130">
        <f t="shared" si="1009"/>
        <v>0</v>
      </c>
      <c r="U826" s="130">
        <f t="shared" si="1009"/>
        <v>0</v>
      </c>
      <c r="V826" s="130">
        <f t="shared" si="1009"/>
        <v>0</v>
      </c>
      <c r="W826" s="130">
        <f t="shared" si="1009"/>
        <v>0</v>
      </c>
      <c r="X826" s="130">
        <f t="shared" si="1009"/>
        <v>0</v>
      </c>
      <c r="Y826" s="130">
        <f t="shared" si="1009"/>
        <v>0</v>
      </c>
      <c r="Z826" s="130">
        <f t="shared" si="1009"/>
        <v>0</v>
      </c>
      <c r="AA826" s="78">
        <f t="shared" si="924"/>
        <v>166139403.5</v>
      </c>
      <c r="AB826" s="78">
        <f t="shared" si="909"/>
        <v>920060721.38000011</v>
      </c>
      <c r="AC826" s="174">
        <f t="shared" si="910"/>
        <v>0.97187883316394419</v>
      </c>
    </row>
    <row r="827" spans="1:29" ht="14.25" hidden="1" x14ac:dyDescent="0.2">
      <c r="B827" s="76" t="s">
        <v>1020</v>
      </c>
      <c r="C827" s="77" t="s">
        <v>1021</v>
      </c>
      <c r="D827" s="340">
        <v>848349668</v>
      </c>
      <c r="E827" s="188">
        <f>SUM('ADICIONES  2021'!C827:I827)</f>
        <v>0</v>
      </c>
      <c r="F827" s="131"/>
      <c r="G827" s="131"/>
      <c r="H827" s="131"/>
      <c r="I827" s="131"/>
      <c r="J827" s="131"/>
      <c r="K827" s="128">
        <f t="shared" si="926"/>
        <v>848349668</v>
      </c>
      <c r="L827" s="131">
        <v>139008885.59999999</v>
      </c>
      <c r="M827" s="131">
        <v>108304390.64</v>
      </c>
      <c r="N827" s="131">
        <v>111269057.40000001</v>
      </c>
      <c r="O827" s="131">
        <v>96710773.599999994</v>
      </c>
      <c r="P827" s="131">
        <v>147659036.44</v>
      </c>
      <c r="Q827" s="424">
        <v>106752838.2</v>
      </c>
      <c r="R827" s="128">
        <f t="shared" si="923"/>
        <v>709704981.88000011</v>
      </c>
      <c r="S827" s="131">
        <v>158095190.69999999</v>
      </c>
      <c r="T827" s="131"/>
      <c r="U827" s="131"/>
      <c r="V827" s="131"/>
      <c r="W827" s="131"/>
      <c r="X827" s="131"/>
      <c r="Y827" s="131"/>
      <c r="Z827" s="131"/>
      <c r="AA827" s="128">
        <f t="shared" si="924"/>
        <v>158095190.69999999</v>
      </c>
      <c r="AB827" s="128">
        <f t="shared" si="909"/>
        <v>867800172.58000016</v>
      </c>
      <c r="AC827" s="175">
        <f t="shared" si="910"/>
        <v>1.0229274617692197</v>
      </c>
    </row>
    <row r="828" spans="1:29" ht="14.25" hidden="1" x14ac:dyDescent="0.2">
      <c r="B828" s="76" t="s">
        <v>1022</v>
      </c>
      <c r="C828" s="77" t="s">
        <v>105</v>
      </c>
      <c r="D828" s="340">
        <v>1316000</v>
      </c>
      <c r="E828" s="188">
        <f>SUM('ADICIONES  2021'!C828:I828)</f>
        <v>0</v>
      </c>
      <c r="F828" s="131"/>
      <c r="G828" s="131"/>
      <c r="H828" s="131"/>
      <c r="I828" s="131"/>
      <c r="J828" s="131"/>
      <c r="K828" s="128">
        <f t="shared" si="926"/>
        <v>1316000</v>
      </c>
      <c r="L828" s="131">
        <v>211989</v>
      </c>
      <c r="M828" s="131">
        <v>0</v>
      </c>
      <c r="N828" s="131">
        <v>0</v>
      </c>
      <c r="O828" s="131">
        <v>272559</v>
      </c>
      <c r="P828" s="131">
        <v>0</v>
      </c>
      <c r="Q828" s="424">
        <v>90853</v>
      </c>
      <c r="R828" s="128">
        <f t="shared" si="923"/>
        <v>575401</v>
      </c>
      <c r="S828" s="131">
        <v>363412</v>
      </c>
      <c r="T828" s="131"/>
      <c r="U828" s="131"/>
      <c r="V828" s="131"/>
      <c r="W828" s="131"/>
      <c r="X828" s="131"/>
      <c r="Y828" s="131"/>
      <c r="Z828" s="131"/>
      <c r="AA828" s="128">
        <f t="shared" si="924"/>
        <v>363412</v>
      </c>
      <c r="AB828" s="128">
        <f t="shared" si="909"/>
        <v>938813</v>
      </c>
      <c r="AC828" s="175">
        <f t="shared" si="910"/>
        <v>0.71338373860182369</v>
      </c>
    </row>
    <row r="829" spans="1:29" ht="14.25" hidden="1" x14ac:dyDescent="0.2">
      <c r="B829" s="76" t="s">
        <v>1023</v>
      </c>
      <c r="C829" s="77" t="s">
        <v>106</v>
      </c>
      <c r="D829" s="340">
        <v>77259500</v>
      </c>
      <c r="E829" s="188">
        <f>SUM('ADICIONES  2021'!C829:I829)</f>
        <v>0</v>
      </c>
      <c r="F829" s="131"/>
      <c r="G829" s="131"/>
      <c r="H829" s="131"/>
      <c r="I829" s="131"/>
      <c r="J829" s="131"/>
      <c r="K829" s="128">
        <f t="shared" si="926"/>
        <v>77259500</v>
      </c>
      <c r="L829" s="131">
        <v>2060000</v>
      </c>
      <c r="M829" s="131">
        <v>9360000</v>
      </c>
      <c r="N829" s="131">
        <v>6320000</v>
      </c>
      <c r="O829" s="131">
        <v>9180000</v>
      </c>
      <c r="P829" s="131">
        <v>5420000</v>
      </c>
      <c r="Q829" s="424">
        <v>4440000</v>
      </c>
      <c r="R829" s="128">
        <f t="shared" si="923"/>
        <v>36780000</v>
      </c>
      <c r="S829" s="131">
        <v>5197498.8</v>
      </c>
      <c r="T829" s="131"/>
      <c r="U829" s="131"/>
      <c r="V829" s="131"/>
      <c r="W829" s="131"/>
      <c r="X829" s="131"/>
      <c r="Y829" s="131"/>
      <c r="Z829" s="131"/>
      <c r="AA829" s="128">
        <f t="shared" si="924"/>
        <v>5197498.8</v>
      </c>
      <c r="AB829" s="128">
        <f t="shared" si="909"/>
        <v>41977498.799999997</v>
      </c>
      <c r="AC829" s="175">
        <f t="shared" si="910"/>
        <v>0.5433312252862107</v>
      </c>
    </row>
    <row r="830" spans="1:29" ht="28.5" hidden="1" x14ac:dyDescent="0.2">
      <c r="B830" s="76" t="s">
        <v>1024</v>
      </c>
      <c r="C830" s="77" t="s">
        <v>107</v>
      </c>
      <c r="D830" s="340">
        <v>19757371</v>
      </c>
      <c r="E830" s="188">
        <f>SUM('ADICIONES  2021'!C830:I830)</f>
        <v>0</v>
      </c>
      <c r="F830" s="131"/>
      <c r="G830" s="131"/>
      <c r="H830" s="131"/>
      <c r="I830" s="131"/>
      <c r="J830" s="131"/>
      <c r="K830" s="128">
        <f t="shared" si="926"/>
        <v>19757371</v>
      </c>
      <c r="L830" s="131">
        <v>1530115</v>
      </c>
      <c r="M830" s="131">
        <v>2089607</v>
      </c>
      <c r="N830" s="131">
        <v>317983</v>
      </c>
      <c r="O830" s="131">
        <v>529972</v>
      </c>
      <c r="P830" s="131">
        <v>1651297</v>
      </c>
      <c r="Q830" s="424">
        <v>741961</v>
      </c>
      <c r="R830" s="128">
        <f t="shared" si="923"/>
        <v>6860935</v>
      </c>
      <c r="S830" s="131">
        <v>2483302</v>
      </c>
      <c r="T830" s="131"/>
      <c r="U830" s="131"/>
      <c r="V830" s="131"/>
      <c r="W830" s="131"/>
      <c r="X830" s="131"/>
      <c r="Y830" s="131"/>
      <c r="Z830" s="131"/>
      <c r="AA830" s="128">
        <f t="shared" si="924"/>
        <v>2483302</v>
      </c>
      <c r="AB830" s="128">
        <f t="shared" si="909"/>
        <v>9344237</v>
      </c>
      <c r="AC830" s="175">
        <f t="shared" si="910"/>
        <v>0.47294941214597835</v>
      </c>
    </row>
    <row r="831" spans="1:29" s="19" customFormat="1" ht="15.75" x14ac:dyDescent="0.2">
      <c r="A831" s="71">
        <v>1</v>
      </c>
      <c r="B831" s="82" t="s">
        <v>588</v>
      </c>
      <c r="C831" s="83" t="s">
        <v>104</v>
      </c>
      <c r="D831" s="339">
        <f>+D832</f>
        <v>232126203</v>
      </c>
      <c r="E831" s="187">
        <f>SUM('ADICIONES  2021'!C831:I831)</f>
        <v>0</v>
      </c>
      <c r="F831" s="130"/>
      <c r="G831" s="130">
        <f t="shared" ref="G831:J833" si="1010">+G832</f>
        <v>0</v>
      </c>
      <c r="H831" s="130">
        <f t="shared" si="1010"/>
        <v>0</v>
      </c>
      <c r="I831" s="130">
        <f t="shared" si="1010"/>
        <v>0</v>
      </c>
      <c r="J831" s="130">
        <f t="shared" si="1010"/>
        <v>0</v>
      </c>
      <c r="K831" s="126">
        <f t="shared" si="926"/>
        <v>232126203</v>
      </c>
      <c r="L831" s="132">
        <f t="shared" ref="L831:Q833" si="1011">+L832</f>
        <v>240000</v>
      </c>
      <c r="M831" s="132">
        <f t="shared" si="1011"/>
        <v>120000</v>
      </c>
      <c r="N831" s="132">
        <f t="shared" si="1011"/>
        <v>120000</v>
      </c>
      <c r="O831" s="132">
        <f t="shared" si="1011"/>
        <v>360000</v>
      </c>
      <c r="P831" s="132">
        <f t="shared" si="1011"/>
        <v>120000</v>
      </c>
      <c r="Q831" s="132">
        <f t="shared" si="1011"/>
        <v>120000</v>
      </c>
      <c r="R831" s="78">
        <f t="shared" si="923"/>
        <v>1080000</v>
      </c>
      <c r="S831" s="132">
        <f t="shared" ref="S831:Z833" si="1012">+S832</f>
        <v>360000</v>
      </c>
      <c r="T831" s="130">
        <f t="shared" si="1012"/>
        <v>0</v>
      </c>
      <c r="U831" s="130">
        <f t="shared" si="1012"/>
        <v>0</v>
      </c>
      <c r="V831" s="130">
        <f t="shared" si="1012"/>
        <v>0</v>
      </c>
      <c r="W831" s="130">
        <f t="shared" si="1012"/>
        <v>0</v>
      </c>
      <c r="X831" s="130">
        <f t="shared" si="1012"/>
        <v>0</v>
      </c>
      <c r="Y831" s="132">
        <f t="shared" si="1012"/>
        <v>0</v>
      </c>
      <c r="Z831" s="130">
        <f t="shared" si="1012"/>
        <v>0</v>
      </c>
      <c r="AA831" s="78">
        <f t="shared" si="924"/>
        <v>360000</v>
      </c>
      <c r="AB831" s="126">
        <f t="shared" si="909"/>
        <v>1440000</v>
      </c>
      <c r="AC831" s="180">
        <f t="shared" si="910"/>
        <v>6.2035219694693408E-3</v>
      </c>
    </row>
    <row r="832" spans="1:29" s="63" customFormat="1" ht="31.5" hidden="1" x14ac:dyDescent="0.2">
      <c r="A832" s="399"/>
      <c r="B832" s="81" t="s">
        <v>1025</v>
      </c>
      <c r="C832" s="79" t="s">
        <v>1026</v>
      </c>
      <c r="D832" s="339">
        <f>+D833</f>
        <v>232126203</v>
      </c>
      <c r="E832" s="187">
        <f>SUM('ADICIONES  2021'!C832:I832)</f>
        <v>0</v>
      </c>
      <c r="F832" s="130"/>
      <c r="G832" s="130">
        <f t="shared" si="1010"/>
        <v>0</v>
      </c>
      <c r="H832" s="130">
        <f t="shared" si="1010"/>
        <v>0</v>
      </c>
      <c r="I832" s="130">
        <f t="shared" si="1010"/>
        <v>0</v>
      </c>
      <c r="J832" s="130">
        <f t="shared" si="1010"/>
        <v>0</v>
      </c>
      <c r="K832" s="78">
        <f t="shared" si="926"/>
        <v>232126203</v>
      </c>
      <c r="L832" s="130">
        <f t="shared" si="1011"/>
        <v>240000</v>
      </c>
      <c r="M832" s="130">
        <f t="shared" si="1011"/>
        <v>120000</v>
      </c>
      <c r="N832" s="130">
        <f t="shared" si="1011"/>
        <v>120000</v>
      </c>
      <c r="O832" s="130">
        <f t="shared" si="1011"/>
        <v>360000</v>
      </c>
      <c r="P832" s="130">
        <f t="shared" si="1011"/>
        <v>120000</v>
      </c>
      <c r="Q832" s="423">
        <f t="shared" si="1011"/>
        <v>120000</v>
      </c>
      <c r="R832" s="78">
        <f t="shared" si="923"/>
        <v>1080000</v>
      </c>
      <c r="S832" s="130">
        <f t="shared" si="1012"/>
        <v>360000</v>
      </c>
      <c r="T832" s="130">
        <f t="shared" si="1012"/>
        <v>0</v>
      </c>
      <c r="U832" s="130">
        <f t="shared" si="1012"/>
        <v>0</v>
      </c>
      <c r="V832" s="130">
        <f t="shared" si="1012"/>
        <v>0</v>
      </c>
      <c r="W832" s="130">
        <f t="shared" si="1012"/>
        <v>0</v>
      </c>
      <c r="X832" s="130">
        <f t="shared" si="1012"/>
        <v>0</v>
      </c>
      <c r="Y832" s="130">
        <f t="shared" si="1012"/>
        <v>0</v>
      </c>
      <c r="Z832" s="130">
        <f t="shared" si="1012"/>
        <v>0</v>
      </c>
      <c r="AA832" s="78">
        <f t="shared" si="924"/>
        <v>360000</v>
      </c>
      <c r="AB832" s="78">
        <f t="shared" si="909"/>
        <v>1440000</v>
      </c>
      <c r="AC832" s="174">
        <f t="shared" si="910"/>
        <v>6.2035219694693408E-3</v>
      </c>
    </row>
    <row r="833" spans="1:29" s="63" customFormat="1" ht="15.75" hidden="1" x14ac:dyDescent="0.2">
      <c r="A833" s="399"/>
      <c r="B833" s="81" t="s">
        <v>1027</v>
      </c>
      <c r="C833" s="79" t="s">
        <v>1028</v>
      </c>
      <c r="D833" s="339">
        <f>+D834</f>
        <v>232126203</v>
      </c>
      <c r="E833" s="187">
        <f>SUM('ADICIONES  2021'!C833:I833)</f>
        <v>0</v>
      </c>
      <c r="F833" s="130"/>
      <c r="G833" s="130">
        <f t="shared" si="1010"/>
        <v>0</v>
      </c>
      <c r="H833" s="130">
        <f t="shared" si="1010"/>
        <v>0</v>
      </c>
      <c r="I833" s="130">
        <f t="shared" si="1010"/>
        <v>0</v>
      </c>
      <c r="J833" s="130">
        <f t="shared" si="1010"/>
        <v>0</v>
      </c>
      <c r="K833" s="78">
        <f t="shared" si="926"/>
        <v>232126203</v>
      </c>
      <c r="L833" s="130">
        <f t="shared" si="1011"/>
        <v>240000</v>
      </c>
      <c r="M833" s="130">
        <f t="shared" si="1011"/>
        <v>120000</v>
      </c>
      <c r="N833" s="130">
        <f t="shared" si="1011"/>
        <v>120000</v>
      </c>
      <c r="O833" s="130">
        <f t="shared" si="1011"/>
        <v>360000</v>
      </c>
      <c r="P833" s="130">
        <f t="shared" si="1011"/>
        <v>120000</v>
      </c>
      <c r="Q833" s="423">
        <f t="shared" si="1011"/>
        <v>120000</v>
      </c>
      <c r="R833" s="78">
        <f t="shared" si="923"/>
        <v>1080000</v>
      </c>
      <c r="S833" s="130">
        <f t="shared" si="1012"/>
        <v>360000</v>
      </c>
      <c r="T833" s="130">
        <f t="shared" si="1012"/>
        <v>0</v>
      </c>
      <c r="U833" s="130">
        <f t="shared" si="1012"/>
        <v>0</v>
      </c>
      <c r="V833" s="130">
        <f t="shared" si="1012"/>
        <v>0</v>
      </c>
      <c r="W833" s="130">
        <f t="shared" si="1012"/>
        <v>0</v>
      </c>
      <c r="X833" s="130">
        <f t="shared" si="1012"/>
        <v>0</v>
      </c>
      <c r="Y833" s="130">
        <f t="shared" si="1012"/>
        <v>0</v>
      </c>
      <c r="Z833" s="130">
        <f t="shared" si="1012"/>
        <v>0</v>
      </c>
      <c r="AA833" s="78">
        <f t="shared" si="924"/>
        <v>360000</v>
      </c>
      <c r="AB833" s="78">
        <f t="shared" si="909"/>
        <v>1440000</v>
      </c>
      <c r="AC833" s="174">
        <f t="shared" si="910"/>
        <v>6.2035219694693408E-3</v>
      </c>
    </row>
    <row r="834" spans="1:29" ht="14.25" hidden="1" x14ac:dyDescent="0.2">
      <c r="B834" s="76" t="s">
        <v>1029</v>
      </c>
      <c r="C834" s="77" t="s">
        <v>1030</v>
      </c>
      <c r="D834" s="340">
        <v>232126203</v>
      </c>
      <c r="E834" s="188">
        <f>SUM('ADICIONES  2021'!C834:I834)</f>
        <v>0</v>
      </c>
      <c r="F834" s="131"/>
      <c r="G834" s="131"/>
      <c r="H834" s="131"/>
      <c r="I834" s="131"/>
      <c r="J834" s="131"/>
      <c r="K834" s="128">
        <f t="shared" si="926"/>
        <v>232126203</v>
      </c>
      <c r="L834" s="131">
        <v>240000</v>
      </c>
      <c r="M834" s="131">
        <v>120000</v>
      </c>
      <c r="N834" s="131">
        <v>120000</v>
      </c>
      <c r="O834" s="131">
        <v>360000</v>
      </c>
      <c r="P834" s="131">
        <v>120000</v>
      </c>
      <c r="Q834" s="424">
        <v>120000</v>
      </c>
      <c r="R834" s="128">
        <f t="shared" si="923"/>
        <v>1080000</v>
      </c>
      <c r="S834" s="131">
        <v>360000</v>
      </c>
      <c r="T834" s="131"/>
      <c r="U834" s="131"/>
      <c r="V834" s="131"/>
      <c r="W834" s="131"/>
      <c r="X834" s="131"/>
      <c r="Y834" s="131"/>
      <c r="Z834" s="131"/>
      <c r="AA834" s="128">
        <f t="shared" si="924"/>
        <v>360000</v>
      </c>
      <c r="AB834" s="128">
        <f t="shared" si="909"/>
        <v>1440000</v>
      </c>
      <c r="AC834" s="175">
        <f t="shared" si="910"/>
        <v>6.2035219694693408E-3</v>
      </c>
    </row>
    <row r="835" spans="1:29" s="63" customFormat="1" ht="15.75" x14ac:dyDescent="0.2">
      <c r="A835" s="399">
        <v>1</v>
      </c>
      <c r="B835" s="81" t="s">
        <v>608</v>
      </c>
      <c r="C835" s="79" t="s">
        <v>1031</v>
      </c>
      <c r="D835" s="339">
        <f>+D836+D842+D868</f>
        <v>62551399804.150002</v>
      </c>
      <c r="E835" s="187">
        <f>SUM('ADICIONES  2021'!C835:I835)</f>
        <v>16886111434.870001</v>
      </c>
      <c r="F835" s="339">
        <f t="shared" ref="F835:J835" si="1013">+F836+F842+F868</f>
        <v>0</v>
      </c>
      <c r="G835" s="339">
        <f t="shared" si="1013"/>
        <v>2500000000</v>
      </c>
      <c r="H835" s="339">
        <f t="shared" si="1013"/>
        <v>350000000</v>
      </c>
      <c r="I835" s="339">
        <f t="shared" si="1013"/>
        <v>0</v>
      </c>
      <c r="J835" s="339">
        <f t="shared" si="1013"/>
        <v>0</v>
      </c>
      <c r="K835" s="78">
        <f t="shared" si="926"/>
        <v>81587511239.020004</v>
      </c>
      <c r="L835" s="339">
        <f t="shared" ref="L835:Q835" si="1014">+L836+L842+L868</f>
        <v>6582521004.8992004</v>
      </c>
      <c r="M835" s="339">
        <f t="shared" si="1014"/>
        <v>3179980547.1784</v>
      </c>
      <c r="N835" s="339">
        <f t="shared" si="1014"/>
        <v>7562907784.9661999</v>
      </c>
      <c r="O835" s="339">
        <f t="shared" si="1014"/>
        <v>8513936975.5716</v>
      </c>
      <c r="P835" s="339">
        <f t="shared" si="1014"/>
        <v>15265919873.014801</v>
      </c>
      <c r="Q835" s="339">
        <f t="shared" si="1014"/>
        <v>5524870299.5431995</v>
      </c>
      <c r="R835" s="78">
        <f t="shared" si="923"/>
        <v>46630136485.173401</v>
      </c>
      <c r="S835" s="339">
        <f t="shared" ref="S835:Z835" si="1015">+S836+S842+S868</f>
        <v>8190969017.7407999</v>
      </c>
      <c r="T835" s="339">
        <f t="shared" si="1015"/>
        <v>0</v>
      </c>
      <c r="U835" s="339">
        <f t="shared" si="1015"/>
        <v>0</v>
      </c>
      <c r="V835" s="339">
        <f t="shared" si="1015"/>
        <v>0</v>
      </c>
      <c r="W835" s="339">
        <f t="shared" si="1015"/>
        <v>0</v>
      </c>
      <c r="X835" s="339">
        <f t="shared" si="1015"/>
        <v>0</v>
      </c>
      <c r="Y835" s="339">
        <f t="shared" si="1015"/>
        <v>0</v>
      </c>
      <c r="Z835" s="339">
        <f t="shared" si="1015"/>
        <v>0</v>
      </c>
      <c r="AA835" s="78">
        <f t="shared" si="924"/>
        <v>8190969017.7407999</v>
      </c>
      <c r="AB835" s="78">
        <f t="shared" si="909"/>
        <v>54821105502.9142</v>
      </c>
      <c r="AC835" s="174">
        <f t="shared" si="910"/>
        <v>0.67193011124349</v>
      </c>
    </row>
    <row r="836" spans="1:29" s="19" customFormat="1" ht="15.75" x14ac:dyDescent="0.2">
      <c r="A836" s="71">
        <v>1</v>
      </c>
      <c r="B836" s="82" t="s">
        <v>610</v>
      </c>
      <c r="C836" s="83" t="s">
        <v>1032</v>
      </c>
      <c r="D836" s="339">
        <f>+D837</f>
        <v>22909078896</v>
      </c>
      <c r="E836" s="187">
        <f>SUM('ADICIONES  2021'!C836:I836)</f>
        <v>4981448737</v>
      </c>
      <c r="F836" s="130"/>
      <c r="G836" s="130">
        <f t="shared" ref="G836:J836" si="1016">+G837</f>
        <v>0</v>
      </c>
      <c r="H836" s="130">
        <f t="shared" si="1016"/>
        <v>0</v>
      </c>
      <c r="I836" s="130">
        <f t="shared" si="1016"/>
        <v>0</v>
      </c>
      <c r="J836" s="130">
        <f t="shared" si="1016"/>
        <v>0</v>
      </c>
      <c r="K836" s="126">
        <f t="shared" si="926"/>
        <v>27890527633</v>
      </c>
      <c r="L836" s="132">
        <f t="shared" ref="L836:Q836" si="1017">+L837</f>
        <v>2348122163</v>
      </c>
      <c r="M836" s="132">
        <f t="shared" si="1017"/>
        <v>0</v>
      </c>
      <c r="N836" s="132">
        <f t="shared" si="1017"/>
        <v>4644073722</v>
      </c>
      <c r="O836" s="132">
        <f t="shared" si="1017"/>
        <v>2322036861</v>
      </c>
      <c r="P836" s="132">
        <f t="shared" si="1017"/>
        <v>2322036861</v>
      </c>
      <c r="Q836" s="132">
        <f t="shared" si="1017"/>
        <v>2322036861</v>
      </c>
      <c r="R836" s="78">
        <f t="shared" si="923"/>
        <v>13958306468</v>
      </c>
      <c r="S836" s="132">
        <f t="shared" ref="S836:Z836" si="1018">+S837</f>
        <v>2322036861</v>
      </c>
      <c r="T836" s="130">
        <f t="shared" si="1018"/>
        <v>0</v>
      </c>
      <c r="U836" s="130">
        <f t="shared" si="1018"/>
        <v>0</v>
      </c>
      <c r="V836" s="130">
        <f t="shared" si="1018"/>
        <v>0</v>
      </c>
      <c r="W836" s="130">
        <f t="shared" si="1018"/>
        <v>0</v>
      </c>
      <c r="X836" s="130">
        <f t="shared" si="1018"/>
        <v>0</v>
      </c>
      <c r="Y836" s="132">
        <f t="shared" si="1018"/>
        <v>0</v>
      </c>
      <c r="Z836" s="130">
        <f t="shared" si="1018"/>
        <v>0</v>
      </c>
      <c r="AA836" s="78">
        <f t="shared" si="924"/>
        <v>2322036861</v>
      </c>
      <c r="AB836" s="126">
        <f t="shared" si="909"/>
        <v>16280343329</v>
      </c>
      <c r="AC836" s="180">
        <f t="shared" si="910"/>
        <v>0.58372303110311685</v>
      </c>
    </row>
    <row r="837" spans="1:29" s="63" customFormat="1" ht="15.75" hidden="1" x14ac:dyDescent="0.2">
      <c r="A837" s="399"/>
      <c r="B837" s="81" t="s">
        <v>1033</v>
      </c>
      <c r="C837" s="79" t="s">
        <v>1034</v>
      </c>
      <c r="D837" s="339">
        <f>SUM(D838:D841)</f>
        <v>22909078896</v>
      </c>
      <c r="E837" s="187">
        <f>SUM('ADICIONES  2021'!C837:I837)</f>
        <v>4981448737</v>
      </c>
      <c r="F837" s="130">
        <f t="shared" ref="F837:J837" si="1019">SUM(F838:F841)</f>
        <v>0</v>
      </c>
      <c r="G837" s="130">
        <f t="shared" si="1019"/>
        <v>0</v>
      </c>
      <c r="H837" s="130">
        <f t="shared" si="1019"/>
        <v>0</v>
      </c>
      <c r="I837" s="130">
        <f t="shared" si="1019"/>
        <v>0</v>
      </c>
      <c r="J837" s="130">
        <f t="shared" si="1019"/>
        <v>0</v>
      </c>
      <c r="K837" s="78">
        <f t="shared" si="926"/>
        <v>27890527633</v>
      </c>
      <c r="L837" s="130">
        <f t="shared" ref="L837:Q837" si="1020">SUM(L838:L841)</f>
        <v>2348122163</v>
      </c>
      <c r="M837" s="130">
        <f t="shared" si="1020"/>
        <v>0</v>
      </c>
      <c r="N837" s="130">
        <f t="shared" si="1020"/>
        <v>4644073722</v>
      </c>
      <c r="O837" s="130">
        <f t="shared" si="1020"/>
        <v>2322036861</v>
      </c>
      <c r="P837" s="130">
        <f t="shared" si="1020"/>
        <v>2322036861</v>
      </c>
      <c r="Q837" s="423">
        <f t="shared" si="1020"/>
        <v>2322036861</v>
      </c>
      <c r="R837" s="78">
        <f t="shared" si="923"/>
        <v>13958306468</v>
      </c>
      <c r="S837" s="130">
        <f t="shared" ref="S837:Z837" si="1021">SUM(S838:S841)</f>
        <v>2322036861</v>
      </c>
      <c r="T837" s="130">
        <f t="shared" si="1021"/>
        <v>0</v>
      </c>
      <c r="U837" s="130">
        <f t="shared" si="1021"/>
        <v>0</v>
      </c>
      <c r="V837" s="130">
        <f t="shared" si="1021"/>
        <v>0</v>
      </c>
      <c r="W837" s="130">
        <f t="shared" si="1021"/>
        <v>0</v>
      </c>
      <c r="X837" s="130">
        <f t="shared" si="1021"/>
        <v>0</v>
      </c>
      <c r="Y837" s="130">
        <f t="shared" si="1021"/>
        <v>0</v>
      </c>
      <c r="Z837" s="130">
        <f t="shared" si="1021"/>
        <v>0</v>
      </c>
      <c r="AA837" s="78">
        <f t="shared" si="924"/>
        <v>2322036861</v>
      </c>
      <c r="AB837" s="78">
        <f t="shared" ref="AB837:AB914" si="1022">+R837+AA837</f>
        <v>16280343329</v>
      </c>
      <c r="AC837" s="174">
        <f t="shared" ref="AC837:AC914" si="1023">+AB837/K837</f>
        <v>0.58372303110311685</v>
      </c>
    </row>
    <row r="838" spans="1:29" ht="14.25" hidden="1" x14ac:dyDescent="0.2">
      <c r="B838" s="76" t="s">
        <v>1035</v>
      </c>
      <c r="C838" s="77" t="s">
        <v>1036</v>
      </c>
      <c r="D838" s="340">
        <v>17248664388</v>
      </c>
      <c r="E838" s="188">
        <f>SUM('ADICIONES  2021'!C838:I838)</f>
        <v>0</v>
      </c>
      <c r="F838" s="131"/>
      <c r="G838" s="131"/>
      <c r="H838" s="131"/>
      <c r="I838" s="131"/>
      <c r="J838" s="131"/>
      <c r="K838" s="128">
        <f t="shared" si="926"/>
        <v>17248664388</v>
      </c>
      <c r="L838" s="131">
        <v>1817561055</v>
      </c>
      <c r="M838" s="131">
        <v>0</v>
      </c>
      <c r="N838" s="131">
        <v>3555573918</v>
      </c>
      <c r="O838" s="131">
        <v>1777786959</v>
      </c>
      <c r="P838" s="131">
        <v>1777786959</v>
      </c>
      <c r="Q838" s="424">
        <v>1777786959</v>
      </c>
      <c r="R838" s="128">
        <f t="shared" si="923"/>
        <v>10706495850</v>
      </c>
      <c r="S838" s="131">
        <v>1777786959</v>
      </c>
      <c r="T838" s="131"/>
      <c r="U838" s="131"/>
      <c r="V838" s="131"/>
      <c r="W838" s="131"/>
      <c r="X838" s="131"/>
      <c r="Y838" s="131"/>
      <c r="Z838" s="131"/>
      <c r="AA838" s="128">
        <f t="shared" si="924"/>
        <v>1777786959</v>
      </c>
      <c r="AB838" s="128">
        <f t="shared" si="1022"/>
        <v>12484282809</v>
      </c>
      <c r="AC838" s="175">
        <f t="shared" si="1023"/>
        <v>0.72378257980863669</v>
      </c>
    </row>
    <row r="839" spans="1:29" ht="14.25" hidden="1" x14ac:dyDescent="0.2">
      <c r="B839" s="76" t="s">
        <v>1035</v>
      </c>
      <c r="C839" s="77" t="s">
        <v>1036</v>
      </c>
      <c r="D839" s="340"/>
      <c r="E839" s="188">
        <f>SUM('ADICIONES  2021'!C839:I839)</f>
        <v>4124553211</v>
      </c>
      <c r="F839" s="131"/>
      <c r="G839" s="131"/>
      <c r="H839" s="131"/>
      <c r="I839" s="131"/>
      <c r="J839" s="131"/>
      <c r="K839" s="128">
        <f t="shared" si="926"/>
        <v>4124553211</v>
      </c>
      <c r="L839" s="131"/>
      <c r="M839" s="131"/>
      <c r="N839" s="131"/>
      <c r="O839" s="131">
        <v>0</v>
      </c>
      <c r="P839" s="131">
        <v>0</v>
      </c>
      <c r="Q839" s="424">
        <v>0</v>
      </c>
      <c r="R839" s="128">
        <f t="shared" si="923"/>
        <v>0</v>
      </c>
      <c r="S839" s="131">
        <v>0</v>
      </c>
      <c r="T839" s="131"/>
      <c r="U839" s="131"/>
      <c r="V839" s="131"/>
      <c r="W839" s="131"/>
      <c r="X839" s="131"/>
      <c r="Y839" s="131"/>
      <c r="Z839" s="131"/>
      <c r="AA839" s="128">
        <f t="shared" ref="AA839:AA841" si="1024">SUM(S839:Z839)</f>
        <v>0</v>
      </c>
      <c r="AB839" s="128">
        <f t="shared" si="1022"/>
        <v>0</v>
      </c>
      <c r="AC839" s="175">
        <f t="shared" si="1023"/>
        <v>0</v>
      </c>
    </row>
    <row r="840" spans="1:29" ht="42.75" hidden="1" x14ac:dyDescent="0.2">
      <c r="B840" s="76" t="s">
        <v>1037</v>
      </c>
      <c r="C840" s="77" t="s">
        <v>1038</v>
      </c>
      <c r="D840" s="340">
        <v>5660414508</v>
      </c>
      <c r="E840" s="188">
        <f>SUM('ADICIONES  2021'!C840:I840)</f>
        <v>0</v>
      </c>
      <c r="F840" s="131"/>
      <c r="G840" s="131"/>
      <c r="H840" s="131"/>
      <c r="I840" s="131"/>
      <c r="J840" s="131"/>
      <c r="K840" s="128">
        <f t="shared" si="926"/>
        <v>5660414508</v>
      </c>
      <c r="L840" s="131">
        <v>530561108</v>
      </c>
      <c r="M840" s="131">
        <v>0</v>
      </c>
      <c r="N840" s="131">
        <v>1088499804</v>
      </c>
      <c r="O840" s="131">
        <v>544249902</v>
      </c>
      <c r="P840" s="131">
        <v>544249902</v>
      </c>
      <c r="Q840" s="424">
        <v>544249902</v>
      </c>
      <c r="R840" s="128">
        <f t="shared" si="923"/>
        <v>3251810618</v>
      </c>
      <c r="S840" s="131">
        <v>544249902</v>
      </c>
      <c r="T840" s="131"/>
      <c r="U840" s="131"/>
      <c r="V840" s="131"/>
      <c r="W840" s="131"/>
      <c r="X840" s="131"/>
      <c r="Y840" s="131"/>
      <c r="Z840" s="131"/>
      <c r="AA840" s="128">
        <f t="shared" si="1024"/>
        <v>544249902</v>
      </c>
      <c r="AB840" s="128">
        <f t="shared" si="1022"/>
        <v>3796060520</v>
      </c>
      <c r="AC840" s="175">
        <f t="shared" si="1023"/>
        <v>0.67063295711558513</v>
      </c>
    </row>
    <row r="841" spans="1:29" ht="42.75" hidden="1" x14ac:dyDescent="0.2">
      <c r="B841" s="76" t="s">
        <v>1037</v>
      </c>
      <c r="C841" s="77" t="s">
        <v>1038</v>
      </c>
      <c r="D841" s="340"/>
      <c r="E841" s="188">
        <f>SUM('ADICIONES  2021'!C841:I841)</f>
        <v>856895526</v>
      </c>
      <c r="F841" s="131"/>
      <c r="G841" s="131"/>
      <c r="H841" s="131"/>
      <c r="I841" s="131"/>
      <c r="J841" s="131"/>
      <c r="K841" s="128">
        <f t="shared" si="926"/>
        <v>856895526</v>
      </c>
      <c r="L841" s="131"/>
      <c r="M841" s="131"/>
      <c r="N841" s="131"/>
      <c r="O841" s="131">
        <v>0</v>
      </c>
      <c r="P841" s="131">
        <v>0</v>
      </c>
      <c r="Q841" s="424">
        <v>0</v>
      </c>
      <c r="R841" s="128">
        <f t="shared" si="923"/>
        <v>0</v>
      </c>
      <c r="S841" s="131">
        <v>0</v>
      </c>
      <c r="T841" s="131"/>
      <c r="U841" s="131"/>
      <c r="V841" s="131"/>
      <c r="W841" s="131"/>
      <c r="X841" s="131"/>
      <c r="Y841" s="131"/>
      <c r="Z841" s="131"/>
      <c r="AA841" s="128">
        <f t="shared" si="1024"/>
        <v>0</v>
      </c>
      <c r="AB841" s="128">
        <f t="shared" si="1022"/>
        <v>0</v>
      </c>
      <c r="AC841" s="175">
        <f t="shared" si="1023"/>
        <v>0</v>
      </c>
    </row>
    <row r="842" spans="1:29" s="63" customFormat="1" ht="31.5" x14ac:dyDescent="0.2">
      <c r="A842" s="399">
        <v>1</v>
      </c>
      <c r="B842" s="81" t="s">
        <v>634</v>
      </c>
      <c r="C842" s="79" t="s">
        <v>1039</v>
      </c>
      <c r="D842" s="339">
        <f>+D843+D859</f>
        <v>39642320908.150002</v>
      </c>
      <c r="E842" s="187">
        <f>SUM('ADICIONES  2021'!C842:I842)</f>
        <v>8452572414.4300003</v>
      </c>
      <c r="F842" s="130"/>
      <c r="G842" s="130">
        <f>+G843+G859</f>
        <v>2500000000</v>
      </c>
      <c r="H842" s="130">
        <f>+H843+H859</f>
        <v>350000000</v>
      </c>
      <c r="I842" s="130">
        <f>+I843+I859</f>
        <v>0</v>
      </c>
      <c r="J842" s="130">
        <f>+J843+J859</f>
        <v>0</v>
      </c>
      <c r="K842" s="78">
        <f t="shared" si="926"/>
        <v>50244893322.580002</v>
      </c>
      <c r="L842" s="130">
        <f t="shared" ref="L842:Q842" si="1025">+L843+L859</f>
        <v>4234398841.8992</v>
      </c>
      <c r="M842" s="130">
        <f t="shared" si="1025"/>
        <v>3179980547.1784</v>
      </c>
      <c r="N842" s="130">
        <f t="shared" si="1025"/>
        <v>2918834062.9661999</v>
      </c>
      <c r="O842" s="130">
        <f t="shared" si="1025"/>
        <v>6191900114.5716</v>
      </c>
      <c r="P842" s="130">
        <f t="shared" si="1025"/>
        <v>9491792728.5748005</v>
      </c>
      <c r="Q842" s="130">
        <f t="shared" si="1025"/>
        <v>3202833438.5432</v>
      </c>
      <c r="R842" s="78">
        <f t="shared" si="923"/>
        <v>29219739733.733402</v>
      </c>
      <c r="S842" s="130">
        <f t="shared" ref="S842:Z842" si="1026">+S843+S859</f>
        <v>5848185678.6308002</v>
      </c>
      <c r="T842" s="130">
        <f t="shared" si="1026"/>
        <v>0</v>
      </c>
      <c r="U842" s="130">
        <f t="shared" si="1026"/>
        <v>0</v>
      </c>
      <c r="V842" s="130">
        <f t="shared" si="1026"/>
        <v>0</v>
      </c>
      <c r="W842" s="130">
        <f t="shared" si="1026"/>
        <v>0</v>
      </c>
      <c r="X842" s="130">
        <f t="shared" si="1026"/>
        <v>0</v>
      </c>
      <c r="Y842" s="130">
        <f t="shared" si="1026"/>
        <v>0</v>
      </c>
      <c r="Z842" s="130">
        <f t="shared" si="1026"/>
        <v>0</v>
      </c>
      <c r="AA842" s="78">
        <f t="shared" si="924"/>
        <v>5848185678.6308002</v>
      </c>
      <c r="AB842" s="78">
        <f t="shared" si="1022"/>
        <v>35067925412.364204</v>
      </c>
      <c r="AC842" s="174">
        <f t="shared" si="1023"/>
        <v>0.69794009089088294</v>
      </c>
    </row>
    <row r="843" spans="1:29" s="19" customFormat="1" ht="15.75" x14ac:dyDescent="0.2">
      <c r="A843" s="71">
        <v>1</v>
      </c>
      <c r="B843" s="82" t="s">
        <v>1040</v>
      </c>
      <c r="C843" s="83" t="s">
        <v>1041</v>
      </c>
      <c r="D843" s="339">
        <f>+D844+D848+D852+D857</f>
        <v>5000045908.1499996</v>
      </c>
      <c r="E843" s="188">
        <f>SUM('ADICIONES  2021'!C843:I843)</f>
        <v>8452572414.4300003</v>
      </c>
      <c r="F843" s="130">
        <f t="shared" ref="F843:J843" si="1027">+F844+F848+F852+F857</f>
        <v>0</v>
      </c>
      <c r="G843" s="130">
        <f t="shared" si="1027"/>
        <v>0</v>
      </c>
      <c r="H843" s="130">
        <f t="shared" si="1027"/>
        <v>0</v>
      </c>
      <c r="I843" s="130">
        <f t="shared" si="1027"/>
        <v>0</v>
      </c>
      <c r="J843" s="130">
        <f t="shared" si="1027"/>
        <v>0</v>
      </c>
      <c r="K843" s="126">
        <f t="shared" si="926"/>
        <v>13452618322.58</v>
      </c>
      <c r="L843" s="132">
        <f t="shared" ref="L843:Q843" si="1028">+L844+L848+L852+L857</f>
        <v>246145912</v>
      </c>
      <c r="M843" s="132">
        <f t="shared" si="1028"/>
        <v>1744556000</v>
      </c>
      <c r="N843" s="132">
        <f t="shared" si="1028"/>
        <v>637912007</v>
      </c>
      <c r="O843" s="132">
        <f t="shared" si="1028"/>
        <v>264932609</v>
      </c>
      <c r="P843" s="132">
        <f t="shared" si="1028"/>
        <v>8531602299.4300003</v>
      </c>
      <c r="Q843" s="132">
        <f t="shared" si="1028"/>
        <v>396864936</v>
      </c>
      <c r="R843" s="78">
        <f t="shared" si="923"/>
        <v>11822013763.43</v>
      </c>
      <c r="S843" s="132">
        <f t="shared" ref="S843:Z843" si="1029">+S844+S848+S852+S857</f>
        <v>1175658325</v>
      </c>
      <c r="T843" s="130">
        <f t="shared" si="1029"/>
        <v>0</v>
      </c>
      <c r="U843" s="130">
        <f t="shared" si="1029"/>
        <v>0</v>
      </c>
      <c r="V843" s="130">
        <f t="shared" si="1029"/>
        <v>0</v>
      </c>
      <c r="W843" s="130">
        <f t="shared" si="1029"/>
        <v>0</v>
      </c>
      <c r="X843" s="130">
        <f t="shared" si="1029"/>
        <v>0</v>
      </c>
      <c r="Y843" s="132">
        <f t="shared" si="1029"/>
        <v>0</v>
      </c>
      <c r="Z843" s="130">
        <f t="shared" si="1029"/>
        <v>0</v>
      </c>
      <c r="AA843" s="78">
        <f t="shared" si="924"/>
        <v>1175658325</v>
      </c>
      <c r="AB843" s="126">
        <f t="shared" si="1022"/>
        <v>12997672088.43</v>
      </c>
      <c r="AC843" s="180">
        <f t="shared" si="1023"/>
        <v>0.96618158463721671</v>
      </c>
    </row>
    <row r="844" spans="1:29" s="63" customFormat="1" ht="47.25" hidden="1" x14ac:dyDescent="0.2">
      <c r="A844" s="399"/>
      <c r="B844" s="81" t="s">
        <v>1042</v>
      </c>
      <c r="C844" s="79" t="s">
        <v>1043</v>
      </c>
      <c r="D844" s="339">
        <f>SUM(D845:D847)</f>
        <v>2082947768</v>
      </c>
      <c r="E844" s="187">
        <f>SUM('ADICIONES  2021'!C844:I844)</f>
        <v>0</v>
      </c>
      <c r="F844" s="130"/>
      <c r="G844" s="130">
        <f t="shared" ref="G844:J844" si="1030">SUM(G845:G847)</f>
        <v>0</v>
      </c>
      <c r="H844" s="130">
        <f t="shared" si="1030"/>
        <v>0</v>
      </c>
      <c r="I844" s="130">
        <f t="shared" si="1030"/>
        <v>0</v>
      </c>
      <c r="J844" s="130">
        <f t="shared" si="1030"/>
        <v>0</v>
      </c>
      <c r="K844" s="78">
        <f t="shared" si="926"/>
        <v>2082947768</v>
      </c>
      <c r="L844" s="130">
        <f t="shared" ref="L844:Q844" si="1031">SUM(L845:L847)</f>
        <v>0</v>
      </c>
      <c r="M844" s="130">
        <f t="shared" si="1031"/>
        <v>0</v>
      </c>
      <c r="N844" s="130">
        <f t="shared" si="1031"/>
        <v>362999420</v>
      </c>
      <c r="O844" s="130">
        <f t="shared" si="1031"/>
        <v>121554219</v>
      </c>
      <c r="P844" s="130">
        <f t="shared" si="1031"/>
        <v>399152972</v>
      </c>
      <c r="Q844" s="423">
        <f t="shared" si="1031"/>
        <v>396864936</v>
      </c>
      <c r="R844" s="78">
        <f t="shared" si="923"/>
        <v>1280571547</v>
      </c>
      <c r="S844" s="130">
        <f t="shared" ref="S844:Z844" si="1032">SUM(S845:S847)</f>
        <v>99788242</v>
      </c>
      <c r="T844" s="130">
        <f t="shared" si="1032"/>
        <v>0</v>
      </c>
      <c r="U844" s="130">
        <f t="shared" si="1032"/>
        <v>0</v>
      </c>
      <c r="V844" s="130">
        <f t="shared" si="1032"/>
        <v>0</v>
      </c>
      <c r="W844" s="130">
        <f t="shared" si="1032"/>
        <v>0</v>
      </c>
      <c r="X844" s="130">
        <f t="shared" si="1032"/>
        <v>0</v>
      </c>
      <c r="Y844" s="130">
        <f t="shared" si="1032"/>
        <v>0</v>
      </c>
      <c r="Z844" s="130">
        <f t="shared" si="1032"/>
        <v>0</v>
      </c>
      <c r="AA844" s="78">
        <f t="shared" si="924"/>
        <v>99788242</v>
      </c>
      <c r="AB844" s="78">
        <f t="shared" si="1022"/>
        <v>1380359789</v>
      </c>
      <c r="AC844" s="174">
        <f t="shared" si="1023"/>
        <v>0.66269534464869984</v>
      </c>
    </row>
    <row r="845" spans="1:29" hidden="1" x14ac:dyDescent="0.2">
      <c r="B845" s="76" t="s">
        <v>1044</v>
      </c>
      <c r="C845" s="77" t="s">
        <v>1045</v>
      </c>
      <c r="D845" s="340">
        <v>1591355036</v>
      </c>
      <c r="E845" s="188">
        <f>SUM('ADICIONES  2021'!C845:I845)</f>
        <v>0</v>
      </c>
      <c r="F845" s="132"/>
      <c r="G845" s="131"/>
      <c r="H845" s="131"/>
      <c r="I845" s="131"/>
      <c r="J845" s="131"/>
      <c r="K845" s="128">
        <f t="shared" si="926"/>
        <v>1591355036</v>
      </c>
      <c r="L845" s="132"/>
      <c r="M845" s="132"/>
      <c r="N845" s="132">
        <v>0</v>
      </c>
      <c r="O845" s="132">
        <v>0</v>
      </c>
      <c r="P845" s="132">
        <v>399152972</v>
      </c>
      <c r="Q845" s="424">
        <v>396864936</v>
      </c>
      <c r="R845" s="128">
        <f t="shared" ref="R845:R919" si="1033">SUM(L845:Q845)</f>
        <v>796017908</v>
      </c>
      <c r="S845" s="132">
        <v>99788242</v>
      </c>
      <c r="T845" s="132"/>
      <c r="U845" s="132"/>
      <c r="V845" s="132"/>
      <c r="W845" s="132"/>
      <c r="X845" s="132"/>
      <c r="Y845" s="132"/>
      <c r="Z845" s="132"/>
      <c r="AA845" s="128">
        <f t="shared" ref="AA845:AA911" si="1034">SUM(S845:Z845)</f>
        <v>99788242</v>
      </c>
      <c r="AB845" s="128">
        <f t="shared" si="1022"/>
        <v>895806150</v>
      </c>
      <c r="AC845" s="175">
        <f t="shared" si="1023"/>
        <v>0.56292036015525582</v>
      </c>
    </row>
    <row r="846" spans="1:29" hidden="1" x14ac:dyDescent="0.2">
      <c r="B846" s="76" t="s">
        <v>1046</v>
      </c>
      <c r="C846" s="77" t="s">
        <v>1047</v>
      </c>
      <c r="D846" s="340">
        <v>123846146</v>
      </c>
      <c r="E846" s="188">
        <f>SUM('ADICIONES  2021'!C846:I846)</f>
        <v>0</v>
      </c>
      <c r="F846" s="132"/>
      <c r="G846" s="131"/>
      <c r="H846" s="131"/>
      <c r="I846" s="131"/>
      <c r="J846" s="131"/>
      <c r="K846" s="128">
        <f t="shared" ref="K846:K919" si="1035">+D846+E846-F846+G846-H846</f>
        <v>123846146</v>
      </c>
      <c r="L846" s="132"/>
      <c r="M846" s="132"/>
      <c r="N846" s="132">
        <v>0</v>
      </c>
      <c r="O846" s="132">
        <v>121554219</v>
      </c>
      <c r="P846" s="132">
        <v>0</v>
      </c>
      <c r="Q846" s="424">
        <v>0</v>
      </c>
      <c r="R846" s="128">
        <f t="shared" si="1033"/>
        <v>121554219</v>
      </c>
      <c r="S846" s="132">
        <v>0</v>
      </c>
      <c r="T846" s="132"/>
      <c r="U846" s="132"/>
      <c r="V846" s="132"/>
      <c r="W846" s="132"/>
      <c r="X846" s="132"/>
      <c r="Y846" s="132"/>
      <c r="Z846" s="132"/>
      <c r="AA846" s="128">
        <f t="shared" si="1034"/>
        <v>0</v>
      </c>
      <c r="AB846" s="128">
        <f t="shared" si="1022"/>
        <v>121554219</v>
      </c>
      <c r="AC846" s="175">
        <f t="shared" si="1023"/>
        <v>0.98149375597041189</v>
      </c>
    </row>
    <row r="847" spans="1:29" hidden="1" x14ac:dyDescent="0.2">
      <c r="B847" s="76" t="s">
        <v>1048</v>
      </c>
      <c r="C847" s="77" t="s">
        <v>1049</v>
      </c>
      <c r="D847" s="340">
        <v>367746586</v>
      </c>
      <c r="E847" s="188">
        <f>SUM('ADICIONES  2021'!C847:I847)</f>
        <v>0</v>
      </c>
      <c r="F847" s="132"/>
      <c r="G847" s="131"/>
      <c r="H847" s="131"/>
      <c r="I847" s="131"/>
      <c r="J847" s="131"/>
      <c r="K847" s="128">
        <f t="shared" si="1035"/>
        <v>367746586</v>
      </c>
      <c r="L847" s="132"/>
      <c r="M847" s="132"/>
      <c r="N847" s="132">
        <v>362999420</v>
      </c>
      <c r="O847" s="132">
        <v>0</v>
      </c>
      <c r="P847" s="132">
        <v>0</v>
      </c>
      <c r="Q847" s="424">
        <v>0</v>
      </c>
      <c r="R847" s="128">
        <f t="shared" si="1033"/>
        <v>362999420</v>
      </c>
      <c r="S847" s="132">
        <v>0</v>
      </c>
      <c r="T847" s="132"/>
      <c r="U847" s="132"/>
      <c r="V847" s="132"/>
      <c r="W847" s="132"/>
      <c r="X847" s="132"/>
      <c r="Y847" s="132"/>
      <c r="Z847" s="132"/>
      <c r="AA847" s="128">
        <f t="shared" si="1034"/>
        <v>0</v>
      </c>
      <c r="AB847" s="128">
        <f t="shared" si="1022"/>
        <v>362999420</v>
      </c>
      <c r="AC847" s="175">
        <f t="shared" si="1023"/>
        <v>0.98709120307101916</v>
      </c>
    </row>
    <row r="848" spans="1:29" s="63" customFormat="1" ht="63" hidden="1" x14ac:dyDescent="0.2">
      <c r="A848" s="399"/>
      <c r="B848" s="81" t="s">
        <v>1248</v>
      </c>
      <c r="C848" s="79" t="s">
        <v>1057</v>
      </c>
      <c r="D848" s="339">
        <f>+D849+D850+D851</f>
        <v>1699345500</v>
      </c>
      <c r="E848" s="187">
        <f>SUM('ADICIONES  2021'!C848:I848)</f>
        <v>8177659827.4300003</v>
      </c>
      <c r="F848" s="339">
        <f t="shared" ref="F848:J848" si="1036">+F849+F850+F851</f>
        <v>0</v>
      </c>
      <c r="G848" s="339">
        <f t="shared" si="1036"/>
        <v>0</v>
      </c>
      <c r="H848" s="339">
        <f t="shared" si="1036"/>
        <v>0</v>
      </c>
      <c r="I848" s="339">
        <f t="shared" si="1036"/>
        <v>0</v>
      </c>
      <c r="J848" s="339">
        <f t="shared" si="1036"/>
        <v>0</v>
      </c>
      <c r="K848" s="78">
        <f t="shared" si="1035"/>
        <v>9877005327.4300003</v>
      </c>
      <c r="L848" s="339">
        <f t="shared" ref="L848:Q848" si="1037">+L849+L850+L851</f>
        <v>0</v>
      </c>
      <c r="M848" s="339">
        <f t="shared" si="1037"/>
        <v>1744556000</v>
      </c>
      <c r="N848" s="339">
        <f t="shared" si="1037"/>
        <v>0</v>
      </c>
      <c r="O848" s="339">
        <f t="shared" si="1037"/>
        <v>0</v>
      </c>
      <c r="P848" s="339">
        <f t="shared" si="1037"/>
        <v>8132449327.4300003</v>
      </c>
      <c r="Q848" s="426">
        <f t="shared" si="1037"/>
        <v>0</v>
      </c>
      <c r="R848" s="78">
        <f t="shared" si="1033"/>
        <v>9877005327.4300003</v>
      </c>
      <c r="S848" s="339">
        <f t="shared" ref="S848:Z848" si="1038">+S849+S850+S851</f>
        <v>0</v>
      </c>
      <c r="T848" s="339">
        <f t="shared" si="1038"/>
        <v>0</v>
      </c>
      <c r="U848" s="339">
        <f t="shared" si="1038"/>
        <v>0</v>
      </c>
      <c r="V848" s="339">
        <f t="shared" si="1038"/>
        <v>0</v>
      </c>
      <c r="W848" s="339">
        <f t="shared" si="1038"/>
        <v>0</v>
      </c>
      <c r="X848" s="339">
        <f t="shared" si="1038"/>
        <v>0</v>
      </c>
      <c r="Y848" s="339">
        <f t="shared" si="1038"/>
        <v>0</v>
      </c>
      <c r="Z848" s="339">
        <f t="shared" si="1038"/>
        <v>0</v>
      </c>
      <c r="AA848" s="78">
        <f t="shared" ref="AA848:AA859" si="1039">SUM(S848:Z848)</f>
        <v>0</v>
      </c>
      <c r="AB848" s="78">
        <f t="shared" si="1022"/>
        <v>9877005327.4300003</v>
      </c>
      <c r="AC848" s="174">
        <f t="shared" si="1023"/>
        <v>1</v>
      </c>
    </row>
    <row r="849" spans="1:29" ht="28.5" hidden="1" x14ac:dyDescent="0.2">
      <c r="B849" s="76" t="s">
        <v>1249</v>
      </c>
      <c r="C849" s="77" t="s">
        <v>1058</v>
      </c>
      <c r="D849" s="340">
        <v>1699345500</v>
      </c>
      <c r="E849" s="188">
        <f>SUM('ADICIONES  2021'!C849:I849)</f>
        <v>0</v>
      </c>
      <c r="F849" s="131"/>
      <c r="G849" s="131"/>
      <c r="H849" s="131"/>
      <c r="I849" s="131"/>
      <c r="J849" s="131"/>
      <c r="K849" s="128">
        <f t="shared" si="1035"/>
        <v>1699345500</v>
      </c>
      <c r="L849" s="131"/>
      <c r="M849" s="131">
        <v>1744556000</v>
      </c>
      <c r="N849" s="131"/>
      <c r="O849" s="131">
        <v>0</v>
      </c>
      <c r="P849" s="131">
        <v>-45210500</v>
      </c>
      <c r="Q849" s="424"/>
      <c r="R849" s="128">
        <f t="shared" si="1033"/>
        <v>1699345500</v>
      </c>
      <c r="S849" s="131">
        <v>0</v>
      </c>
      <c r="T849" s="131"/>
      <c r="U849" s="131"/>
      <c r="V849" s="131"/>
      <c r="W849" s="131"/>
      <c r="X849" s="131"/>
      <c r="Y849" s="131"/>
      <c r="Z849" s="131"/>
      <c r="AA849" s="128">
        <f t="shared" si="1039"/>
        <v>0</v>
      </c>
      <c r="AB849" s="128">
        <f t="shared" si="1022"/>
        <v>1699345500</v>
      </c>
      <c r="AC849" s="175">
        <f t="shared" si="1023"/>
        <v>1</v>
      </c>
    </row>
    <row r="850" spans="1:29" ht="28.5" hidden="1" x14ac:dyDescent="0.2">
      <c r="B850" s="76" t="s">
        <v>1249</v>
      </c>
      <c r="C850" s="77" t="s">
        <v>1058</v>
      </c>
      <c r="D850" s="340"/>
      <c r="E850" s="188">
        <f>SUM('ADICIONES  2021'!C850:I850)</f>
        <v>45210500</v>
      </c>
      <c r="F850" s="131"/>
      <c r="G850" s="131"/>
      <c r="H850" s="131"/>
      <c r="I850" s="131"/>
      <c r="J850" s="131"/>
      <c r="K850" s="128">
        <f t="shared" si="1035"/>
        <v>45210500</v>
      </c>
      <c r="L850" s="131"/>
      <c r="M850" s="131"/>
      <c r="N850" s="131"/>
      <c r="O850" s="131">
        <v>0</v>
      </c>
      <c r="P850" s="131">
        <v>45210500</v>
      </c>
      <c r="Q850" s="424"/>
      <c r="R850" s="128">
        <f t="shared" si="1033"/>
        <v>45210500</v>
      </c>
      <c r="S850" s="131">
        <v>0</v>
      </c>
      <c r="T850" s="131"/>
      <c r="U850" s="131"/>
      <c r="V850" s="131"/>
      <c r="W850" s="131"/>
      <c r="X850" s="131"/>
      <c r="Y850" s="131"/>
      <c r="Z850" s="131"/>
      <c r="AA850" s="128">
        <f t="shared" si="1039"/>
        <v>0</v>
      </c>
      <c r="AB850" s="128">
        <f t="shared" si="1022"/>
        <v>45210500</v>
      </c>
      <c r="AC850" s="175">
        <f t="shared" si="1023"/>
        <v>1</v>
      </c>
    </row>
    <row r="851" spans="1:29" ht="14.25" hidden="1" x14ac:dyDescent="0.2">
      <c r="B851" s="76" t="s">
        <v>1871</v>
      </c>
      <c r="C851" s="77" t="s">
        <v>1872</v>
      </c>
      <c r="D851" s="340"/>
      <c r="E851" s="188">
        <f>SUM('ADICIONES  2021'!C851:I851)</f>
        <v>8132449327.4300003</v>
      </c>
      <c r="F851" s="131"/>
      <c r="G851" s="131"/>
      <c r="H851" s="131"/>
      <c r="I851" s="131"/>
      <c r="J851" s="131"/>
      <c r="K851" s="128">
        <f t="shared" si="1035"/>
        <v>8132449327.4300003</v>
      </c>
      <c r="L851" s="131"/>
      <c r="M851" s="131"/>
      <c r="N851" s="131"/>
      <c r="O851" s="131"/>
      <c r="P851" s="131">
        <v>8132449327.4300003</v>
      </c>
      <c r="Q851" s="424"/>
      <c r="R851" s="128">
        <f t="shared" si="1033"/>
        <v>8132449327.4300003</v>
      </c>
      <c r="S851" s="131">
        <v>0</v>
      </c>
      <c r="T851" s="131"/>
      <c r="U851" s="131"/>
      <c r="V851" s="131"/>
      <c r="W851" s="131"/>
      <c r="X851" s="131"/>
      <c r="Y851" s="131"/>
      <c r="Z851" s="131"/>
      <c r="AA851" s="128">
        <f t="shared" ref="AA851" si="1040">SUM(S851:Z851)</f>
        <v>0</v>
      </c>
      <c r="AB851" s="128">
        <f t="shared" si="1022"/>
        <v>8132449327.4300003</v>
      </c>
      <c r="AC851" s="175">
        <v>0</v>
      </c>
    </row>
    <row r="852" spans="1:29" s="63" customFormat="1" ht="31.5" hidden="1" x14ac:dyDescent="0.2">
      <c r="A852" s="399"/>
      <c r="B852" s="81" t="s">
        <v>1250</v>
      </c>
      <c r="C852" s="79" t="s">
        <v>377</v>
      </c>
      <c r="D852" s="339">
        <f>+D853+D855+D856</f>
        <v>910253281.14999998</v>
      </c>
      <c r="E852" s="187">
        <f>SUM('ADICIONES  2021'!C852:I852)</f>
        <v>274912587</v>
      </c>
      <c r="F852" s="130">
        <f t="shared" ref="F852:J852" si="1041">+F853+F855+F856</f>
        <v>0</v>
      </c>
      <c r="G852" s="130">
        <f t="shared" si="1041"/>
        <v>0</v>
      </c>
      <c r="H852" s="130">
        <f t="shared" si="1041"/>
        <v>0</v>
      </c>
      <c r="I852" s="130">
        <f t="shared" si="1041"/>
        <v>0</v>
      </c>
      <c r="J852" s="130">
        <f t="shared" si="1041"/>
        <v>0</v>
      </c>
      <c r="K852" s="78">
        <f t="shared" si="1035"/>
        <v>1185165868.1500001</v>
      </c>
      <c r="L852" s="130">
        <f t="shared" ref="L852:Q852" si="1042">+L853+L855+L856</f>
        <v>184609434</v>
      </c>
      <c r="M852" s="130">
        <f t="shared" si="1042"/>
        <v>0</v>
      </c>
      <c r="N852" s="130">
        <f t="shared" si="1042"/>
        <v>274912587</v>
      </c>
      <c r="O852" s="130">
        <f t="shared" si="1042"/>
        <v>143378390</v>
      </c>
      <c r="P852" s="130">
        <f t="shared" si="1042"/>
        <v>0</v>
      </c>
      <c r="Q852" s="423">
        <f t="shared" si="1042"/>
        <v>0</v>
      </c>
      <c r="R852" s="78">
        <f t="shared" si="1033"/>
        <v>602900411</v>
      </c>
      <c r="S852" s="130">
        <f t="shared" ref="S852:Z852" si="1043">+S853+S855+S856</f>
        <v>806902562</v>
      </c>
      <c r="T852" s="130">
        <f t="shared" si="1043"/>
        <v>0</v>
      </c>
      <c r="U852" s="130">
        <f t="shared" si="1043"/>
        <v>0</v>
      </c>
      <c r="V852" s="130">
        <f t="shared" si="1043"/>
        <v>0</v>
      </c>
      <c r="W852" s="130">
        <f t="shared" si="1043"/>
        <v>0</v>
      </c>
      <c r="X852" s="130">
        <f t="shared" si="1043"/>
        <v>0</v>
      </c>
      <c r="Y852" s="130">
        <f t="shared" si="1043"/>
        <v>0</v>
      </c>
      <c r="Z852" s="130">
        <f t="shared" si="1043"/>
        <v>0</v>
      </c>
      <c r="AA852" s="78">
        <f t="shared" si="1039"/>
        <v>806902562</v>
      </c>
      <c r="AB852" s="78">
        <f t="shared" si="1022"/>
        <v>1409802973</v>
      </c>
      <c r="AC852" s="174">
        <f t="shared" si="1023"/>
        <v>1.1895406464925034</v>
      </c>
    </row>
    <row r="853" spans="1:29" s="63" customFormat="1" ht="15.75" hidden="1" x14ac:dyDescent="0.2">
      <c r="A853" s="399"/>
      <c r="B853" s="81" t="s">
        <v>1251</v>
      </c>
      <c r="C853" s="79" t="s">
        <v>378</v>
      </c>
      <c r="D853" s="339">
        <f>+D854</f>
        <v>910253281.14999998</v>
      </c>
      <c r="E853" s="187">
        <f>SUM('ADICIONES  2021'!C853:I853)</f>
        <v>0</v>
      </c>
      <c r="F853" s="130">
        <f t="shared" ref="F853:J853" si="1044">+F854</f>
        <v>0</v>
      </c>
      <c r="G853" s="130">
        <f t="shared" si="1044"/>
        <v>0</v>
      </c>
      <c r="H853" s="130">
        <f t="shared" si="1044"/>
        <v>0</v>
      </c>
      <c r="I853" s="130">
        <f t="shared" si="1044"/>
        <v>0</v>
      </c>
      <c r="J853" s="130">
        <f t="shared" si="1044"/>
        <v>0</v>
      </c>
      <c r="K853" s="78">
        <f t="shared" si="1035"/>
        <v>910253281.14999998</v>
      </c>
      <c r="L853" s="130">
        <f t="shared" ref="L853:Q853" si="1045">+L854</f>
        <v>184609434</v>
      </c>
      <c r="M853" s="130">
        <f t="shared" si="1045"/>
        <v>0</v>
      </c>
      <c r="N853" s="130">
        <f t="shared" si="1045"/>
        <v>0</v>
      </c>
      <c r="O853" s="130">
        <f t="shared" si="1045"/>
        <v>143378390</v>
      </c>
      <c r="P853" s="130">
        <f t="shared" si="1045"/>
        <v>0</v>
      </c>
      <c r="Q853" s="423">
        <f t="shared" si="1045"/>
        <v>0</v>
      </c>
      <c r="R853" s="78">
        <f t="shared" si="1033"/>
        <v>327987824</v>
      </c>
      <c r="S853" s="130">
        <f t="shared" ref="S853:Z853" si="1046">+S854</f>
        <v>806902562</v>
      </c>
      <c r="T853" s="130">
        <f t="shared" si="1046"/>
        <v>0</v>
      </c>
      <c r="U853" s="130">
        <f t="shared" si="1046"/>
        <v>0</v>
      </c>
      <c r="V853" s="130">
        <f t="shared" si="1046"/>
        <v>0</v>
      </c>
      <c r="W853" s="130">
        <f t="shared" si="1046"/>
        <v>0</v>
      </c>
      <c r="X853" s="130">
        <f t="shared" si="1046"/>
        <v>0</v>
      </c>
      <c r="Y853" s="130">
        <f t="shared" si="1046"/>
        <v>0</v>
      </c>
      <c r="Z853" s="130">
        <f t="shared" si="1046"/>
        <v>0</v>
      </c>
      <c r="AA853" s="78">
        <f t="shared" si="1039"/>
        <v>806902562</v>
      </c>
      <c r="AB853" s="78">
        <f t="shared" si="1022"/>
        <v>1134890386</v>
      </c>
      <c r="AC853" s="174">
        <f t="shared" si="1023"/>
        <v>1.2467852733979679</v>
      </c>
    </row>
    <row r="854" spans="1:29" ht="42.75" hidden="1" x14ac:dyDescent="0.2">
      <c r="B854" s="76" t="s">
        <v>1252</v>
      </c>
      <c r="C854" s="77" t="s">
        <v>1059</v>
      </c>
      <c r="D854" s="340">
        <v>910253281.14999998</v>
      </c>
      <c r="E854" s="188">
        <f>SUM('ADICIONES  2021'!C854:I854)</f>
        <v>0</v>
      </c>
      <c r="F854" s="131"/>
      <c r="G854" s="131"/>
      <c r="H854" s="131"/>
      <c r="I854" s="131"/>
      <c r="J854" s="131"/>
      <c r="K854" s="128">
        <f t="shared" si="1035"/>
        <v>910253281.14999998</v>
      </c>
      <c r="L854" s="131">
        <v>184609434</v>
      </c>
      <c r="M854" s="131"/>
      <c r="N854" s="131"/>
      <c r="O854" s="131">
        <v>143378390</v>
      </c>
      <c r="P854" s="131"/>
      <c r="Q854" s="424"/>
      <c r="R854" s="128">
        <f t="shared" si="1033"/>
        <v>327987824</v>
      </c>
      <c r="S854" s="131">
        <v>806902562</v>
      </c>
      <c r="T854" s="131"/>
      <c r="U854" s="131"/>
      <c r="V854" s="131"/>
      <c r="W854" s="131"/>
      <c r="X854" s="131"/>
      <c r="Y854" s="131"/>
      <c r="Z854" s="131"/>
      <c r="AA854" s="128">
        <f t="shared" si="1039"/>
        <v>806902562</v>
      </c>
      <c r="AB854" s="128">
        <f t="shared" si="1022"/>
        <v>1134890386</v>
      </c>
      <c r="AC854" s="175">
        <f t="shared" si="1023"/>
        <v>1.2467852733979679</v>
      </c>
    </row>
    <row r="855" spans="1:29" ht="28.5" hidden="1" x14ac:dyDescent="0.2">
      <c r="B855" s="76" t="s">
        <v>1253</v>
      </c>
      <c r="C855" s="77" t="s">
        <v>1254</v>
      </c>
      <c r="D855" s="340">
        <v>0</v>
      </c>
      <c r="E855" s="188">
        <f>SUM('ADICIONES  2021'!C855:I855)</f>
        <v>0</v>
      </c>
      <c r="F855" s="131"/>
      <c r="G855" s="131"/>
      <c r="H855" s="131"/>
      <c r="I855" s="131"/>
      <c r="J855" s="131"/>
      <c r="K855" s="128">
        <f t="shared" si="1035"/>
        <v>0</v>
      </c>
      <c r="L855" s="131">
        <v>0</v>
      </c>
      <c r="M855" s="131"/>
      <c r="N855" s="131">
        <v>274912587</v>
      </c>
      <c r="O855" s="131">
        <v>0</v>
      </c>
      <c r="P855" s="131"/>
      <c r="Q855" s="424"/>
      <c r="R855" s="128">
        <f t="shared" si="1033"/>
        <v>274912587</v>
      </c>
      <c r="S855" s="131">
        <v>0</v>
      </c>
      <c r="T855" s="131"/>
      <c r="U855" s="131"/>
      <c r="V855" s="131"/>
      <c r="W855" s="131"/>
      <c r="X855" s="131"/>
      <c r="Y855" s="131"/>
      <c r="Z855" s="131"/>
      <c r="AA855" s="128">
        <f t="shared" si="1039"/>
        <v>0</v>
      </c>
      <c r="AB855" s="128">
        <f t="shared" si="1022"/>
        <v>274912587</v>
      </c>
      <c r="AC855" s="175">
        <v>0</v>
      </c>
    </row>
    <row r="856" spans="1:29" ht="28.5" hidden="1" x14ac:dyDescent="0.2">
      <c r="B856" s="76" t="s">
        <v>1253</v>
      </c>
      <c r="C856" s="77" t="s">
        <v>1254</v>
      </c>
      <c r="D856" s="340"/>
      <c r="E856" s="188">
        <f>SUM('ADICIONES  2021'!C856:I856)</f>
        <v>274912587</v>
      </c>
      <c r="F856" s="131"/>
      <c r="G856" s="131"/>
      <c r="H856" s="131"/>
      <c r="I856" s="131"/>
      <c r="J856" s="131"/>
      <c r="K856" s="128">
        <f t="shared" si="1035"/>
        <v>274912587</v>
      </c>
      <c r="L856" s="131"/>
      <c r="M856" s="131"/>
      <c r="N856" s="131"/>
      <c r="O856" s="131">
        <v>0</v>
      </c>
      <c r="P856" s="131"/>
      <c r="Q856" s="424"/>
      <c r="R856" s="128">
        <f t="shared" si="1033"/>
        <v>0</v>
      </c>
      <c r="S856" s="131">
        <v>0</v>
      </c>
      <c r="T856" s="131"/>
      <c r="U856" s="131"/>
      <c r="V856" s="131"/>
      <c r="W856" s="131"/>
      <c r="X856" s="131"/>
      <c r="Y856" s="131"/>
      <c r="Z856" s="131"/>
      <c r="AA856" s="128">
        <f t="shared" si="1039"/>
        <v>0</v>
      </c>
      <c r="AB856" s="128">
        <f t="shared" si="1022"/>
        <v>0</v>
      </c>
      <c r="AC856" s="175">
        <f t="shared" si="1023"/>
        <v>0</v>
      </c>
    </row>
    <row r="857" spans="1:29" s="63" customFormat="1" ht="31.5" hidden="1" x14ac:dyDescent="0.2">
      <c r="A857" s="399"/>
      <c r="B857" s="81" t="s">
        <v>1255</v>
      </c>
      <c r="C857" s="79" t="s">
        <v>1060</v>
      </c>
      <c r="D857" s="339">
        <f>+D858</f>
        <v>307499359</v>
      </c>
      <c r="E857" s="187">
        <f>SUM('ADICIONES  2021'!C857:I857)</f>
        <v>0</v>
      </c>
      <c r="F857" s="130">
        <f t="shared" ref="F857:J857" si="1047">+F858</f>
        <v>0</v>
      </c>
      <c r="G857" s="130">
        <f t="shared" si="1047"/>
        <v>0</v>
      </c>
      <c r="H857" s="130">
        <f t="shared" si="1047"/>
        <v>0</v>
      </c>
      <c r="I857" s="130">
        <f t="shared" si="1047"/>
        <v>0</v>
      </c>
      <c r="J857" s="130">
        <f t="shared" si="1047"/>
        <v>0</v>
      </c>
      <c r="K857" s="78">
        <f t="shared" si="1035"/>
        <v>307499359</v>
      </c>
      <c r="L857" s="130">
        <f t="shared" ref="L857:Q857" si="1048">+L858</f>
        <v>61536478</v>
      </c>
      <c r="M857" s="130">
        <f t="shared" si="1048"/>
        <v>0</v>
      </c>
      <c r="N857" s="130">
        <f t="shared" si="1048"/>
        <v>0</v>
      </c>
      <c r="O857" s="130">
        <f t="shared" si="1048"/>
        <v>0</v>
      </c>
      <c r="P857" s="130">
        <f t="shared" si="1048"/>
        <v>0</v>
      </c>
      <c r="Q857" s="423">
        <f t="shared" si="1048"/>
        <v>0</v>
      </c>
      <c r="R857" s="78">
        <f t="shared" si="1033"/>
        <v>61536478</v>
      </c>
      <c r="S857" s="130">
        <f t="shared" ref="S857:Z857" si="1049">+S858</f>
        <v>268967521</v>
      </c>
      <c r="T857" s="130">
        <f t="shared" si="1049"/>
        <v>0</v>
      </c>
      <c r="U857" s="130">
        <f t="shared" si="1049"/>
        <v>0</v>
      </c>
      <c r="V857" s="130">
        <f t="shared" si="1049"/>
        <v>0</v>
      </c>
      <c r="W857" s="130">
        <f t="shared" si="1049"/>
        <v>0</v>
      </c>
      <c r="X857" s="130">
        <f t="shared" si="1049"/>
        <v>0</v>
      </c>
      <c r="Y857" s="130">
        <f t="shared" si="1049"/>
        <v>0</v>
      </c>
      <c r="Z857" s="130">
        <f t="shared" si="1049"/>
        <v>0</v>
      </c>
      <c r="AA857" s="78">
        <f t="shared" si="1039"/>
        <v>268967521</v>
      </c>
      <c r="AB857" s="78">
        <f t="shared" si="1022"/>
        <v>330503999</v>
      </c>
      <c r="AC857" s="174">
        <f t="shared" si="1023"/>
        <v>1.0748119933479277</v>
      </c>
    </row>
    <row r="858" spans="1:29" ht="28.5" hidden="1" x14ac:dyDescent="0.2">
      <c r="B858" s="76" t="s">
        <v>1256</v>
      </c>
      <c r="C858" s="77" t="s">
        <v>1061</v>
      </c>
      <c r="D858" s="340">
        <v>307499359</v>
      </c>
      <c r="E858" s="188">
        <f>SUM('ADICIONES  2021'!C858:I858)</f>
        <v>0</v>
      </c>
      <c r="F858" s="132"/>
      <c r="G858" s="131"/>
      <c r="H858" s="131"/>
      <c r="I858" s="131"/>
      <c r="J858" s="131"/>
      <c r="K858" s="128">
        <f t="shared" si="1035"/>
        <v>307499359</v>
      </c>
      <c r="L858" s="132">
        <v>61536478</v>
      </c>
      <c r="M858" s="132"/>
      <c r="N858" s="132">
        <v>0</v>
      </c>
      <c r="O858" s="132"/>
      <c r="P858" s="132"/>
      <c r="Q858" s="424"/>
      <c r="R858" s="128">
        <f t="shared" si="1033"/>
        <v>61536478</v>
      </c>
      <c r="S858" s="132">
        <v>268967521</v>
      </c>
      <c r="T858" s="132"/>
      <c r="U858" s="132"/>
      <c r="V858" s="132"/>
      <c r="W858" s="132"/>
      <c r="X858" s="132"/>
      <c r="Y858" s="132"/>
      <c r="Z858" s="132"/>
      <c r="AA858" s="128">
        <f t="shared" si="1039"/>
        <v>268967521</v>
      </c>
      <c r="AB858" s="128">
        <f t="shared" si="1022"/>
        <v>330503999</v>
      </c>
      <c r="AC858" s="175">
        <f t="shared" si="1023"/>
        <v>1.0748119933479277</v>
      </c>
    </row>
    <row r="859" spans="1:29" s="63" customFormat="1" ht="15.75" hidden="1" x14ac:dyDescent="0.2">
      <c r="A859" s="399"/>
      <c r="B859" s="81" t="s">
        <v>636</v>
      </c>
      <c r="C859" s="79" t="s">
        <v>1050</v>
      </c>
      <c r="D859" s="339">
        <f>+D860</f>
        <v>34642275000</v>
      </c>
      <c r="E859" s="187">
        <f>SUM('ADICIONES  2021'!C859:I859)</f>
        <v>0</v>
      </c>
      <c r="F859" s="130"/>
      <c r="G859" s="130">
        <f t="shared" ref="G859:J859" si="1050">+G860</f>
        <v>2500000000</v>
      </c>
      <c r="H859" s="130">
        <f t="shared" si="1050"/>
        <v>350000000</v>
      </c>
      <c r="I859" s="130">
        <f t="shared" si="1050"/>
        <v>0</v>
      </c>
      <c r="J859" s="130">
        <f t="shared" si="1050"/>
        <v>0</v>
      </c>
      <c r="K859" s="78">
        <f t="shared" si="1035"/>
        <v>36792275000</v>
      </c>
      <c r="L859" s="130">
        <f t="shared" ref="L859:Q859" si="1051">+L860</f>
        <v>3988252929.8992</v>
      </c>
      <c r="M859" s="130">
        <f t="shared" si="1051"/>
        <v>1435424547.1784</v>
      </c>
      <c r="N859" s="130">
        <f t="shared" si="1051"/>
        <v>2280922055.9661999</v>
      </c>
      <c r="O859" s="130">
        <f t="shared" si="1051"/>
        <v>5926967505.5716</v>
      </c>
      <c r="P859" s="130">
        <f t="shared" si="1051"/>
        <v>960190429.14479995</v>
      </c>
      <c r="Q859" s="423">
        <f t="shared" si="1051"/>
        <v>2805968502.5432</v>
      </c>
      <c r="R859" s="78">
        <f t="shared" si="1033"/>
        <v>17397725970.303402</v>
      </c>
      <c r="S859" s="130">
        <f t="shared" ref="S859:Z859" si="1052">+S860</f>
        <v>4672527353.6308002</v>
      </c>
      <c r="T859" s="130">
        <f t="shared" si="1052"/>
        <v>0</v>
      </c>
      <c r="U859" s="130">
        <f t="shared" si="1052"/>
        <v>0</v>
      </c>
      <c r="V859" s="130">
        <f t="shared" si="1052"/>
        <v>0</v>
      </c>
      <c r="W859" s="130">
        <f t="shared" si="1052"/>
        <v>0</v>
      </c>
      <c r="X859" s="130">
        <f t="shared" si="1052"/>
        <v>0</v>
      </c>
      <c r="Y859" s="130">
        <f t="shared" si="1052"/>
        <v>0</v>
      </c>
      <c r="Z859" s="130">
        <f t="shared" si="1052"/>
        <v>0</v>
      </c>
      <c r="AA859" s="78">
        <f t="shared" si="1039"/>
        <v>4672527353.6308002</v>
      </c>
      <c r="AB859" s="78">
        <f t="shared" si="1022"/>
        <v>22070253323.934204</v>
      </c>
      <c r="AC859" s="174">
        <f t="shared" si="1023"/>
        <v>0.59986106659439253</v>
      </c>
    </row>
    <row r="860" spans="1:29" s="19" customFormat="1" ht="30" x14ac:dyDescent="0.2">
      <c r="A860" s="71">
        <v>1</v>
      </c>
      <c r="B860" s="82" t="s">
        <v>638</v>
      </c>
      <c r="C860" s="83" t="s">
        <v>1051</v>
      </c>
      <c r="D860" s="339">
        <f>+D861+D867</f>
        <v>34642275000</v>
      </c>
      <c r="E860" s="187">
        <f>SUM('ADICIONES  2021'!C860:I860)</f>
        <v>0</v>
      </c>
      <c r="F860" s="130"/>
      <c r="G860" s="130">
        <f t="shared" ref="G860:J860" si="1053">+G861+G867</f>
        <v>2500000000</v>
      </c>
      <c r="H860" s="130">
        <f t="shared" si="1053"/>
        <v>350000000</v>
      </c>
      <c r="I860" s="130">
        <f t="shared" si="1053"/>
        <v>0</v>
      </c>
      <c r="J860" s="130">
        <f t="shared" si="1053"/>
        <v>0</v>
      </c>
      <c r="K860" s="126">
        <f t="shared" si="1035"/>
        <v>36792275000</v>
      </c>
      <c r="L860" s="132">
        <f>+L861+L867</f>
        <v>3988252929.8992</v>
      </c>
      <c r="M860" s="132">
        <f t="shared" ref="M860:Q860" si="1054">+M861+M867</f>
        <v>1435424547.1784</v>
      </c>
      <c r="N860" s="132">
        <f t="shared" si="1054"/>
        <v>2280922055.9661999</v>
      </c>
      <c r="O860" s="132">
        <f t="shared" si="1054"/>
        <v>5926967505.5716</v>
      </c>
      <c r="P860" s="132">
        <f t="shared" si="1054"/>
        <v>960190429.14479995</v>
      </c>
      <c r="Q860" s="132">
        <f t="shared" si="1054"/>
        <v>2805968502.5432</v>
      </c>
      <c r="R860" s="78">
        <f t="shared" si="1033"/>
        <v>17397725970.303402</v>
      </c>
      <c r="S860" s="132">
        <f t="shared" ref="S860:Z860" si="1055">+S861+S867</f>
        <v>4672527353.6308002</v>
      </c>
      <c r="T860" s="130">
        <f t="shared" si="1055"/>
        <v>0</v>
      </c>
      <c r="U860" s="130">
        <f t="shared" si="1055"/>
        <v>0</v>
      </c>
      <c r="V860" s="130">
        <f t="shared" si="1055"/>
        <v>0</v>
      </c>
      <c r="W860" s="130">
        <f t="shared" si="1055"/>
        <v>0</v>
      </c>
      <c r="X860" s="130">
        <f t="shared" si="1055"/>
        <v>0</v>
      </c>
      <c r="Y860" s="132">
        <f t="shared" si="1055"/>
        <v>0</v>
      </c>
      <c r="Z860" s="130">
        <f t="shared" si="1055"/>
        <v>0</v>
      </c>
      <c r="AA860" s="78">
        <f t="shared" si="1034"/>
        <v>4672527353.6308002</v>
      </c>
      <c r="AB860" s="126">
        <f t="shared" si="1022"/>
        <v>22070253323.934204</v>
      </c>
      <c r="AC860" s="180">
        <f t="shared" si="1023"/>
        <v>0.59986106659439253</v>
      </c>
    </row>
    <row r="861" spans="1:29" s="63" customFormat="1" ht="31.5" hidden="1" x14ac:dyDescent="0.2">
      <c r="A861" s="399"/>
      <c r="B861" s="81" t="s">
        <v>1052</v>
      </c>
      <c r="C861" s="79" t="s">
        <v>974</v>
      </c>
      <c r="D861" s="339">
        <f>SUM(D862:D866)</f>
        <v>33841475000</v>
      </c>
      <c r="E861" s="187">
        <f>SUM('ADICIONES  2021'!C861:I861)</f>
        <v>0</v>
      </c>
      <c r="F861" s="130"/>
      <c r="G861" s="130">
        <f t="shared" ref="G861:J861" si="1056">SUM(G862:G866)</f>
        <v>2500000000</v>
      </c>
      <c r="H861" s="130">
        <f t="shared" si="1056"/>
        <v>350000000</v>
      </c>
      <c r="I861" s="130">
        <f t="shared" si="1056"/>
        <v>0</v>
      </c>
      <c r="J861" s="130">
        <f t="shared" si="1056"/>
        <v>0</v>
      </c>
      <c r="K861" s="78">
        <f t="shared" si="1035"/>
        <v>35991475000</v>
      </c>
      <c r="L861" s="130">
        <f>SUM(L862:L866)</f>
        <v>3891772526.6799998</v>
      </c>
      <c r="M861" s="130">
        <f t="shared" ref="M861:Q861" si="1057">SUM(M862:M866)</f>
        <v>1351207076.2408001</v>
      </c>
      <c r="N861" s="130">
        <f>SUM(N862:N866)</f>
        <v>2214813338.0910001</v>
      </c>
      <c r="O861" s="130">
        <f>SUM(O862:O866)</f>
        <v>5857273439.5299997</v>
      </c>
      <c r="P861" s="130">
        <f t="shared" si="1057"/>
        <v>888308654.38</v>
      </c>
      <c r="Q861" s="423">
        <f t="shared" si="1057"/>
        <v>2739134612.2199998</v>
      </c>
      <c r="R861" s="78">
        <f t="shared" si="1033"/>
        <v>16942509647.1418</v>
      </c>
      <c r="S861" s="130">
        <f t="shared" ref="S861:Z861" si="1058">SUM(S862:S866)</f>
        <v>4611729996.21</v>
      </c>
      <c r="T861" s="130">
        <f t="shared" si="1058"/>
        <v>0</v>
      </c>
      <c r="U861" s="130">
        <f t="shared" si="1058"/>
        <v>0</v>
      </c>
      <c r="V861" s="130">
        <f t="shared" si="1058"/>
        <v>0</v>
      </c>
      <c r="W861" s="130">
        <f t="shared" si="1058"/>
        <v>0</v>
      </c>
      <c r="X861" s="130">
        <f t="shared" si="1058"/>
        <v>0</v>
      </c>
      <c r="Y861" s="130">
        <f t="shared" si="1058"/>
        <v>0</v>
      </c>
      <c r="Z861" s="130">
        <f t="shared" si="1058"/>
        <v>0</v>
      </c>
      <c r="AA861" s="78">
        <f t="shared" si="1034"/>
        <v>4611729996.21</v>
      </c>
      <c r="AB861" s="78">
        <f t="shared" si="1022"/>
        <v>21554239643.351799</v>
      </c>
      <c r="AC861" s="174">
        <f t="shared" si="1023"/>
        <v>0.59887069488960365</v>
      </c>
    </row>
    <row r="862" spans="1:29" ht="14.25" hidden="1" x14ac:dyDescent="0.2">
      <c r="B862" s="76" t="s">
        <v>1053</v>
      </c>
      <c r="C862" s="77" t="s">
        <v>378</v>
      </c>
      <c r="D862" s="340">
        <v>2000000000</v>
      </c>
      <c r="E862" s="188">
        <f>SUM('ADICIONES  2021'!C862:I862)</f>
        <v>0</v>
      </c>
      <c r="F862" s="131"/>
      <c r="G862" s="131"/>
      <c r="H862" s="131"/>
      <c r="I862" s="131"/>
      <c r="J862" s="131"/>
      <c r="K862" s="128">
        <f t="shared" si="1035"/>
        <v>2000000000</v>
      </c>
      <c r="L862" s="131">
        <v>0</v>
      </c>
      <c r="M862" s="131">
        <v>0</v>
      </c>
      <c r="N862" s="131">
        <v>0</v>
      </c>
      <c r="O862" s="131">
        <v>0</v>
      </c>
      <c r="P862" s="131">
        <v>0</v>
      </c>
      <c r="Q862" s="424">
        <v>0</v>
      </c>
      <c r="R862" s="128">
        <f t="shared" si="1033"/>
        <v>0</v>
      </c>
      <c r="S862" s="131">
        <v>7033.94</v>
      </c>
      <c r="T862" s="131"/>
      <c r="U862" s="131"/>
      <c r="V862" s="131"/>
      <c r="W862" s="131"/>
      <c r="X862" s="131"/>
      <c r="Y862" s="131"/>
      <c r="Z862" s="131"/>
      <c r="AA862" s="128">
        <f t="shared" si="1034"/>
        <v>7033.94</v>
      </c>
      <c r="AB862" s="128">
        <f t="shared" si="1022"/>
        <v>7033.94</v>
      </c>
      <c r="AC862" s="175">
        <f t="shared" si="1023"/>
        <v>3.51697E-6</v>
      </c>
    </row>
    <row r="863" spans="1:29" ht="14.25" hidden="1" x14ac:dyDescent="0.2">
      <c r="B863" s="76" t="s">
        <v>1053</v>
      </c>
      <c r="C863" s="77" t="s">
        <v>378</v>
      </c>
      <c r="D863" s="340">
        <v>24000000000</v>
      </c>
      <c r="E863" s="188">
        <f>SUM('ADICIONES  2021'!C863:I863)</f>
        <v>0</v>
      </c>
      <c r="F863" s="131"/>
      <c r="G863" s="131"/>
      <c r="H863" s="131"/>
      <c r="I863" s="131"/>
      <c r="J863" s="131"/>
      <c r="K863" s="128">
        <f t="shared" si="1035"/>
        <v>24000000000</v>
      </c>
      <c r="L863" s="131">
        <v>2967361318</v>
      </c>
      <c r="M863" s="131">
        <v>630051962</v>
      </c>
      <c r="N863" s="131">
        <v>1475057266</v>
      </c>
      <c r="O863" s="131">
        <v>5289121912</v>
      </c>
      <c r="P863" s="131">
        <v>250256151</v>
      </c>
      <c r="Q863" s="424">
        <v>2112266333</v>
      </c>
      <c r="R863" s="128">
        <f t="shared" si="1033"/>
        <v>12724114942</v>
      </c>
      <c r="S863" s="131">
        <v>3894276917.27</v>
      </c>
      <c r="T863" s="131"/>
      <c r="U863" s="131"/>
      <c r="V863" s="131"/>
      <c r="W863" s="131"/>
      <c r="X863" s="131"/>
      <c r="Y863" s="131"/>
      <c r="Z863" s="131"/>
      <c r="AA863" s="128">
        <f t="shared" si="1034"/>
        <v>3894276917.27</v>
      </c>
      <c r="AB863" s="128">
        <f t="shared" si="1022"/>
        <v>16618391859.27</v>
      </c>
      <c r="AC863" s="175">
        <f t="shared" si="1023"/>
        <v>0.69243299413625004</v>
      </c>
    </row>
    <row r="864" spans="1:29" ht="28.5" hidden="1" x14ac:dyDescent="0.2">
      <c r="B864" s="76" t="s">
        <v>1054</v>
      </c>
      <c r="C864" s="77" t="s">
        <v>1863</v>
      </c>
      <c r="D864" s="340"/>
      <c r="E864" s="188">
        <f>SUM('ADICIONES  2021'!C864:I864)</f>
        <v>0</v>
      </c>
      <c r="F864" s="131"/>
      <c r="G864" s="131">
        <v>2500000000</v>
      </c>
      <c r="H864" s="131"/>
      <c r="I864" s="131"/>
      <c r="J864" s="131"/>
      <c r="K864" s="128">
        <f>+D864+E864-F864+G864-H864</f>
        <v>2500000000</v>
      </c>
      <c r="L864" s="131"/>
      <c r="M864" s="131"/>
      <c r="N864" s="131"/>
      <c r="O864" s="131"/>
      <c r="P864" s="131">
        <v>0</v>
      </c>
      <c r="Q864" s="424">
        <v>0</v>
      </c>
      <c r="R864" s="128">
        <f t="shared" si="1033"/>
        <v>0</v>
      </c>
      <c r="S864" s="131">
        <v>0</v>
      </c>
      <c r="T864" s="131"/>
      <c r="U864" s="131"/>
      <c r="V864" s="131"/>
      <c r="W864" s="131"/>
      <c r="X864" s="131"/>
      <c r="Y864" s="131"/>
      <c r="Z864" s="131"/>
      <c r="AA864" s="128">
        <f t="shared" ref="AA864" si="1059">SUM(S864:Z864)</f>
        <v>0</v>
      </c>
      <c r="AB864" s="128">
        <f t="shared" si="1022"/>
        <v>0</v>
      </c>
      <c r="AC864" s="175">
        <f t="shared" si="1023"/>
        <v>0</v>
      </c>
    </row>
    <row r="865" spans="1:29" ht="28.5" hidden="1" x14ac:dyDescent="0.2">
      <c r="B865" s="76" t="s">
        <v>1054</v>
      </c>
      <c r="C865" s="77" t="s">
        <v>1247</v>
      </c>
      <c r="D865" s="340">
        <v>1341475000</v>
      </c>
      <c r="E865" s="188">
        <f>SUM('ADICIONES  2021'!C865:I865)</f>
        <v>0</v>
      </c>
      <c r="F865" s="131"/>
      <c r="G865" s="131"/>
      <c r="H865" s="131"/>
      <c r="I865" s="131"/>
      <c r="J865" s="131"/>
      <c r="K865" s="128">
        <f t="shared" si="1035"/>
        <v>1341475000</v>
      </c>
      <c r="L865" s="131">
        <f>1211239200*11.665%</f>
        <v>141291052.67999998</v>
      </c>
      <c r="M865" s="131">
        <f>322089552*11.665%</f>
        <v>37571746.240799993</v>
      </c>
      <c r="N865" s="131">
        <f>1741614540*11.665%</f>
        <v>203159336.09099999</v>
      </c>
      <c r="O865" s="131">
        <f>21028200*11.665%</f>
        <v>2452939.5299999998</v>
      </c>
      <c r="P865" s="131">
        <f>468037200*11.665%</f>
        <v>54596539.379999995</v>
      </c>
      <c r="Q865" s="424">
        <f>723406800*11.665%</f>
        <v>84385403.219999999</v>
      </c>
      <c r="R865" s="128">
        <f t="shared" si="1033"/>
        <v>523457017.14179993</v>
      </c>
      <c r="S865" s="131">
        <f>1919940000*11.665%</f>
        <v>223961000.99999997</v>
      </c>
      <c r="T865" s="131"/>
      <c r="U865" s="131"/>
      <c r="V865" s="131"/>
      <c r="W865" s="131"/>
      <c r="X865" s="131"/>
      <c r="Y865" s="131"/>
      <c r="Z865" s="131"/>
      <c r="AA865" s="128">
        <f t="shared" si="1034"/>
        <v>223961000.99999997</v>
      </c>
      <c r="AB865" s="128">
        <f t="shared" si="1022"/>
        <v>747418018.14179993</v>
      </c>
      <c r="AC865" s="175">
        <f t="shared" si="1023"/>
        <v>0.55716134713043475</v>
      </c>
    </row>
    <row r="866" spans="1:29" ht="14.25" hidden="1" x14ac:dyDescent="0.2">
      <c r="B866" s="76" t="s">
        <v>1054</v>
      </c>
      <c r="C866" s="77" t="s">
        <v>1864</v>
      </c>
      <c r="D866" s="340">
        <v>6500000000</v>
      </c>
      <c r="E866" s="188">
        <f>SUM('ADICIONES  2021'!C866:I866)</f>
        <v>0</v>
      </c>
      <c r="F866" s="131"/>
      <c r="G866" s="131"/>
      <c r="H866" s="131">
        <v>350000000</v>
      </c>
      <c r="I866" s="131"/>
      <c r="J866" s="131"/>
      <c r="K866" s="128">
        <f t="shared" si="1035"/>
        <v>6150000000</v>
      </c>
      <c r="L866" s="131">
        <f>15060003000*5.2%</f>
        <v>783120156.00000012</v>
      </c>
      <c r="M866" s="131">
        <f>13145834000*5.2%</f>
        <v>683583368.00000012</v>
      </c>
      <c r="N866" s="131">
        <f>10319168000*5.2%</f>
        <v>536596736.00000006</v>
      </c>
      <c r="O866" s="131">
        <f>10878819000*5.2%</f>
        <v>565698588</v>
      </c>
      <c r="P866" s="131">
        <f>11220307000*5.2%</f>
        <v>583455964</v>
      </c>
      <c r="Q866" s="424">
        <f>10432363000*5.2%</f>
        <v>542482876</v>
      </c>
      <c r="R866" s="128">
        <f t="shared" si="1033"/>
        <v>3694937688</v>
      </c>
      <c r="S866" s="131">
        <f>9490097000*5.2%</f>
        <v>493485044.00000006</v>
      </c>
      <c r="T866" s="131"/>
      <c r="U866" s="131"/>
      <c r="V866" s="131"/>
      <c r="W866" s="131"/>
      <c r="X866" s="131"/>
      <c r="Y866" s="131"/>
      <c r="Z866" s="131"/>
      <c r="AA866" s="128">
        <f t="shared" si="1034"/>
        <v>493485044.00000006</v>
      </c>
      <c r="AB866" s="128">
        <f t="shared" si="1022"/>
        <v>4188422732</v>
      </c>
      <c r="AC866" s="175">
        <f t="shared" si="1023"/>
        <v>0.68104434666666669</v>
      </c>
    </row>
    <row r="867" spans="1:29" ht="25.5" hidden="1" x14ac:dyDescent="0.2">
      <c r="B867" s="81" t="s">
        <v>1056</v>
      </c>
      <c r="C867" s="273" t="s">
        <v>1865</v>
      </c>
      <c r="D867" s="340">
        <v>800800000</v>
      </c>
      <c r="E867" s="188">
        <f>SUM('ADICIONES  2021'!C867:I867)</f>
        <v>0</v>
      </c>
      <c r="F867" s="165"/>
      <c r="G867" s="131"/>
      <c r="H867" s="131"/>
      <c r="I867" s="131"/>
      <c r="J867" s="131"/>
      <c r="K867" s="128">
        <f t="shared" si="1035"/>
        <v>800800000</v>
      </c>
      <c r="L867" s="131">
        <f>15060003000*0.64064%</f>
        <v>96480403.2192</v>
      </c>
      <c r="M867" s="131">
        <f>13145834000*0.64064%</f>
        <v>84217470.937600002</v>
      </c>
      <c r="N867" s="131">
        <f>10319168000*0.64064%</f>
        <v>66108717.875199996</v>
      </c>
      <c r="O867" s="131">
        <f>10878819000*0.64064%</f>
        <v>69694066.041599989</v>
      </c>
      <c r="P867" s="131">
        <f>11220307000*0.64064%</f>
        <v>71881774.764799997</v>
      </c>
      <c r="Q867" s="424">
        <f>10432363000*0.64064%</f>
        <v>66833890.323199995</v>
      </c>
      <c r="R867" s="128">
        <f t="shared" si="1033"/>
        <v>455216323.16159999</v>
      </c>
      <c r="S867" s="131">
        <f>9490097000*0.64064%</f>
        <v>60797357.420799993</v>
      </c>
      <c r="T867" s="165"/>
      <c r="U867" s="165"/>
      <c r="V867" s="165"/>
      <c r="W867" s="165"/>
      <c r="X867" s="165"/>
      <c r="Y867" s="165"/>
      <c r="Z867" s="165"/>
      <c r="AA867" s="128">
        <f t="shared" si="1034"/>
        <v>60797357.420799993</v>
      </c>
      <c r="AB867" s="128">
        <f t="shared" si="1022"/>
        <v>516013680.58239996</v>
      </c>
      <c r="AC867" s="175">
        <f t="shared" si="1023"/>
        <v>0.64437272800000001</v>
      </c>
    </row>
    <row r="868" spans="1:29" s="19" customFormat="1" ht="30" x14ac:dyDescent="0.2">
      <c r="A868" s="71">
        <v>1</v>
      </c>
      <c r="B868" s="81" t="s">
        <v>1873</v>
      </c>
      <c r="C868" s="83" t="s">
        <v>1874</v>
      </c>
      <c r="D868" s="339">
        <f>+D869</f>
        <v>0</v>
      </c>
      <c r="E868" s="187">
        <f>SUM('ADICIONES  2021'!C868:I868)</f>
        <v>3452090283.4400001</v>
      </c>
      <c r="F868" s="339">
        <f t="shared" ref="F868:J870" si="1060">+F869</f>
        <v>0</v>
      </c>
      <c r="G868" s="339">
        <f t="shared" si="1060"/>
        <v>0</v>
      </c>
      <c r="H868" s="339">
        <f t="shared" si="1060"/>
        <v>0</v>
      </c>
      <c r="I868" s="339">
        <f t="shared" si="1060"/>
        <v>0</v>
      </c>
      <c r="J868" s="339">
        <f t="shared" si="1060"/>
        <v>0</v>
      </c>
      <c r="K868" s="126">
        <f t="shared" si="1035"/>
        <v>3452090283.4400001</v>
      </c>
      <c r="L868" s="388">
        <f t="shared" ref="L868:Q870" si="1061">+L869</f>
        <v>0</v>
      </c>
      <c r="M868" s="388">
        <f t="shared" si="1061"/>
        <v>0</v>
      </c>
      <c r="N868" s="388">
        <f t="shared" si="1061"/>
        <v>0</v>
      </c>
      <c r="O868" s="388">
        <f t="shared" si="1061"/>
        <v>0</v>
      </c>
      <c r="P868" s="388">
        <f t="shared" si="1061"/>
        <v>3452090283.4400001</v>
      </c>
      <c r="Q868" s="388">
        <f t="shared" si="1061"/>
        <v>0</v>
      </c>
      <c r="R868" s="78">
        <f t="shared" si="1033"/>
        <v>3452090283.4400001</v>
      </c>
      <c r="S868" s="388">
        <f t="shared" ref="S868:Z870" si="1062">+S869</f>
        <v>20746478.109999999</v>
      </c>
      <c r="T868" s="339">
        <f t="shared" si="1062"/>
        <v>0</v>
      </c>
      <c r="U868" s="339">
        <f t="shared" si="1062"/>
        <v>0</v>
      </c>
      <c r="V868" s="339">
        <f t="shared" si="1062"/>
        <v>0</v>
      </c>
      <c r="W868" s="339">
        <f t="shared" si="1062"/>
        <v>0</v>
      </c>
      <c r="X868" s="339">
        <f t="shared" si="1062"/>
        <v>0</v>
      </c>
      <c r="Y868" s="388">
        <f t="shared" si="1062"/>
        <v>0</v>
      </c>
      <c r="Z868" s="339">
        <f t="shared" si="1062"/>
        <v>0</v>
      </c>
      <c r="AA868" s="78">
        <f t="shared" ref="AA868:AA871" si="1063">SUM(S868:Z868)</f>
        <v>20746478.109999999</v>
      </c>
      <c r="AB868" s="126">
        <f t="shared" si="1022"/>
        <v>3472836761.5500002</v>
      </c>
      <c r="AC868" s="180">
        <v>0</v>
      </c>
    </row>
    <row r="869" spans="1:29" s="63" customFormat="1" ht="31.5" hidden="1" x14ac:dyDescent="0.2">
      <c r="A869" s="399"/>
      <c r="B869" s="81" t="s">
        <v>1875</v>
      </c>
      <c r="C869" s="79" t="s">
        <v>1876</v>
      </c>
      <c r="D869" s="339">
        <f>+D870</f>
        <v>0</v>
      </c>
      <c r="E869" s="187">
        <f>SUM('ADICIONES  2021'!C869:I869)</f>
        <v>3452090283.4400001</v>
      </c>
      <c r="F869" s="339">
        <f t="shared" si="1060"/>
        <v>0</v>
      </c>
      <c r="G869" s="339">
        <f t="shared" si="1060"/>
        <v>0</v>
      </c>
      <c r="H869" s="339">
        <f t="shared" si="1060"/>
        <v>0</v>
      </c>
      <c r="I869" s="339">
        <f t="shared" si="1060"/>
        <v>0</v>
      </c>
      <c r="J869" s="339">
        <f t="shared" si="1060"/>
        <v>0</v>
      </c>
      <c r="K869" s="78">
        <f t="shared" si="1035"/>
        <v>3452090283.4400001</v>
      </c>
      <c r="L869" s="339">
        <f t="shared" si="1061"/>
        <v>0</v>
      </c>
      <c r="M869" s="339">
        <f t="shared" si="1061"/>
        <v>0</v>
      </c>
      <c r="N869" s="339">
        <f t="shared" si="1061"/>
        <v>0</v>
      </c>
      <c r="O869" s="339">
        <f t="shared" si="1061"/>
        <v>0</v>
      </c>
      <c r="P869" s="339">
        <f t="shared" si="1061"/>
        <v>3452090283.4400001</v>
      </c>
      <c r="Q869" s="426">
        <f t="shared" si="1061"/>
        <v>0</v>
      </c>
      <c r="R869" s="78">
        <f t="shared" si="1033"/>
        <v>3452090283.4400001</v>
      </c>
      <c r="S869" s="339">
        <f t="shared" si="1062"/>
        <v>20746478.109999999</v>
      </c>
      <c r="T869" s="339">
        <f t="shared" si="1062"/>
        <v>0</v>
      </c>
      <c r="U869" s="339">
        <f t="shared" si="1062"/>
        <v>0</v>
      </c>
      <c r="V869" s="339">
        <f t="shared" si="1062"/>
        <v>0</v>
      </c>
      <c r="W869" s="339">
        <f t="shared" si="1062"/>
        <v>0</v>
      </c>
      <c r="X869" s="339">
        <f t="shared" si="1062"/>
        <v>0</v>
      </c>
      <c r="Y869" s="339">
        <f t="shared" si="1062"/>
        <v>0</v>
      </c>
      <c r="Z869" s="339">
        <f t="shared" si="1062"/>
        <v>0</v>
      </c>
      <c r="AA869" s="78">
        <f t="shared" si="1063"/>
        <v>20746478.109999999</v>
      </c>
      <c r="AB869" s="78">
        <f t="shared" si="1022"/>
        <v>3472836761.5500002</v>
      </c>
      <c r="AC869" s="174">
        <v>0</v>
      </c>
    </row>
    <row r="870" spans="1:29" s="63" customFormat="1" ht="31.5" hidden="1" x14ac:dyDescent="0.2">
      <c r="A870" s="399"/>
      <c r="B870" s="81" t="s">
        <v>1877</v>
      </c>
      <c r="C870" s="79" t="s">
        <v>1878</v>
      </c>
      <c r="D870" s="339">
        <f>+D871</f>
        <v>0</v>
      </c>
      <c r="E870" s="187">
        <f>SUM('ADICIONES  2021'!C870:I870)</f>
        <v>3452090283.4400001</v>
      </c>
      <c r="F870" s="339">
        <f t="shared" si="1060"/>
        <v>0</v>
      </c>
      <c r="G870" s="339">
        <f t="shared" si="1060"/>
        <v>0</v>
      </c>
      <c r="H870" s="339">
        <f t="shared" si="1060"/>
        <v>0</v>
      </c>
      <c r="I870" s="339">
        <f t="shared" si="1060"/>
        <v>0</v>
      </c>
      <c r="J870" s="339">
        <f t="shared" si="1060"/>
        <v>0</v>
      </c>
      <c r="K870" s="78">
        <f t="shared" si="1035"/>
        <v>3452090283.4400001</v>
      </c>
      <c r="L870" s="339">
        <f t="shared" si="1061"/>
        <v>0</v>
      </c>
      <c r="M870" s="339">
        <f t="shared" si="1061"/>
        <v>0</v>
      </c>
      <c r="N870" s="339">
        <f t="shared" si="1061"/>
        <v>0</v>
      </c>
      <c r="O870" s="339">
        <f t="shared" si="1061"/>
        <v>0</v>
      </c>
      <c r="P870" s="339">
        <f t="shared" si="1061"/>
        <v>3452090283.4400001</v>
      </c>
      <c r="Q870" s="426">
        <f t="shared" si="1061"/>
        <v>0</v>
      </c>
      <c r="R870" s="78">
        <f t="shared" si="1033"/>
        <v>3452090283.4400001</v>
      </c>
      <c r="S870" s="339">
        <f t="shared" si="1062"/>
        <v>20746478.109999999</v>
      </c>
      <c r="T870" s="339">
        <f t="shared" si="1062"/>
        <v>0</v>
      </c>
      <c r="U870" s="339">
        <f t="shared" si="1062"/>
        <v>0</v>
      </c>
      <c r="V870" s="339">
        <f t="shared" si="1062"/>
        <v>0</v>
      </c>
      <c r="W870" s="339">
        <f t="shared" si="1062"/>
        <v>0</v>
      </c>
      <c r="X870" s="339">
        <f t="shared" si="1062"/>
        <v>0</v>
      </c>
      <c r="Y870" s="339">
        <f t="shared" si="1062"/>
        <v>0</v>
      </c>
      <c r="Z870" s="339">
        <f t="shared" si="1062"/>
        <v>0</v>
      </c>
      <c r="AA870" s="78">
        <f t="shared" si="1063"/>
        <v>20746478.109999999</v>
      </c>
      <c r="AB870" s="78">
        <f t="shared" si="1022"/>
        <v>3472836761.5500002</v>
      </c>
      <c r="AC870" s="174">
        <v>0</v>
      </c>
    </row>
    <row r="871" spans="1:29" ht="18.75" hidden="1" x14ac:dyDescent="0.2">
      <c r="B871" s="76" t="s">
        <v>1879</v>
      </c>
      <c r="C871" s="77" t="s">
        <v>1880</v>
      </c>
      <c r="D871" s="340"/>
      <c r="E871" s="188">
        <f>SUM('ADICIONES  2021'!C871:I871)</f>
        <v>3452090283.4400001</v>
      </c>
      <c r="F871" s="389"/>
      <c r="G871" s="131"/>
      <c r="H871" s="131"/>
      <c r="I871" s="131"/>
      <c r="J871" s="131"/>
      <c r="K871" s="128">
        <f t="shared" si="1035"/>
        <v>3452090283.4400001</v>
      </c>
      <c r="L871" s="131"/>
      <c r="M871" s="131"/>
      <c r="N871" s="131"/>
      <c r="O871" s="131"/>
      <c r="P871" s="131">
        <v>3452090283.4400001</v>
      </c>
      <c r="Q871" s="425"/>
      <c r="R871" s="128">
        <f t="shared" si="1033"/>
        <v>3452090283.4400001</v>
      </c>
      <c r="S871" s="131">
        <v>20746478.109999999</v>
      </c>
      <c r="T871" s="389"/>
      <c r="U871" s="389"/>
      <c r="V871" s="389"/>
      <c r="W871" s="389"/>
      <c r="X871" s="389"/>
      <c r="Y871" s="389"/>
      <c r="Z871" s="389"/>
      <c r="AA871" s="128">
        <f t="shared" si="1063"/>
        <v>20746478.109999999</v>
      </c>
      <c r="AB871" s="128">
        <f t="shared" si="1022"/>
        <v>3472836761.5500002</v>
      </c>
      <c r="AC871" s="175">
        <v>0</v>
      </c>
    </row>
    <row r="872" spans="1:29" s="19" customFormat="1" ht="30" x14ac:dyDescent="0.2">
      <c r="A872" s="71">
        <v>1</v>
      </c>
      <c r="B872" s="81" t="s">
        <v>660</v>
      </c>
      <c r="C872" s="83" t="s">
        <v>1062</v>
      </c>
      <c r="D872" s="339">
        <f>+D873</f>
        <v>11767762710.66</v>
      </c>
      <c r="E872" s="187">
        <f>SUM('ADICIONES  2021'!C872:I872)</f>
        <v>0</v>
      </c>
      <c r="F872" s="130"/>
      <c r="G872" s="130">
        <f t="shared" ref="G872:J872" si="1064">+G873</f>
        <v>0</v>
      </c>
      <c r="H872" s="130">
        <f t="shared" si="1064"/>
        <v>0</v>
      </c>
      <c r="I872" s="130">
        <f t="shared" si="1064"/>
        <v>0</v>
      </c>
      <c r="J872" s="130">
        <f t="shared" si="1064"/>
        <v>0</v>
      </c>
      <c r="K872" s="126">
        <f t="shared" si="1035"/>
        <v>11767762710.66</v>
      </c>
      <c r="L872" s="132">
        <f t="shared" ref="L872:Q872" si="1065">+L873</f>
        <v>1188223792</v>
      </c>
      <c r="M872" s="132">
        <f t="shared" si="1065"/>
        <v>875505974.48000002</v>
      </c>
      <c r="N872" s="132">
        <f t="shared" si="1065"/>
        <v>930737892</v>
      </c>
      <c r="O872" s="132">
        <f t="shared" si="1065"/>
        <v>997180180</v>
      </c>
      <c r="P872" s="132">
        <f t="shared" si="1065"/>
        <v>1010265143</v>
      </c>
      <c r="Q872" s="132">
        <f t="shared" si="1065"/>
        <v>838164260</v>
      </c>
      <c r="R872" s="78">
        <f t="shared" si="1033"/>
        <v>5840077241.4799995</v>
      </c>
      <c r="S872" s="132">
        <f t="shared" ref="S872:Z872" si="1066">+S873</f>
        <v>901384028.29999995</v>
      </c>
      <c r="T872" s="130">
        <f t="shared" si="1066"/>
        <v>0</v>
      </c>
      <c r="U872" s="130">
        <f t="shared" si="1066"/>
        <v>0</v>
      </c>
      <c r="V872" s="130">
        <f t="shared" si="1066"/>
        <v>0</v>
      </c>
      <c r="W872" s="130">
        <f t="shared" si="1066"/>
        <v>0</v>
      </c>
      <c r="X872" s="130">
        <f t="shared" si="1066"/>
        <v>0</v>
      </c>
      <c r="Y872" s="132">
        <f t="shared" si="1066"/>
        <v>0</v>
      </c>
      <c r="Z872" s="130">
        <f t="shared" si="1066"/>
        <v>0</v>
      </c>
      <c r="AA872" s="78">
        <f t="shared" si="1034"/>
        <v>901384028.29999995</v>
      </c>
      <c r="AB872" s="126">
        <f t="shared" si="1022"/>
        <v>6741461269.7799997</v>
      </c>
      <c r="AC872" s="180">
        <f t="shared" si="1023"/>
        <v>0.57287535749451746</v>
      </c>
    </row>
    <row r="873" spans="1:29" s="63" customFormat="1" ht="31.5" hidden="1" x14ac:dyDescent="0.2">
      <c r="A873" s="399"/>
      <c r="B873" s="81" t="s">
        <v>1063</v>
      </c>
      <c r="C873" s="79" t="s">
        <v>1064</v>
      </c>
      <c r="D873" s="339">
        <f>+D874+D879+D884</f>
        <v>11767762710.66</v>
      </c>
      <c r="E873" s="187">
        <f>SUM('ADICIONES  2021'!C873:I873)</f>
        <v>0</v>
      </c>
      <c r="F873" s="130"/>
      <c r="G873" s="130">
        <f t="shared" ref="G873:J873" si="1067">+G874+G879+G884</f>
        <v>0</v>
      </c>
      <c r="H873" s="130">
        <f t="shared" si="1067"/>
        <v>0</v>
      </c>
      <c r="I873" s="130">
        <f t="shared" si="1067"/>
        <v>0</v>
      </c>
      <c r="J873" s="130">
        <f t="shared" si="1067"/>
        <v>0</v>
      </c>
      <c r="K873" s="78">
        <f t="shared" si="1035"/>
        <v>11767762710.66</v>
      </c>
      <c r="L873" s="130">
        <f t="shared" ref="L873:Q873" si="1068">+L874+L879+L884</f>
        <v>1188223792</v>
      </c>
      <c r="M873" s="130">
        <f t="shared" si="1068"/>
        <v>875505974.48000002</v>
      </c>
      <c r="N873" s="130">
        <f t="shared" si="1068"/>
        <v>930737892</v>
      </c>
      <c r="O873" s="130">
        <f t="shared" si="1068"/>
        <v>997180180</v>
      </c>
      <c r="P873" s="130">
        <f t="shared" si="1068"/>
        <v>1010265143</v>
      </c>
      <c r="Q873" s="423">
        <f t="shared" si="1068"/>
        <v>838164260</v>
      </c>
      <c r="R873" s="78">
        <f t="shared" si="1033"/>
        <v>5840077241.4799995</v>
      </c>
      <c r="S873" s="130">
        <f t="shared" ref="S873:Z873" si="1069">+S874+S879+S884</f>
        <v>901384028.29999995</v>
      </c>
      <c r="T873" s="130">
        <f t="shared" si="1069"/>
        <v>0</v>
      </c>
      <c r="U873" s="130">
        <f t="shared" si="1069"/>
        <v>0</v>
      </c>
      <c r="V873" s="130">
        <f t="shared" si="1069"/>
        <v>0</v>
      </c>
      <c r="W873" s="130">
        <f t="shared" si="1069"/>
        <v>0</v>
      </c>
      <c r="X873" s="130">
        <f t="shared" si="1069"/>
        <v>0</v>
      </c>
      <c r="Y873" s="130">
        <f t="shared" si="1069"/>
        <v>0</v>
      </c>
      <c r="Z873" s="130">
        <f t="shared" si="1069"/>
        <v>0</v>
      </c>
      <c r="AA873" s="78">
        <f t="shared" si="1034"/>
        <v>901384028.29999995</v>
      </c>
      <c r="AB873" s="78">
        <f t="shared" si="1022"/>
        <v>6741461269.7799997</v>
      </c>
      <c r="AC873" s="174">
        <f t="shared" si="1023"/>
        <v>0.57287535749451746</v>
      </c>
    </row>
    <row r="874" spans="1:29" s="63" customFormat="1" ht="31.5" hidden="1" x14ac:dyDescent="0.2">
      <c r="A874" s="399"/>
      <c r="B874" s="81" t="s">
        <v>1065</v>
      </c>
      <c r="C874" s="79" t="s">
        <v>1066</v>
      </c>
      <c r="D874" s="339">
        <f>SUM(D875:D877)</f>
        <v>2950524336.0100002</v>
      </c>
      <c r="E874" s="187">
        <f>SUM('ADICIONES  2021'!C874:I874)</f>
        <v>0</v>
      </c>
      <c r="F874" s="130"/>
      <c r="G874" s="130">
        <f t="shared" ref="G874:J874" si="1070">SUM(G875:G877)</f>
        <v>0</v>
      </c>
      <c r="H874" s="130">
        <f t="shared" si="1070"/>
        <v>0</v>
      </c>
      <c r="I874" s="130">
        <f t="shared" si="1070"/>
        <v>0</v>
      </c>
      <c r="J874" s="130">
        <f t="shared" si="1070"/>
        <v>0</v>
      </c>
      <c r="K874" s="127">
        <f t="shared" si="1035"/>
        <v>2950524336.0100002</v>
      </c>
      <c r="L874" s="130">
        <f t="shared" ref="L874:Q874" si="1071">SUM(L875:L877)</f>
        <v>341848800</v>
      </c>
      <c r="M874" s="130">
        <f t="shared" si="1071"/>
        <v>202479000</v>
      </c>
      <c r="N874" s="130">
        <f t="shared" si="1071"/>
        <v>237078000</v>
      </c>
      <c r="O874" s="130">
        <f t="shared" si="1071"/>
        <v>247500000</v>
      </c>
      <c r="P874" s="130">
        <f t="shared" si="1071"/>
        <v>254242200</v>
      </c>
      <c r="Q874" s="423">
        <f t="shared" si="1071"/>
        <v>167627400</v>
      </c>
      <c r="R874" s="127">
        <f t="shared" si="1033"/>
        <v>1450775400</v>
      </c>
      <c r="S874" s="130">
        <f t="shared" ref="S874:Z874" si="1072">SUM(S875:S877)</f>
        <v>231008777.87</v>
      </c>
      <c r="T874" s="130">
        <f t="shared" si="1072"/>
        <v>0</v>
      </c>
      <c r="U874" s="130">
        <f t="shared" si="1072"/>
        <v>0</v>
      </c>
      <c r="V874" s="130">
        <f t="shared" si="1072"/>
        <v>0</v>
      </c>
      <c r="W874" s="130">
        <f t="shared" si="1072"/>
        <v>0</v>
      </c>
      <c r="X874" s="130">
        <f t="shared" si="1072"/>
        <v>0</v>
      </c>
      <c r="Y874" s="130">
        <f t="shared" si="1072"/>
        <v>0</v>
      </c>
      <c r="Z874" s="130">
        <f t="shared" si="1072"/>
        <v>0</v>
      </c>
      <c r="AA874" s="127">
        <f t="shared" si="1034"/>
        <v>231008777.87</v>
      </c>
      <c r="AB874" s="127">
        <f t="shared" si="1022"/>
        <v>1681784177.8699999</v>
      </c>
      <c r="AC874" s="176">
        <f t="shared" si="1023"/>
        <v>0.56999501998491564</v>
      </c>
    </row>
    <row r="875" spans="1:29" ht="28.5" hidden="1" x14ac:dyDescent="0.2">
      <c r="B875" s="76" t="s">
        <v>1067</v>
      </c>
      <c r="C875" s="77" t="s">
        <v>375</v>
      </c>
      <c r="D875" s="340">
        <v>737631084</v>
      </c>
      <c r="E875" s="188">
        <f>SUM('ADICIONES  2021'!C875:I875)</f>
        <v>0</v>
      </c>
      <c r="F875" s="131"/>
      <c r="G875" s="131"/>
      <c r="H875" s="131"/>
      <c r="I875" s="131"/>
      <c r="J875" s="131"/>
      <c r="K875" s="128">
        <f t="shared" si="1035"/>
        <v>737631084</v>
      </c>
      <c r="L875" s="131">
        <v>85462200</v>
      </c>
      <c r="M875" s="131">
        <v>50619750</v>
      </c>
      <c r="N875" s="131">
        <v>59269500</v>
      </c>
      <c r="O875" s="131">
        <v>61875000</v>
      </c>
      <c r="P875" s="131">
        <v>63560550</v>
      </c>
      <c r="Q875" s="424">
        <v>41906850</v>
      </c>
      <c r="R875" s="128">
        <f t="shared" si="1033"/>
        <v>362693850</v>
      </c>
      <c r="S875" s="131">
        <v>57248400</v>
      </c>
      <c r="T875" s="131"/>
      <c r="U875" s="131"/>
      <c r="V875" s="131"/>
      <c r="W875" s="131"/>
      <c r="X875" s="131"/>
      <c r="Y875" s="131"/>
      <c r="Z875" s="131"/>
      <c r="AA875" s="128">
        <f t="shared" si="1034"/>
        <v>57248400</v>
      </c>
      <c r="AB875" s="128">
        <f t="shared" si="1022"/>
        <v>419942250</v>
      </c>
      <c r="AC875" s="175">
        <f t="shared" si="1023"/>
        <v>0.56931203023976684</v>
      </c>
    </row>
    <row r="876" spans="1:29" ht="28.5" hidden="1" x14ac:dyDescent="0.2">
      <c r="B876" s="76" t="s">
        <v>1068</v>
      </c>
      <c r="C876" s="77" t="s">
        <v>375</v>
      </c>
      <c r="D876" s="340">
        <v>206536703.52000001</v>
      </c>
      <c r="E876" s="188">
        <f>SUM('ADICIONES  2021'!C876:I876)</f>
        <v>0</v>
      </c>
      <c r="F876" s="131"/>
      <c r="G876" s="131"/>
      <c r="H876" s="131"/>
      <c r="I876" s="131"/>
      <c r="J876" s="131"/>
      <c r="K876" s="128">
        <f t="shared" si="1035"/>
        <v>206536703.52000001</v>
      </c>
      <c r="L876" s="131">
        <v>23929416</v>
      </c>
      <c r="M876" s="131">
        <v>14173530</v>
      </c>
      <c r="N876" s="131">
        <v>16595460</v>
      </c>
      <c r="O876" s="131">
        <v>17325000</v>
      </c>
      <c r="P876" s="131">
        <v>17796954</v>
      </c>
      <c r="Q876" s="424">
        <v>11733918</v>
      </c>
      <c r="R876" s="128">
        <f t="shared" si="1033"/>
        <v>101554278</v>
      </c>
      <c r="S876" s="131">
        <v>16029552</v>
      </c>
      <c r="T876" s="131"/>
      <c r="U876" s="131"/>
      <c r="V876" s="131"/>
      <c r="W876" s="131"/>
      <c r="X876" s="131"/>
      <c r="Y876" s="131"/>
      <c r="Z876" s="131"/>
      <c r="AA876" s="128">
        <f t="shared" si="1034"/>
        <v>16029552</v>
      </c>
      <c r="AB876" s="128">
        <f t="shared" si="1022"/>
        <v>117583830</v>
      </c>
      <c r="AC876" s="175">
        <f t="shared" si="1023"/>
        <v>0.56931203023976684</v>
      </c>
    </row>
    <row r="877" spans="1:29" s="63" customFormat="1" ht="31.5" hidden="1" x14ac:dyDescent="0.2">
      <c r="A877" s="399"/>
      <c r="B877" s="81" t="s">
        <v>1069</v>
      </c>
      <c r="C877" s="79" t="s">
        <v>377</v>
      </c>
      <c r="D877" s="339">
        <f>+D878</f>
        <v>2006356548.49</v>
      </c>
      <c r="E877" s="187">
        <f>SUM('ADICIONES  2021'!C877:I877)</f>
        <v>0</v>
      </c>
      <c r="F877" s="130"/>
      <c r="G877" s="130">
        <f t="shared" ref="G877:J877" si="1073">+G878</f>
        <v>0</v>
      </c>
      <c r="H877" s="130">
        <f t="shared" si="1073"/>
        <v>0</v>
      </c>
      <c r="I877" s="130">
        <f t="shared" si="1073"/>
        <v>0</v>
      </c>
      <c r="J877" s="130">
        <f t="shared" si="1073"/>
        <v>0</v>
      </c>
      <c r="K877" s="78">
        <f t="shared" si="1035"/>
        <v>2006356548.49</v>
      </c>
      <c r="L877" s="130">
        <f t="shared" ref="L877:Q877" si="1074">+L878</f>
        <v>232457184</v>
      </c>
      <c r="M877" s="130">
        <f t="shared" si="1074"/>
        <v>137685720</v>
      </c>
      <c r="N877" s="130">
        <f t="shared" si="1074"/>
        <v>161213040</v>
      </c>
      <c r="O877" s="130">
        <f t="shared" si="1074"/>
        <v>168300000</v>
      </c>
      <c r="P877" s="130">
        <f t="shared" si="1074"/>
        <v>172884696</v>
      </c>
      <c r="Q877" s="423">
        <f t="shared" si="1074"/>
        <v>113986632</v>
      </c>
      <c r="R877" s="78">
        <f t="shared" si="1033"/>
        <v>986527272</v>
      </c>
      <c r="S877" s="130">
        <f t="shared" ref="S877:Z877" si="1075">+S878</f>
        <v>157730825.87</v>
      </c>
      <c r="T877" s="130">
        <f t="shared" si="1075"/>
        <v>0</v>
      </c>
      <c r="U877" s="130">
        <f t="shared" si="1075"/>
        <v>0</v>
      </c>
      <c r="V877" s="130">
        <f t="shared" si="1075"/>
        <v>0</v>
      </c>
      <c r="W877" s="130">
        <f t="shared" si="1075"/>
        <v>0</v>
      </c>
      <c r="X877" s="130">
        <f t="shared" si="1075"/>
        <v>0</v>
      </c>
      <c r="Y877" s="130">
        <f t="shared" si="1075"/>
        <v>0</v>
      </c>
      <c r="Z877" s="130">
        <f t="shared" si="1075"/>
        <v>0</v>
      </c>
      <c r="AA877" s="78">
        <f t="shared" si="1034"/>
        <v>157730825.87</v>
      </c>
      <c r="AB877" s="78">
        <f t="shared" si="1022"/>
        <v>1144258097.8699999</v>
      </c>
      <c r="AC877" s="174">
        <f t="shared" si="1023"/>
        <v>0.57031642692380757</v>
      </c>
    </row>
    <row r="878" spans="1:29" ht="14.25" hidden="1" x14ac:dyDescent="0.2">
      <c r="B878" s="76" t="s">
        <v>1070</v>
      </c>
      <c r="C878" s="77" t="s">
        <v>378</v>
      </c>
      <c r="D878" s="340">
        <v>2006356548.49</v>
      </c>
      <c r="E878" s="188">
        <f>SUM('ADICIONES  2021'!C878:I878)</f>
        <v>0</v>
      </c>
      <c r="F878" s="131"/>
      <c r="G878" s="131"/>
      <c r="H878" s="131"/>
      <c r="I878" s="131"/>
      <c r="J878" s="131"/>
      <c r="K878" s="128">
        <f t="shared" si="1035"/>
        <v>2006356548.49</v>
      </c>
      <c r="L878" s="131">
        <v>232457184</v>
      </c>
      <c r="M878" s="131">
        <v>137685720</v>
      </c>
      <c r="N878" s="131">
        <v>161213040</v>
      </c>
      <c r="O878" s="131">
        <v>168300000</v>
      </c>
      <c r="P878" s="131">
        <v>172884696</v>
      </c>
      <c r="Q878" s="424">
        <v>113986632</v>
      </c>
      <c r="R878" s="128">
        <f t="shared" si="1033"/>
        <v>986527272</v>
      </c>
      <c r="S878" s="131">
        <v>157730825.87</v>
      </c>
      <c r="T878" s="131"/>
      <c r="U878" s="131"/>
      <c r="V878" s="131"/>
      <c r="W878" s="131"/>
      <c r="X878" s="131"/>
      <c r="Y878" s="131"/>
      <c r="Z878" s="131"/>
      <c r="AA878" s="128">
        <f t="shared" si="1034"/>
        <v>157730825.87</v>
      </c>
      <c r="AB878" s="128">
        <f t="shared" si="1022"/>
        <v>1144258097.8699999</v>
      </c>
      <c r="AC878" s="175">
        <f t="shared" si="1023"/>
        <v>0.57031642692380757</v>
      </c>
    </row>
    <row r="879" spans="1:29" s="63" customFormat="1" ht="47.25" hidden="1" x14ac:dyDescent="0.2">
      <c r="A879" s="399"/>
      <c r="B879" s="81" t="s">
        <v>1071</v>
      </c>
      <c r="C879" s="79" t="s">
        <v>1072</v>
      </c>
      <c r="D879" s="339">
        <f>SUM(D880:D882)</f>
        <v>8618601363.8400002</v>
      </c>
      <c r="E879" s="187">
        <f>SUM('ADICIONES  2021'!C879:I879)</f>
        <v>0</v>
      </c>
      <c r="F879" s="130"/>
      <c r="G879" s="130">
        <f t="shared" ref="G879:J879" si="1076">SUM(G880:G882)</f>
        <v>0</v>
      </c>
      <c r="H879" s="130">
        <f t="shared" si="1076"/>
        <v>0</v>
      </c>
      <c r="I879" s="130">
        <f t="shared" si="1076"/>
        <v>0</v>
      </c>
      <c r="J879" s="130">
        <f t="shared" si="1076"/>
        <v>0</v>
      </c>
      <c r="K879" s="78">
        <f t="shared" si="1035"/>
        <v>8618601363.8400002</v>
      </c>
      <c r="L879" s="130">
        <f t="shared" ref="L879:Q879" si="1077">SUM(L880:L882)</f>
        <v>839952212</v>
      </c>
      <c r="M879" s="130">
        <f t="shared" si="1077"/>
        <v>660962981</v>
      </c>
      <c r="N879" s="130">
        <f t="shared" si="1077"/>
        <v>683245292</v>
      </c>
      <c r="O879" s="130">
        <f t="shared" si="1077"/>
        <v>728057222</v>
      </c>
      <c r="P879" s="130">
        <f t="shared" si="1077"/>
        <v>740807793</v>
      </c>
      <c r="Q879" s="423">
        <f t="shared" si="1077"/>
        <v>657534255</v>
      </c>
      <c r="R879" s="78">
        <f t="shared" si="1033"/>
        <v>4310559755</v>
      </c>
      <c r="S879" s="130">
        <f t="shared" ref="S879:Z879" si="1078">SUM(S880:S882)</f>
        <v>627775227.76999998</v>
      </c>
      <c r="T879" s="130">
        <f t="shared" si="1078"/>
        <v>0</v>
      </c>
      <c r="U879" s="130">
        <f t="shared" si="1078"/>
        <v>0</v>
      </c>
      <c r="V879" s="130">
        <f t="shared" si="1078"/>
        <v>0</v>
      </c>
      <c r="W879" s="130">
        <f t="shared" si="1078"/>
        <v>0</v>
      </c>
      <c r="X879" s="130">
        <f t="shared" si="1078"/>
        <v>0</v>
      </c>
      <c r="Y879" s="130">
        <f t="shared" si="1078"/>
        <v>0</v>
      </c>
      <c r="Z879" s="130">
        <f t="shared" si="1078"/>
        <v>0</v>
      </c>
      <c r="AA879" s="78">
        <f t="shared" si="1034"/>
        <v>627775227.76999998</v>
      </c>
      <c r="AB879" s="78">
        <f t="shared" si="1022"/>
        <v>4938334982.7700005</v>
      </c>
      <c r="AC879" s="174">
        <f t="shared" si="1023"/>
        <v>0.5729856590756317</v>
      </c>
    </row>
    <row r="880" spans="1:29" ht="28.5" hidden="1" x14ac:dyDescent="0.2">
      <c r="B880" s="76" t="s">
        <v>1073</v>
      </c>
      <c r="C880" s="77" t="s">
        <v>375</v>
      </c>
      <c r="D880" s="340">
        <v>2154650340.96</v>
      </c>
      <c r="E880" s="188">
        <f>SUM('ADICIONES  2021'!C880:I880)</f>
        <v>0</v>
      </c>
      <c r="F880" s="131"/>
      <c r="G880" s="131"/>
      <c r="H880" s="131"/>
      <c r="I880" s="131"/>
      <c r="J880" s="131"/>
      <c r="K880" s="128">
        <f t="shared" si="1035"/>
        <v>2154650340.96</v>
      </c>
      <c r="L880" s="131">
        <v>209988053</v>
      </c>
      <c r="M880" s="131">
        <v>165240745</v>
      </c>
      <c r="N880" s="131">
        <v>170811323</v>
      </c>
      <c r="O880" s="131">
        <v>182014305</v>
      </c>
      <c r="P880" s="131">
        <v>185201948</v>
      </c>
      <c r="Q880" s="424">
        <v>164383564</v>
      </c>
      <c r="R880" s="128">
        <f t="shared" si="1033"/>
        <v>1077639938</v>
      </c>
      <c r="S880" s="131">
        <v>155224569</v>
      </c>
      <c r="T880" s="131"/>
      <c r="U880" s="131"/>
      <c r="V880" s="131"/>
      <c r="W880" s="131"/>
      <c r="X880" s="131"/>
      <c r="Y880" s="131"/>
      <c r="Z880" s="131"/>
      <c r="AA880" s="128">
        <f t="shared" si="1034"/>
        <v>155224569</v>
      </c>
      <c r="AB880" s="128">
        <f t="shared" si="1022"/>
        <v>1232864507</v>
      </c>
      <c r="AC880" s="175">
        <f t="shared" si="1023"/>
        <v>0.57218773903272846</v>
      </c>
    </row>
    <row r="881" spans="1:29" ht="28.5" hidden="1" x14ac:dyDescent="0.2">
      <c r="B881" s="76" t="s">
        <v>1074</v>
      </c>
      <c r="C881" s="77" t="s">
        <v>375</v>
      </c>
      <c r="D881" s="340">
        <v>603302095.47000003</v>
      </c>
      <c r="E881" s="188">
        <f>SUM('ADICIONES  2021'!C881:I881)</f>
        <v>0</v>
      </c>
      <c r="F881" s="131"/>
      <c r="G881" s="131"/>
      <c r="H881" s="131"/>
      <c r="I881" s="131"/>
      <c r="J881" s="131"/>
      <c r="K881" s="128">
        <f t="shared" si="1035"/>
        <v>603302095.47000003</v>
      </c>
      <c r="L881" s="131">
        <v>58796655</v>
      </c>
      <c r="M881" s="131">
        <v>46267409</v>
      </c>
      <c r="N881" s="131">
        <v>47827170</v>
      </c>
      <c r="O881" s="131">
        <v>50964006</v>
      </c>
      <c r="P881" s="131">
        <v>51856546</v>
      </c>
      <c r="Q881" s="424">
        <v>46027398</v>
      </c>
      <c r="R881" s="128">
        <f t="shared" si="1033"/>
        <v>301739184</v>
      </c>
      <c r="S881" s="131">
        <v>43462879</v>
      </c>
      <c r="T881" s="131"/>
      <c r="U881" s="131"/>
      <c r="V881" s="131"/>
      <c r="W881" s="131"/>
      <c r="X881" s="131"/>
      <c r="Y881" s="131"/>
      <c r="Z881" s="131"/>
      <c r="AA881" s="128">
        <f t="shared" si="1034"/>
        <v>43462879</v>
      </c>
      <c r="AB881" s="128">
        <f t="shared" si="1022"/>
        <v>345202063</v>
      </c>
      <c r="AC881" s="175">
        <f t="shared" si="1023"/>
        <v>0.57218774075543655</v>
      </c>
    </row>
    <row r="882" spans="1:29" s="63" customFormat="1" ht="31.5" hidden="1" x14ac:dyDescent="0.2">
      <c r="A882" s="399"/>
      <c r="B882" s="81" t="s">
        <v>1075</v>
      </c>
      <c r="C882" s="79" t="s">
        <v>377</v>
      </c>
      <c r="D882" s="339">
        <f>+D883</f>
        <v>5860648927.4099998</v>
      </c>
      <c r="E882" s="187">
        <f>SUM('ADICIONES  2021'!C882:I882)</f>
        <v>0</v>
      </c>
      <c r="F882" s="130"/>
      <c r="G882" s="130">
        <f t="shared" ref="G882:J882" si="1079">+G883</f>
        <v>0</v>
      </c>
      <c r="H882" s="130">
        <f t="shared" si="1079"/>
        <v>0</v>
      </c>
      <c r="I882" s="130">
        <f t="shared" si="1079"/>
        <v>0</v>
      </c>
      <c r="J882" s="130">
        <f t="shared" si="1079"/>
        <v>0</v>
      </c>
      <c r="K882" s="78">
        <f t="shared" si="1035"/>
        <v>5860648927.4099998</v>
      </c>
      <c r="L882" s="130">
        <f t="shared" ref="L882:Q882" si="1080">+L883</f>
        <v>571167504</v>
      </c>
      <c r="M882" s="130">
        <f t="shared" si="1080"/>
        <v>449454827</v>
      </c>
      <c r="N882" s="130">
        <f t="shared" si="1080"/>
        <v>464606799</v>
      </c>
      <c r="O882" s="130">
        <f t="shared" si="1080"/>
        <v>495078911</v>
      </c>
      <c r="P882" s="130">
        <f t="shared" si="1080"/>
        <v>503749299</v>
      </c>
      <c r="Q882" s="423">
        <f t="shared" si="1080"/>
        <v>447123293</v>
      </c>
      <c r="R882" s="78">
        <f t="shared" si="1033"/>
        <v>2931180633</v>
      </c>
      <c r="S882" s="130">
        <f t="shared" ref="S882:Z882" si="1081">+S883</f>
        <v>429087779.76999998</v>
      </c>
      <c r="T882" s="130">
        <f t="shared" si="1081"/>
        <v>0</v>
      </c>
      <c r="U882" s="130">
        <f t="shared" si="1081"/>
        <v>0</v>
      </c>
      <c r="V882" s="130">
        <f t="shared" si="1081"/>
        <v>0</v>
      </c>
      <c r="W882" s="130">
        <f t="shared" si="1081"/>
        <v>0</v>
      </c>
      <c r="X882" s="130">
        <f t="shared" si="1081"/>
        <v>0</v>
      </c>
      <c r="Y882" s="130">
        <f t="shared" si="1081"/>
        <v>0</v>
      </c>
      <c r="Z882" s="130">
        <f t="shared" si="1081"/>
        <v>0</v>
      </c>
      <c r="AA882" s="78">
        <f t="shared" si="1034"/>
        <v>429087779.76999998</v>
      </c>
      <c r="AB882" s="78">
        <f t="shared" si="1022"/>
        <v>3360268412.77</v>
      </c>
      <c r="AC882" s="174">
        <f t="shared" si="1023"/>
        <v>0.57336115068318982</v>
      </c>
    </row>
    <row r="883" spans="1:29" hidden="1" x14ac:dyDescent="0.2">
      <c r="B883" s="76" t="s">
        <v>1076</v>
      </c>
      <c r="C883" s="77" t="s">
        <v>378</v>
      </c>
      <c r="D883" s="340">
        <v>5860648927.4099998</v>
      </c>
      <c r="E883" s="188">
        <f>SUM('ADICIONES  2021'!C883:I883)</f>
        <v>0</v>
      </c>
      <c r="F883" s="132"/>
      <c r="G883" s="131"/>
      <c r="H883" s="131"/>
      <c r="I883" s="131"/>
      <c r="J883" s="131"/>
      <c r="K883" s="128">
        <f t="shared" si="1035"/>
        <v>5860648927.4099998</v>
      </c>
      <c r="L883" s="131">
        <v>571167504</v>
      </c>
      <c r="M883" s="131">
        <v>449454827</v>
      </c>
      <c r="N883" s="132">
        <v>464606799</v>
      </c>
      <c r="O883" s="132">
        <v>495078911</v>
      </c>
      <c r="P883" s="132">
        <v>503749299</v>
      </c>
      <c r="Q883" s="424">
        <v>447123293</v>
      </c>
      <c r="R883" s="128">
        <f t="shared" si="1033"/>
        <v>2931180633</v>
      </c>
      <c r="S883" s="132">
        <v>429087779.76999998</v>
      </c>
      <c r="T883" s="132"/>
      <c r="U883" s="132"/>
      <c r="V883" s="132"/>
      <c r="W883" s="132"/>
      <c r="X883" s="132"/>
      <c r="Y883" s="132"/>
      <c r="Z883" s="132"/>
      <c r="AA883" s="128">
        <f t="shared" si="1034"/>
        <v>429087779.76999998</v>
      </c>
      <c r="AB883" s="128">
        <f t="shared" si="1022"/>
        <v>3360268412.77</v>
      </c>
      <c r="AC883" s="175">
        <f t="shared" si="1023"/>
        <v>0.57336115068318982</v>
      </c>
    </row>
    <row r="884" spans="1:29" s="63" customFormat="1" ht="31.5" hidden="1" x14ac:dyDescent="0.2">
      <c r="A884" s="399"/>
      <c r="B884" s="81" t="s">
        <v>1077</v>
      </c>
      <c r="C884" s="79" t="s">
        <v>1078</v>
      </c>
      <c r="D884" s="339">
        <f>SUM(D885:D887)</f>
        <v>198637010.81</v>
      </c>
      <c r="E884" s="187">
        <f>SUM('ADICIONES  2021'!C884:I884)</f>
        <v>0</v>
      </c>
      <c r="F884" s="130"/>
      <c r="G884" s="130">
        <f t="shared" ref="G884:J884" si="1082">SUM(G885:G887)</f>
        <v>0</v>
      </c>
      <c r="H884" s="130">
        <f t="shared" si="1082"/>
        <v>0</v>
      </c>
      <c r="I884" s="130">
        <f t="shared" si="1082"/>
        <v>0</v>
      </c>
      <c r="J884" s="130">
        <f t="shared" si="1082"/>
        <v>0</v>
      </c>
      <c r="K884" s="78">
        <f t="shared" si="1035"/>
        <v>198637010.81</v>
      </c>
      <c r="L884" s="130">
        <f t="shared" ref="L884:Q884" si="1083">SUM(L885:L887)</f>
        <v>6422780</v>
      </c>
      <c r="M884" s="130">
        <f t="shared" si="1083"/>
        <v>12063993.48</v>
      </c>
      <c r="N884" s="130">
        <f t="shared" si="1083"/>
        <v>10414600</v>
      </c>
      <c r="O884" s="130">
        <f t="shared" si="1083"/>
        <v>21622958</v>
      </c>
      <c r="P884" s="130">
        <f t="shared" si="1083"/>
        <v>15215150</v>
      </c>
      <c r="Q884" s="423">
        <f t="shared" si="1083"/>
        <v>13002605</v>
      </c>
      <c r="R884" s="78">
        <f t="shared" si="1033"/>
        <v>78742086.480000004</v>
      </c>
      <c r="S884" s="130">
        <f t="shared" ref="S884:Z884" si="1084">SUM(S885:S887)</f>
        <v>42600022.659999996</v>
      </c>
      <c r="T884" s="130">
        <f t="shared" si="1084"/>
        <v>0</v>
      </c>
      <c r="U884" s="130">
        <f t="shared" si="1084"/>
        <v>0</v>
      </c>
      <c r="V884" s="130">
        <f t="shared" si="1084"/>
        <v>0</v>
      </c>
      <c r="W884" s="130">
        <f t="shared" si="1084"/>
        <v>0</v>
      </c>
      <c r="X884" s="130">
        <f t="shared" si="1084"/>
        <v>0</v>
      </c>
      <c r="Y884" s="130">
        <f t="shared" si="1084"/>
        <v>0</v>
      </c>
      <c r="Z884" s="130">
        <f t="shared" si="1084"/>
        <v>0</v>
      </c>
      <c r="AA884" s="78">
        <f t="shared" si="1034"/>
        <v>42600022.659999996</v>
      </c>
      <c r="AB884" s="78">
        <f t="shared" si="1022"/>
        <v>121342109.14</v>
      </c>
      <c r="AC884" s="174">
        <f t="shared" si="1023"/>
        <v>0.61087361637789639</v>
      </c>
    </row>
    <row r="885" spans="1:29" ht="28.5" hidden="1" x14ac:dyDescent="0.2">
      <c r="B885" s="76" t="s">
        <v>1079</v>
      </c>
      <c r="C885" s="77" t="s">
        <v>375</v>
      </c>
      <c r="D885" s="340">
        <v>49659252.700000003</v>
      </c>
      <c r="E885" s="188">
        <f>SUM('ADICIONES  2021'!C885:I885)</f>
        <v>0</v>
      </c>
      <c r="F885" s="131"/>
      <c r="G885" s="131"/>
      <c r="H885" s="131"/>
      <c r="I885" s="131"/>
      <c r="J885" s="131"/>
      <c r="K885" s="128">
        <f t="shared" si="1035"/>
        <v>49659252.700000003</v>
      </c>
      <c r="L885" s="131">
        <v>1605695</v>
      </c>
      <c r="M885" s="131">
        <v>3015998.37</v>
      </c>
      <c r="N885" s="131">
        <v>2603650</v>
      </c>
      <c r="O885" s="131">
        <v>5405739.9400000004</v>
      </c>
      <c r="P885" s="131">
        <v>3803787.5</v>
      </c>
      <c r="Q885" s="424">
        <v>3250651.25</v>
      </c>
      <c r="R885" s="128">
        <f t="shared" si="1033"/>
        <v>19685522.060000002</v>
      </c>
      <c r="S885" s="131">
        <v>10580568</v>
      </c>
      <c r="T885" s="131"/>
      <c r="U885" s="131"/>
      <c r="V885" s="131"/>
      <c r="W885" s="131"/>
      <c r="X885" s="131"/>
      <c r="Y885" s="131"/>
      <c r="Z885" s="131"/>
      <c r="AA885" s="128">
        <f t="shared" ref="AA885" si="1085">SUM(S885:Z885)</f>
        <v>10580568</v>
      </c>
      <c r="AB885" s="128">
        <f t="shared" si="1022"/>
        <v>30266090.060000002</v>
      </c>
      <c r="AC885" s="175">
        <f t="shared" si="1023"/>
        <v>0.60947534274916704</v>
      </c>
    </row>
    <row r="886" spans="1:29" ht="28.5" hidden="1" x14ac:dyDescent="0.2">
      <c r="B886" s="76" t="s">
        <v>1080</v>
      </c>
      <c r="C886" s="77" t="s">
        <v>375</v>
      </c>
      <c r="D886" s="340">
        <v>13904590.76</v>
      </c>
      <c r="E886" s="188">
        <f>SUM('ADICIONES  2021'!C886:I886)</f>
        <v>0</v>
      </c>
      <c r="F886" s="131"/>
      <c r="G886" s="131"/>
      <c r="H886" s="131"/>
      <c r="I886" s="131"/>
      <c r="J886" s="131"/>
      <c r="K886" s="128">
        <f t="shared" si="1035"/>
        <v>13904590.76</v>
      </c>
      <c r="L886" s="131">
        <v>449595</v>
      </c>
      <c r="M886" s="131">
        <v>844479.11</v>
      </c>
      <c r="N886" s="131">
        <v>729022</v>
      </c>
      <c r="O886" s="131">
        <v>1513607.06</v>
      </c>
      <c r="P886" s="131">
        <v>1065060.5</v>
      </c>
      <c r="Q886" s="424">
        <v>910182.75</v>
      </c>
      <c r="R886" s="128">
        <f t="shared" si="1033"/>
        <v>5511946.4199999999</v>
      </c>
      <c r="S886" s="131">
        <v>2962559</v>
      </c>
      <c r="T886" s="131"/>
      <c r="U886" s="131"/>
      <c r="V886" s="131"/>
      <c r="W886" s="131"/>
      <c r="X886" s="131"/>
      <c r="Y886" s="131"/>
      <c r="Z886" s="131"/>
      <c r="AA886" s="128">
        <f t="shared" si="1034"/>
        <v>2962559</v>
      </c>
      <c r="AB886" s="128">
        <f t="shared" si="1022"/>
        <v>8474505.4199999999</v>
      </c>
      <c r="AC886" s="175">
        <f t="shared" si="1023"/>
        <v>0.60947535718771484</v>
      </c>
    </row>
    <row r="887" spans="1:29" s="63" customFormat="1" ht="31.5" hidden="1" x14ac:dyDescent="0.2">
      <c r="A887" s="399"/>
      <c r="B887" s="81" t="s">
        <v>1081</v>
      </c>
      <c r="C887" s="79" t="s">
        <v>377</v>
      </c>
      <c r="D887" s="339">
        <f>+D888</f>
        <v>135073167.34999999</v>
      </c>
      <c r="E887" s="187">
        <f>SUM('ADICIONES  2021'!C887:I887)</f>
        <v>0</v>
      </c>
      <c r="F887" s="130"/>
      <c r="G887" s="130">
        <f t="shared" ref="G887:J887" si="1086">+G888</f>
        <v>0</v>
      </c>
      <c r="H887" s="130">
        <f t="shared" si="1086"/>
        <v>0</v>
      </c>
      <c r="I887" s="130">
        <f t="shared" si="1086"/>
        <v>0</v>
      </c>
      <c r="J887" s="130">
        <f t="shared" si="1086"/>
        <v>0</v>
      </c>
      <c r="K887" s="78">
        <f t="shared" si="1035"/>
        <v>135073167.34999999</v>
      </c>
      <c r="L887" s="130">
        <f t="shared" ref="L887:Q887" si="1087">+L888</f>
        <v>4367490</v>
      </c>
      <c r="M887" s="130">
        <f t="shared" si="1087"/>
        <v>8203516</v>
      </c>
      <c r="N887" s="130">
        <f t="shared" si="1087"/>
        <v>7081928</v>
      </c>
      <c r="O887" s="130">
        <f t="shared" si="1087"/>
        <v>14703611</v>
      </c>
      <c r="P887" s="130">
        <f t="shared" si="1087"/>
        <v>10346302</v>
      </c>
      <c r="Q887" s="423">
        <f t="shared" si="1087"/>
        <v>8841771</v>
      </c>
      <c r="R887" s="78">
        <f t="shared" si="1033"/>
        <v>53544618</v>
      </c>
      <c r="S887" s="130">
        <f t="shared" ref="S887:Z887" si="1088">+S888</f>
        <v>29056895.66</v>
      </c>
      <c r="T887" s="130">
        <f t="shared" si="1088"/>
        <v>0</v>
      </c>
      <c r="U887" s="130">
        <f t="shared" si="1088"/>
        <v>0</v>
      </c>
      <c r="V887" s="130">
        <f t="shared" si="1088"/>
        <v>0</v>
      </c>
      <c r="W887" s="130">
        <f t="shared" si="1088"/>
        <v>0</v>
      </c>
      <c r="X887" s="130">
        <f t="shared" si="1088"/>
        <v>0</v>
      </c>
      <c r="Y887" s="130">
        <f t="shared" si="1088"/>
        <v>0</v>
      </c>
      <c r="Z887" s="130">
        <f t="shared" si="1088"/>
        <v>0</v>
      </c>
      <c r="AA887" s="78">
        <f t="shared" ref="AA887" si="1089">SUM(S887:Z887)</f>
        <v>29056895.66</v>
      </c>
      <c r="AB887" s="78">
        <f t="shared" si="1022"/>
        <v>82601513.659999996</v>
      </c>
      <c r="AC887" s="174">
        <f t="shared" si="1023"/>
        <v>0.61153162601098954</v>
      </c>
    </row>
    <row r="888" spans="1:29" ht="14.25" hidden="1" x14ac:dyDescent="0.2">
      <c r="B888" s="76" t="s">
        <v>1082</v>
      </c>
      <c r="C888" s="77" t="s">
        <v>378</v>
      </c>
      <c r="D888" s="340">
        <v>135073167.34999999</v>
      </c>
      <c r="E888" s="188">
        <f>SUM('ADICIONES  2021'!C888:I888)</f>
        <v>0</v>
      </c>
      <c r="F888" s="131"/>
      <c r="G888" s="131"/>
      <c r="H888" s="131"/>
      <c r="I888" s="131"/>
      <c r="J888" s="131"/>
      <c r="K888" s="128">
        <f t="shared" si="1035"/>
        <v>135073167.34999999</v>
      </c>
      <c r="L888" s="131">
        <v>4367490</v>
      </c>
      <c r="M888" s="131">
        <v>8203516</v>
      </c>
      <c r="N888" s="131">
        <v>7081928</v>
      </c>
      <c r="O888" s="131">
        <v>14703611</v>
      </c>
      <c r="P888" s="131">
        <v>10346302</v>
      </c>
      <c r="Q888" s="424">
        <v>8841771</v>
      </c>
      <c r="R888" s="128">
        <f t="shared" si="1033"/>
        <v>53544618</v>
      </c>
      <c r="S888" s="131">
        <v>29056895.66</v>
      </c>
      <c r="T888" s="131"/>
      <c r="U888" s="131"/>
      <c r="V888" s="131"/>
      <c r="W888" s="131"/>
      <c r="X888" s="131"/>
      <c r="Y888" s="131"/>
      <c r="Z888" s="131"/>
      <c r="AA888" s="128">
        <f t="shared" si="1034"/>
        <v>29056895.66</v>
      </c>
      <c r="AB888" s="128">
        <f t="shared" si="1022"/>
        <v>82601513.659999996</v>
      </c>
      <c r="AC888" s="175">
        <f t="shared" si="1023"/>
        <v>0.61153162601098954</v>
      </c>
    </row>
    <row r="889" spans="1:29" s="142" customFormat="1" ht="19.5" x14ac:dyDescent="0.2">
      <c r="A889" s="141">
        <v>1</v>
      </c>
      <c r="B889" s="161" t="s">
        <v>698</v>
      </c>
      <c r="C889" s="160" t="s">
        <v>1083</v>
      </c>
      <c r="D889" s="338">
        <f>+D890+D904+D912+D899+D963</f>
        <v>2493812498.7199998</v>
      </c>
      <c r="E889" s="306">
        <f>SUM('ADICIONES  2021'!C889:I889)</f>
        <v>31623683676.32</v>
      </c>
      <c r="F889" s="338">
        <f t="shared" ref="F889:J889" si="1090">+F890+F904+F912+F899+F963</f>
        <v>0</v>
      </c>
      <c r="G889" s="338">
        <f t="shared" si="1090"/>
        <v>0</v>
      </c>
      <c r="H889" s="338">
        <f t="shared" si="1090"/>
        <v>0</v>
      </c>
      <c r="I889" s="338">
        <f t="shared" si="1090"/>
        <v>0</v>
      </c>
      <c r="J889" s="338">
        <f t="shared" si="1090"/>
        <v>0</v>
      </c>
      <c r="K889" s="162">
        <f t="shared" si="1035"/>
        <v>34117496175.040001</v>
      </c>
      <c r="L889" s="338">
        <f t="shared" ref="L889:Q889" si="1091">+L890+L904+L912+L899+L963</f>
        <v>224739699.27000001</v>
      </c>
      <c r="M889" s="338">
        <f t="shared" si="1091"/>
        <v>203500624.38</v>
      </c>
      <c r="N889" s="338">
        <f t="shared" si="1091"/>
        <v>440453209.22000003</v>
      </c>
      <c r="O889" s="338">
        <f t="shared" si="1091"/>
        <v>159052299.30000001</v>
      </c>
      <c r="P889" s="338">
        <f t="shared" si="1091"/>
        <v>21031715987.380001</v>
      </c>
      <c r="Q889" s="338">
        <f t="shared" si="1091"/>
        <v>136531178.78999999</v>
      </c>
      <c r="R889" s="162">
        <f t="shared" si="1033"/>
        <v>22195992998.340004</v>
      </c>
      <c r="S889" s="338">
        <f t="shared" ref="S889:Z889" si="1092">+S890+S904+S912+S899+S963</f>
        <v>157007195.66</v>
      </c>
      <c r="T889" s="338">
        <f t="shared" si="1092"/>
        <v>0</v>
      </c>
      <c r="U889" s="338">
        <f t="shared" si="1092"/>
        <v>0</v>
      </c>
      <c r="V889" s="338">
        <f t="shared" si="1092"/>
        <v>0</v>
      </c>
      <c r="W889" s="338">
        <f t="shared" si="1092"/>
        <v>0</v>
      </c>
      <c r="X889" s="338">
        <f t="shared" si="1092"/>
        <v>0</v>
      </c>
      <c r="Y889" s="338">
        <f t="shared" si="1092"/>
        <v>0</v>
      </c>
      <c r="Z889" s="338">
        <f t="shared" si="1092"/>
        <v>0</v>
      </c>
      <c r="AA889" s="162">
        <f t="shared" si="1034"/>
        <v>157007195.66</v>
      </c>
      <c r="AB889" s="162">
        <f t="shared" si="1022"/>
        <v>22353000194.000004</v>
      </c>
      <c r="AC889" s="173">
        <f t="shared" si="1023"/>
        <v>0.65517704110869723</v>
      </c>
    </row>
    <row r="890" spans="1:29" s="19" customFormat="1" ht="15.75" x14ac:dyDescent="0.2">
      <c r="A890" s="71">
        <v>1</v>
      </c>
      <c r="B890" s="82" t="s">
        <v>1084</v>
      </c>
      <c r="C890" s="83" t="s">
        <v>1085</v>
      </c>
      <c r="D890" s="339">
        <f>+D891</f>
        <v>1685667209.54</v>
      </c>
      <c r="E890" s="187">
        <f>SUM('ADICIONES  2021'!C890:I890)</f>
        <v>0</v>
      </c>
      <c r="F890" s="130"/>
      <c r="G890" s="130">
        <f t="shared" ref="G890:J890" si="1093">+G891</f>
        <v>0</v>
      </c>
      <c r="H890" s="130">
        <f t="shared" si="1093"/>
        <v>0</v>
      </c>
      <c r="I890" s="130">
        <f t="shared" si="1093"/>
        <v>0</v>
      </c>
      <c r="J890" s="130">
        <f t="shared" si="1093"/>
        <v>0</v>
      </c>
      <c r="K890" s="126">
        <f t="shared" si="1035"/>
        <v>1685667209.54</v>
      </c>
      <c r="L890" s="132">
        <f t="shared" ref="L890:Q890" si="1094">+L891</f>
        <v>56312530.270000003</v>
      </c>
      <c r="M890" s="132">
        <f t="shared" si="1094"/>
        <v>37317906.380000003</v>
      </c>
      <c r="N890" s="132">
        <f t="shared" si="1094"/>
        <v>45177503.219999999</v>
      </c>
      <c r="O890" s="132">
        <f t="shared" si="1094"/>
        <v>41121837.299999997</v>
      </c>
      <c r="P890" s="132">
        <f t="shared" si="1094"/>
        <v>49957920.059999995</v>
      </c>
      <c r="Q890" s="132">
        <f t="shared" si="1094"/>
        <v>53418107.720000006</v>
      </c>
      <c r="R890" s="78">
        <f t="shared" si="1033"/>
        <v>283305804.95000005</v>
      </c>
      <c r="S890" s="132">
        <f t="shared" ref="S890:Z890" si="1095">+S891</f>
        <v>50107493.560000002</v>
      </c>
      <c r="T890" s="130">
        <f t="shared" si="1095"/>
        <v>0</v>
      </c>
      <c r="U890" s="130">
        <f t="shared" si="1095"/>
        <v>0</v>
      </c>
      <c r="V890" s="130">
        <f t="shared" si="1095"/>
        <v>0</v>
      </c>
      <c r="W890" s="130">
        <f t="shared" si="1095"/>
        <v>0</v>
      </c>
      <c r="X890" s="130">
        <f t="shared" si="1095"/>
        <v>0</v>
      </c>
      <c r="Y890" s="132">
        <f t="shared" si="1095"/>
        <v>0</v>
      </c>
      <c r="Z890" s="130">
        <f t="shared" si="1095"/>
        <v>0</v>
      </c>
      <c r="AA890" s="78">
        <f t="shared" si="1034"/>
        <v>50107493.560000002</v>
      </c>
      <c r="AB890" s="126">
        <f t="shared" si="1022"/>
        <v>333413298.51000005</v>
      </c>
      <c r="AC890" s="180">
        <f t="shared" si="1023"/>
        <v>0.19779307364054668</v>
      </c>
    </row>
    <row r="891" spans="1:29" s="63" customFormat="1" ht="15.75" hidden="1" x14ac:dyDescent="0.2">
      <c r="A891" s="399"/>
      <c r="B891" s="81" t="s">
        <v>710</v>
      </c>
      <c r="C891" s="79" t="s">
        <v>1086</v>
      </c>
      <c r="D891" s="339">
        <f>+D892+D895</f>
        <v>1685667209.54</v>
      </c>
      <c r="E891" s="187">
        <f>SUM('ADICIONES  2021'!C891:I891)</f>
        <v>0</v>
      </c>
      <c r="F891" s="130"/>
      <c r="G891" s="130">
        <f t="shared" ref="G891:J891" si="1096">+G892+G895</f>
        <v>0</v>
      </c>
      <c r="H891" s="130">
        <f t="shared" si="1096"/>
        <v>0</v>
      </c>
      <c r="I891" s="130">
        <f t="shared" si="1096"/>
        <v>0</v>
      </c>
      <c r="J891" s="130">
        <f t="shared" si="1096"/>
        <v>0</v>
      </c>
      <c r="K891" s="78">
        <f t="shared" si="1035"/>
        <v>1685667209.54</v>
      </c>
      <c r="L891" s="130">
        <f t="shared" ref="L891:Q891" si="1097">+L892+L895</f>
        <v>56312530.270000003</v>
      </c>
      <c r="M891" s="130">
        <f t="shared" si="1097"/>
        <v>37317906.380000003</v>
      </c>
      <c r="N891" s="130">
        <f t="shared" si="1097"/>
        <v>45177503.219999999</v>
      </c>
      <c r="O891" s="130">
        <f t="shared" si="1097"/>
        <v>41121837.299999997</v>
      </c>
      <c r="P891" s="130">
        <f t="shared" si="1097"/>
        <v>49957920.059999995</v>
      </c>
      <c r="Q891" s="423">
        <f t="shared" si="1097"/>
        <v>53418107.720000006</v>
      </c>
      <c r="R891" s="78">
        <f t="shared" si="1033"/>
        <v>283305804.95000005</v>
      </c>
      <c r="S891" s="130">
        <f t="shared" ref="S891:Z891" si="1098">+S892+S895</f>
        <v>50107493.560000002</v>
      </c>
      <c r="T891" s="130">
        <f t="shared" si="1098"/>
        <v>0</v>
      </c>
      <c r="U891" s="130">
        <f t="shared" si="1098"/>
        <v>0</v>
      </c>
      <c r="V891" s="130">
        <f t="shared" si="1098"/>
        <v>0</v>
      </c>
      <c r="W891" s="130">
        <f t="shared" si="1098"/>
        <v>0</v>
      </c>
      <c r="X891" s="130">
        <f t="shared" si="1098"/>
        <v>0</v>
      </c>
      <c r="Y891" s="130">
        <f t="shared" si="1098"/>
        <v>0</v>
      </c>
      <c r="Z891" s="130">
        <f t="shared" si="1098"/>
        <v>0</v>
      </c>
      <c r="AA891" s="78">
        <f t="shared" si="1034"/>
        <v>50107493.560000002</v>
      </c>
      <c r="AB891" s="78">
        <f t="shared" si="1022"/>
        <v>333413298.51000005</v>
      </c>
      <c r="AC891" s="174">
        <f t="shared" si="1023"/>
        <v>0.19779307364054668</v>
      </c>
    </row>
    <row r="892" spans="1:29" s="63" customFormat="1" ht="31.5" hidden="1" x14ac:dyDescent="0.2">
      <c r="A892" s="399"/>
      <c r="B892" s="81" t="s">
        <v>712</v>
      </c>
      <c r="C892" s="79" t="s">
        <v>1087</v>
      </c>
      <c r="D892" s="339">
        <f>SUM(D893:D894)</f>
        <v>183049846.41000003</v>
      </c>
      <c r="E892" s="187">
        <f>SUM('ADICIONES  2021'!C892:I892)</f>
        <v>0</v>
      </c>
      <c r="F892" s="130"/>
      <c r="G892" s="130">
        <f t="shared" ref="G892:J892" si="1099">SUM(G893:G894)</f>
        <v>0</v>
      </c>
      <c r="H892" s="130">
        <f t="shared" si="1099"/>
        <v>0</v>
      </c>
      <c r="I892" s="130">
        <f t="shared" si="1099"/>
        <v>0</v>
      </c>
      <c r="J892" s="130">
        <f t="shared" si="1099"/>
        <v>0</v>
      </c>
      <c r="K892" s="78">
        <f t="shared" si="1035"/>
        <v>183049846.41000003</v>
      </c>
      <c r="L892" s="130">
        <f t="shared" ref="L892:Q892" si="1100">SUM(L893:L894)</f>
        <v>6829845.0599999996</v>
      </c>
      <c r="M892" s="130">
        <f t="shared" si="1100"/>
        <v>5955263.1699999999</v>
      </c>
      <c r="N892" s="130">
        <f t="shared" si="1100"/>
        <v>7584087.0099999998</v>
      </c>
      <c r="O892" s="130">
        <f t="shared" si="1100"/>
        <v>7598143.8200000003</v>
      </c>
      <c r="P892" s="130">
        <f t="shared" si="1100"/>
        <v>7259464.1900000004</v>
      </c>
      <c r="Q892" s="423">
        <f t="shared" si="1100"/>
        <v>5632605.29</v>
      </c>
      <c r="R892" s="78">
        <f t="shared" si="1033"/>
        <v>40859408.539999999</v>
      </c>
      <c r="S892" s="130">
        <f t="shared" ref="S892:Z892" si="1101">SUM(S893:S894)</f>
        <v>6708670.3499999996</v>
      </c>
      <c r="T892" s="130">
        <f t="shared" si="1101"/>
        <v>0</v>
      </c>
      <c r="U892" s="130">
        <f t="shared" si="1101"/>
        <v>0</v>
      </c>
      <c r="V892" s="130">
        <f t="shared" si="1101"/>
        <v>0</v>
      </c>
      <c r="W892" s="130">
        <f t="shared" si="1101"/>
        <v>0</v>
      </c>
      <c r="X892" s="130">
        <f t="shared" si="1101"/>
        <v>0</v>
      </c>
      <c r="Y892" s="130">
        <f t="shared" si="1101"/>
        <v>0</v>
      </c>
      <c r="Z892" s="130">
        <f t="shared" si="1101"/>
        <v>0</v>
      </c>
      <c r="AA892" s="78">
        <f t="shared" si="1034"/>
        <v>6708670.3499999996</v>
      </c>
      <c r="AB892" s="78">
        <f t="shared" si="1022"/>
        <v>47568078.890000001</v>
      </c>
      <c r="AC892" s="174">
        <f t="shared" si="1023"/>
        <v>0.2598640743104243</v>
      </c>
    </row>
    <row r="893" spans="1:29" ht="28.5" hidden="1" x14ac:dyDescent="0.2">
      <c r="B893" s="76" t="s">
        <v>1088</v>
      </c>
      <c r="C893" s="77" t="s">
        <v>1089</v>
      </c>
      <c r="D893" s="340">
        <v>144875151.55000001</v>
      </c>
      <c r="E893" s="188">
        <f>SUM('ADICIONES  2021'!C893:I893)</f>
        <v>0</v>
      </c>
      <c r="F893" s="131"/>
      <c r="G893" s="131"/>
      <c r="H893" s="131"/>
      <c r="I893" s="131"/>
      <c r="J893" s="131"/>
      <c r="K893" s="128">
        <f t="shared" si="1035"/>
        <v>144875151.55000001</v>
      </c>
      <c r="L893" s="131">
        <v>4323277.0599999996</v>
      </c>
      <c r="M893" s="131">
        <v>3755364.17</v>
      </c>
      <c r="N893" s="131">
        <v>5072835.01</v>
      </c>
      <c r="O893" s="131">
        <v>5274570.82</v>
      </c>
      <c r="P893" s="131">
        <v>4682118.1900000004</v>
      </c>
      <c r="Q893" s="424">
        <v>3291854.29</v>
      </c>
      <c r="R893" s="128">
        <f t="shared" si="1033"/>
        <v>26400019.539999999</v>
      </c>
      <c r="S893" s="131">
        <v>4214700.3499999996</v>
      </c>
      <c r="T893" s="131"/>
      <c r="U893" s="131"/>
      <c r="V893" s="131"/>
      <c r="W893" s="131"/>
      <c r="X893" s="131"/>
      <c r="Y893" s="131"/>
      <c r="Z893" s="131"/>
      <c r="AA893" s="128">
        <f t="shared" ref="AA893" si="1102">SUM(S893:Z893)</f>
        <v>4214700.3499999996</v>
      </c>
      <c r="AB893" s="128">
        <f t="shared" si="1022"/>
        <v>30614719.890000001</v>
      </c>
      <c r="AC893" s="175">
        <f t="shared" si="1023"/>
        <v>0.21131794902339826</v>
      </c>
    </row>
    <row r="894" spans="1:29" ht="28.5" hidden="1" x14ac:dyDescent="0.2">
      <c r="B894" s="76" t="s">
        <v>1088</v>
      </c>
      <c r="C894" s="77" t="s">
        <v>1089</v>
      </c>
      <c r="D894" s="340">
        <v>38174694.859999999</v>
      </c>
      <c r="E894" s="188">
        <f>SUM('ADICIONES  2021'!C894:I894)</f>
        <v>0</v>
      </c>
      <c r="F894" s="131"/>
      <c r="G894" s="131"/>
      <c r="H894" s="131"/>
      <c r="I894" s="131"/>
      <c r="J894" s="131"/>
      <c r="K894" s="128">
        <f t="shared" si="1035"/>
        <v>38174694.859999999</v>
      </c>
      <c r="L894" s="131">
        <v>2506568</v>
      </c>
      <c r="M894" s="131">
        <v>2199899</v>
      </c>
      <c r="N894" s="131">
        <v>2511252</v>
      </c>
      <c r="O894" s="131">
        <v>2323573</v>
      </c>
      <c r="P894" s="131">
        <v>2577346</v>
      </c>
      <c r="Q894" s="424">
        <v>2340751</v>
      </c>
      <c r="R894" s="128">
        <f t="shared" si="1033"/>
        <v>14459389</v>
      </c>
      <c r="S894" s="131">
        <v>2493970</v>
      </c>
      <c r="T894" s="131"/>
      <c r="U894" s="131"/>
      <c r="V894" s="131"/>
      <c r="W894" s="131"/>
      <c r="X894" s="131"/>
      <c r="Y894" s="131"/>
      <c r="Z894" s="131"/>
      <c r="AA894" s="128">
        <f t="shared" si="1034"/>
        <v>2493970</v>
      </c>
      <c r="AB894" s="128">
        <f t="shared" si="1022"/>
        <v>16953359</v>
      </c>
      <c r="AC894" s="175">
        <f t="shared" si="1023"/>
        <v>0.44409939783864461</v>
      </c>
    </row>
    <row r="895" spans="1:29" s="63" customFormat="1" ht="31.5" hidden="1" x14ac:dyDescent="0.2">
      <c r="A895" s="399"/>
      <c r="B895" s="81" t="s">
        <v>713</v>
      </c>
      <c r="C895" s="79" t="s">
        <v>377</v>
      </c>
      <c r="D895" s="339">
        <f>SUM(D896:D898)</f>
        <v>1502617363.1299999</v>
      </c>
      <c r="E895" s="187">
        <f>SUM('ADICIONES  2021'!C895:I895)</f>
        <v>0</v>
      </c>
      <c r="F895" s="130"/>
      <c r="G895" s="130">
        <f t="shared" ref="G895:J895" si="1103">SUM(G896:G898)</f>
        <v>0</v>
      </c>
      <c r="H895" s="130">
        <f t="shared" si="1103"/>
        <v>0</v>
      </c>
      <c r="I895" s="130">
        <f t="shared" si="1103"/>
        <v>0</v>
      </c>
      <c r="J895" s="130">
        <f t="shared" si="1103"/>
        <v>0</v>
      </c>
      <c r="K895" s="78">
        <f t="shared" si="1035"/>
        <v>1502617363.1299999</v>
      </c>
      <c r="L895" s="130">
        <f t="shared" ref="L895:Q895" si="1104">SUM(L896:L898)</f>
        <v>49482685.210000001</v>
      </c>
      <c r="M895" s="130">
        <f t="shared" si="1104"/>
        <v>31362643.210000001</v>
      </c>
      <c r="N895" s="130">
        <f t="shared" si="1104"/>
        <v>37593416.210000001</v>
      </c>
      <c r="O895" s="130">
        <f t="shared" si="1104"/>
        <v>33523693.48</v>
      </c>
      <c r="P895" s="130">
        <f t="shared" si="1104"/>
        <v>42698455.869999997</v>
      </c>
      <c r="Q895" s="423">
        <f t="shared" si="1104"/>
        <v>47785502.430000007</v>
      </c>
      <c r="R895" s="78">
        <f t="shared" si="1033"/>
        <v>242446396.41</v>
      </c>
      <c r="S895" s="130">
        <f t="shared" ref="S895:Z895" si="1105">SUM(S896:S898)</f>
        <v>43398823.210000001</v>
      </c>
      <c r="T895" s="130">
        <f t="shared" si="1105"/>
        <v>0</v>
      </c>
      <c r="U895" s="130">
        <f t="shared" si="1105"/>
        <v>0</v>
      </c>
      <c r="V895" s="130">
        <f t="shared" si="1105"/>
        <v>0</v>
      </c>
      <c r="W895" s="130">
        <f t="shared" si="1105"/>
        <v>0</v>
      </c>
      <c r="X895" s="130">
        <f t="shared" si="1105"/>
        <v>0</v>
      </c>
      <c r="Y895" s="130">
        <f t="shared" si="1105"/>
        <v>0</v>
      </c>
      <c r="Z895" s="130">
        <f t="shared" si="1105"/>
        <v>0</v>
      </c>
      <c r="AA895" s="78">
        <f t="shared" si="1034"/>
        <v>43398823.210000001</v>
      </c>
      <c r="AB895" s="78">
        <f t="shared" si="1022"/>
        <v>285845219.62</v>
      </c>
      <c r="AC895" s="174">
        <f t="shared" si="1023"/>
        <v>0.19023154306201767</v>
      </c>
    </row>
    <row r="896" spans="1:29" ht="28.5" hidden="1" x14ac:dyDescent="0.2">
      <c r="B896" s="76" t="s">
        <v>1090</v>
      </c>
      <c r="C896" s="77" t="s">
        <v>1091</v>
      </c>
      <c r="D896" s="340">
        <v>633812294.71000004</v>
      </c>
      <c r="E896" s="188">
        <f>SUM('ADICIONES  2021'!C896:I896)</f>
        <v>0</v>
      </c>
      <c r="F896" s="131"/>
      <c r="G896" s="131"/>
      <c r="H896" s="131"/>
      <c r="I896" s="131"/>
      <c r="J896" s="131"/>
      <c r="K896" s="128">
        <f t="shared" si="1035"/>
        <v>633812294.71000004</v>
      </c>
      <c r="L896" s="131">
        <v>25563094.710000001</v>
      </c>
      <c r="M896" s="131">
        <v>12874376.550000001</v>
      </c>
      <c r="N896" s="131">
        <v>14411557.800000001</v>
      </c>
      <c r="O896" s="131">
        <v>12111956.460000001</v>
      </c>
      <c r="P896" s="131">
        <v>15502177.789999999</v>
      </c>
      <c r="Q896" s="424">
        <v>14591829.59</v>
      </c>
      <c r="R896" s="128">
        <f t="shared" si="1033"/>
        <v>95054992.900000006</v>
      </c>
      <c r="S896" s="131">
        <v>15685812.49</v>
      </c>
      <c r="T896" s="131"/>
      <c r="U896" s="131"/>
      <c r="V896" s="131"/>
      <c r="W896" s="131"/>
      <c r="X896" s="131"/>
      <c r="Y896" s="131"/>
      <c r="Z896" s="131"/>
      <c r="AA896" s="128">
        <f t="shared" si="1034"/>
        <v>15685812.49</v>
      </c>
      <c r="AB896" s="128">
        <f t="shared" si="1022"/>
        <v>110740805.39</v>
      </c>
      <c r="AC896" s="175">
        <f t="shared" si="1023"/>
        <v>0.1747217690699252</v>
      </c>
    </row>
    <row r="897" spans="1:29" ht="28.5" hidden="1" x14ac:dyDescent="0.2">
      <c r="B897" s="76" t="s">
        <v>1092</v>
      </c>
      <c r="C897" s="77" t="s">
        <v>1093</v>
      </c>
      <c r="D897" s="340">
        <v>576116165.13999999</v>
      </c>
      <c r="E897" s="188">
        <f>SUM('ADICIONES  2021'!C897:I897)</f>
        <v>0</v>
      </c>
      <c r="F897" s="131"/>
      <c r="G897" s="131"/>
      <c r="H897" s="131"/>
      <c r="I897" s="131"/>
      <c r="J897" s="131"/>
      <c r="K897" s="128">
        <f t="shared" si="1035"/>
        <v>576116165.13999999</v>
      </c>
      <c r="L897" s="131">
        <v>13697602</v>
      </c>
      <c r="M897" s="131">
        <v>11695730</v>
      </c>
      <c r="N897" s="131">
        <v>13880148</v>
      </c>
      <c r="O897" s="131">
        <v>13386520</v>
      </c>
      <c r="P897" s="131">
        <v>18100060</v>
      </c>
      <c r="Q897" s="424">
        <v>23858155</v>
      </c>
      <c r="R897" s="128">
        <f t="shared" si="1033"/>
        <v>94618215</v>
      </c>
      <c r="S897" s="131">
        <v>18540175</v>
      </c>
      <c r="T897" s="131"/>
      <c r="U897" s="131"/>
      <c r="V897" s="131"/>
      <c r="W897" s="131"/>
      <c r="X897" s="131"/>
      <c r="Y897" s="131"/>
      <c r="Z897" s="131"/>
      <c r="AA897" s="128">
        <f t="shared" si="1034"/>
        <v>18540175</v>
      </c>
      <c r="AB897" s="128">
        <f t="shared" si="1022"/>
        <v>113158390</v>
      </c>
      <c r="AC897" s="175">
        <f t="shared" si="1023"/>
        <v>0.19641592589664927</v>
      </c>
    </row>
    <row r="898" spans="1:29" ht="28.5" hidden="1" x14ac:dyDescent="0.2">
      <c r="B898" s="76" t="s">
        <v>1094</v>
      </c>
      <c r="C898" s="77" t="s">
        <v>1095</v>
      </c>
      <c r="D898" s="340">
        <v>292688903.27999997</v>
      </c>
      <c r="E898" s="188">
        <f>SUM('ADICIONES  2021'!C898:I898)</f>
        <v>0</v>
      </c>
      <c r="F898" s="131"/>
      <c r="G898" s="131"/>
      <c r="H898" s="131"/>
      <c r="I898" s="131"/>
      <c r="J898" s="131"/>
      <c r="K898" s="128">
        <f t="shared" si="1035"/>
        <v>292688903.27999997</v>
      </c>
      <c r="L898" s="131">
        <v>10221988.5</v>
      </c>
      <c r="M898" s="131">
        <v>6792536.6600000001</v>
      </c>
      <c r="N898" s="131">
        <v>9301710.4100000001</v>
      </c>
      <c r="O898" s="131">
        <v>8025217.0199999996</v>
      </c>
      <c r="P898" s="131">
        <v>9096218.0800000001</v>
      </c>
      <c r="Q898" s="424">
        <v>9335517.8399999999</v>
      </c>
      <c r="R898" s="128">
        <f t="shared" si="1033"/>
        <v>52773188.510000005</v>
      </c>
      <c r="S898" s="131">
        <v>9172835.7200000007</v>
      </c>
      <c r="T898" s="131"/>
      <c r="U898" s="131"/>
      <c r="V898" s="131"/>
      <c r="W898" s="131"/>
      <c r="X898" s="131"/>
      <c r="Y898" s="131"/>
      <c r="Z898" s="131"/>
      <c r="AA898" s="128">
        <f t="shared" si="1034"/>
        <v>9172835.7200000007</v>
      </c>
      <c r="AB898" s="128">
        <f t="shared" si="1022"/>
        <v>61946024.230000004</v>
      </c>
      <c r="AC898" s="175">
        <f t="shared" si="1023"/>
        <v>0.21164459443390488</v>
      </c>
    </row>
    <row r="899" spans="1:29" s="19" customFormat="1" ht="15.75" x14ac:dyDescent="0.2">
      <c r="A899" s="71">
        <v>1</v>
      </c>
      <c r="B899" s="82" t="s">
        <v>1261</v>
      </c>
      <c r="C899" s="83" t="s">
        <v>1267</v>
      </c>
      <c r="D899" s="339">
        <f>+D900</f>
        <v>0</v>
      </c>
      <c r="E899" s="187">
        <f>SUM('ADICIONES  2021'!C899:I899)</f>
        <v>10394589074</v>
      </c>
      <c r="F899" s="130">
        <f t="shared" ref="F899:J900" si="1106">+F900</f>
        <v>0</v>
      </c>
      <c r="G899" s="130">
        <f t="shared" si="1106"/>
        <v>0</v>
      </c>
      <c r="H899" s="130">
        <f t="shared" si="1106"/>
        <v>0</v>
      </c>
      <c r="I899" s="130">
        <f t="shared" si="1106"/>
        <v>0</v>
      </c>
      <c r="J899" s="130">
        <f t="shared" si="1106"/>
        <v>0</v>
      </c>
      <c r="K899" s="126">
        <f t="shared" si="1035"/>
        <v>10394589074</v>
      </c>
      <c r="L899" s="132">
        <f t="shared" ref="L899:Q900" si="1107">+L900</f>
        <v>0</v>
      </c>
      <c r="M899" s="132">
        <f t="shared" si="1107"/>
        <v>0</v>
      </c>
      <c r="N899" s="132">
        <f t="shared" si="1107"/>
        <v>0</v>
      </c>
      <c r="O899" s="132">
        <f t="shared" si="1107"/>
        <v>0</v>
      </c>
      <c r="P899" s="132">
        <f t="shared" si="1107"/>
        <v>0</v>
      </c>
      <c r="Q899" s="132">
        <f t="shared" si="1107"/>
        <v>0</v>
      </c>
      <c r="R899" s="78">
        <f t="shared" si="1033"/>
        <v>0</v>
      </c>
      <c r="S899" s="132">
        <f t="shared" ref="S899:Z900" si="1108">+S900</f>
        <v>0</v>
      </c>
      <c r="T899" s="130">
        <f t="shared" si="1108"/>
        <v>0</v>
      </c>
      <c r="U899" s="130">
        <f t="shared" si="1108"/>
        <v>0</v>
      </c>
      <c r="V899" s="130">
        <f t="shared" si="1108"/>
        <v>0</v>
      </c>
      <c r="W899" s="130">
        <f t="shared" si="1108"/>
        <v>0</v>
      </c>
      <c r="X899" s="130">
        <f t="shared" si="1108"/>
        <v>0</v>
      </c>
      <c r="Y899" s="132">
        <f t="shared" si="1108"/>
        <v>0</v>
      </c>
      <c r="Z899" s="130">
        <f t="shared" si="1108"/>
        <v>0</v>
      </c>
      <c r="AA899" s="78">
        <f t="shared" ref="AA899:AA903" si="1109">SUM(S899:Z899)</f>
        <v>0</v>
      </c>
      <c r="AB899" s="126">
        <f t="shared" si="1022"/>
        <v>0</v>
      </c>
      <c r="AC899" s="180">
        <f t="shared" si="1023"/>
        <v>0</v>
      </c>
    </row>
    <row r="900" spans="1:29" s="63" customFormat="1" ht="31.5" hidden="1" x14ac:dyDescent="0.2">
      <c r="A900" s="399"/>
      <c r="B900" s="81" t="s">
        <v>1263</v>
      </c>
      <c r="C900" s="79" t="s">
        <v>1264</v>
      </c>
      <c r="D900" s="339">
        <f>+D901</f>
        <v>0</v>
      </c>
      <c r="E900" s="187">
        <f>SUM('ADICIONES  2021'!C900:I900)</f>
        <v>10394589074</v>
      </c>
      <c r="F900" s="130">
        <f t="shared" si="1106"/>
        <v>0</v>
      </c>
      <c r="G900" s="130">
        <f t="shared" si="1106"/>
        <v>0</v>
      </c>
      <c r="H900" s="130">
        <f t="shared" si="1106"/>
        <v>0</v>
      </c>
      <c r="I900" s="130">
        <f t="shared" si="1106"/>
        <v>0</v>
      </c>
      <c r="J900" s="130">
        <f t="shared" si="1106"/>
        <v>0</v>
      </c>
      <c r="K900" s="78">
        <f t="shared" si="1035"/>
        <v>10394589074</v>
      </c>
      <c r="L900" s="130">
        <f t="shared" si="1107"/>
        <v>0</v>
      </c>
      <c r="M900" s="130">
        <f t="shared" si="1107"/>
        <v>0</v>
      </c>
      <c r="N900" s="130">
        <f t="shared" si="1107"/>
        <v>0</v>
      </c>
      <c r="O900" s="130">
        <f t="shared" si="1107"/>
        <v>0</v>
      </c>
      <c r="P900" s="130">
        <f t="shared" si="1107"/>
        <v>0</v>
      </c>
      <c r="Q900" s="423">
        <f t="shared" si="1107"/>
        <v>0</v>
      </c>
      <c r="R900" s="78">
        <f t="shared" si="1033"/>
        <v>0</v>
      </c>
      <c r="S900" s="130">
        <f t="shared" si="1108"/>
        <v>0</v>
      </c>
      <c r="T900" s="130">
        <f t="shared" si="1108"/>
        <v>0</v>
      </c>
      <c r="U900" s="130">
        <f t="shared" si="1108"/>
        <v>0</v>
      </c>
      <c r="V900" s="130">
        <f t="shared" si="1108"/>
        <v>0</v>
      </c>
      <c r="W900" s="130">
        <f t="shared" si="1108"/>
        <v>0</v>
      </c>
      <c r="X900" s="130">
        <f t="shared" si="1108"/>
        <v>0</v>
      </c>
      <c r="Y900" s="130">
        <f t="shared" si="1108"/>
        <v>0</v>
      </c>
      <c r="Z900" s="130">
        <f t="shared" si="1108"/>
        <v>0</v>
      </c>
      <c r="AA900" s="78">
        <f t="shared" si="1109"/>
        <v>0</v>
      </c>
      <c r="AB900" s="78">
        <f t="shared" si="1022"/>
        <v>0</v>
      </c>
      <c r="AC900" s="174">
        <f t="shared" si="1023"/>
        <v>0</v>
      </c>
    </row>
    <row r="901" spans="1:29" s="63" customFormat="1" ht="15.75" hidden="1" x14ac:dyDescent="0.2">
      <c r="A901" s="399"/>
      <c r="B901" s="81" t="s">
        <v>1265</v>
      </c>
      <c r="C901" s="79" t="s">
        <v>1268</v>
      </c>
      <c r="D901" s="339">
        <f>+D902+D903</f>
        <v>0</v>
      </c>
      <c r="E901" s="187">
        <f>SUM('ADICIONES  2021'!C901:I901)</f>
        <v>10394589074</v>
      </c>
      <c r="F901" s="339">
        <f t="shared" ref="F901:J901" si="1110">+F902+F903</f>
        <v>0</v>
      </c>
      <c r="G901" s="339">
        <f t="shared" si="1110"/>
        <v>0</v>
      </c>
      <c r="H901" s="339">
        <f t="shared" si="1110"/>
        <v>0</v>
      </c>
      <c r="I901" s="339">
        <f t="shared" si="1110"/>
        <v>0</v>
      </c>
      <c r="J901" s="339">
        <f t="shared" si="1110"/>
        <v>0</v>
      </c>
      <c r="K901" s="78">
        <f t="shared" si="1035"/>
        <v>10394589074</v>
      </c>
      <c r="L901" s="339">
        <f t="shared" ref="L901:Q901" si="1111">+L902+L903</f>
        <v>0</v>
      </c>
      <c r="M901" s="339">
        <f t="shared" si="1111"/>
        <v>0</v>
      </c>
      <c r="N901" s="339">
        <f t="shared" si="1111"/>
        <v>0</v>
      </c>
      <c r="O901" s="339">
        <f t="shared" si="1111"/>
        <v>0</v>
      </c>
      <c r="P901" s="339">
        <f t="shared" si="1111"/>
        <v>0</v>
      </c>
      <c r="Q901" s="426">
        <f t="shared" si="1111"/>
        <v>0</v>
      </c>
      <c r="R901" s="78">
        <f t="shared" si="1033"/>
        <v>0</v>
      </c>
      <c r="S901" s="339">
        <f t="shared" ref="S901:Y901" si="1112">+S902+S903</f>
        <v>0</v>
      </c>
      <c r="T901" s="339">
        <f t="shared" si="1112"/>
        <v>0</v>
      </c>
      <c r="U901" s="339">
        <f t="shared" si="1112"/>
        <v>0</v>
      </c>
      <c r="V901" s="339">
        <f t="shared" si="1112"/>
        <v>0</v>
      </c>
      <c r="W901" s="339">
        <f t="shared" si="1112"/>
        <v>0</v>
      </c>
      <c r="X901" s="339">
        <f t="shared" si="1112"/>
        <v>0</v>
      </c>
      <c r="Y901" s="339">
        <f t="shared" si="1112"/>
        <v>0</v>
      </c>
      <c r="Z901" s="339">
        <f>+Z902+Z903</f>
        <v>0</v>
      </c>
      <c r="AA901" s="78">
        <f t="shared" si="1109"/>
        <v>0</v>
      </c>
      <c r="AB901" s="78">
        <f t="shared" si="1022"/>
        <v>0</v>
      </c>
      <c r="AC901" s="174">
        <f t="shared" si="1023"/>
        <v>0</v>
      </c>
    </row>
    <row r="902" spans="1:29" ht="28.5" hidden="1" x14ac:dyDescent="0.2">
      <c r="B902" s="76" t="s">
        <v>1259</v>
      </c>
      <c r="C902" s="77" t="s">
        <v>1260</v>
      </c>
      <c r="D902" s="340"/>
      <c r="E902" s="188">
        <f>SUM('ADICIONES  2021'!C902:I902)</f>
        <v>8465753196</v>
      </c>
      <c r="F902" s="131"/>
      <c r="G902" s="131"/>
      <c r="H902" s="131"/>
      <c r="I902" s="131"/>
      <c r="J902" s="131"/>
      <c r="K902" s="128">
        <f t="shared" si="1035"/>
        <v>8465753196</v>
      </c>
      <c r="L902" s="131"/>
      <c r="M902" s="131"/>
      <c r="N902" s="131"/>
      <c r="O902" s="131">
        <v>0</v>
      </c>
      <c r="P902" s="131"/>
      <c r="Q902" s="424"/>
      <c r="R902" s="128">
        <f t="shared" si="1033"/>
        <v>0</v>
      </c>
      <c r="S902" s="131">
        <v>0</v>
      </c>
      <c r="T902" s="131"/>
      <c r="U902" s="131"/>
      <c r="V902" s="131"/>
      <c r="W902" s="131"/>
      <c r="X902" s="131"/>
      <c r="Y902" s="131"/>
      <c r="Z902" s="131"/>
      <c r="AA902" s="128">
        <f t="shared" si="1109"/>
        <v>0</v>
      </c>
      <c r="AB902" s="128">
        <f t="shared" si="1022"/>
        <v>0</v>
      </c>
      <c r="AC902" s="175">
        <f t="shared" si="1023"/>
        <v>0</v>
      </c>
    </row>
    <row r="903" spans="1:29" ht="28.5" hidden="1" x14ac:dyDescent="0.2">
      <c r="B903" s="76" t="s">
        <v>1861</v>
      </c>
      <c r="C903" s="77" t="s">
        <v>1862</v>
      </c>
      <c r="D903" s="340"/>
      <c r="E903" s="188">
        <f>SUM('ADICIONES  2021'!C903:I903)</f>
        <v>1928835878</v>
      </c>
      <c r="F903" s="131"/>
      <c r="G903" s="131"/>
      <c r="H903" s="131"/>
      <c r="I903" s="131"/>
      <c r="J903" s="131"/>
      <c r="K903" s="128">
        <f t="shared" si="1035"/>
        <v>1928835878</v>
      </c>
      <c r="L903" s="131"/>
      <c r="M903" s="131"/>
      <c r="N903" s="131"/>
      <c r="O903" s="131"/>
      <c r="P903" s="131"/>
      <c r="Q903" s="424"/>
      <c r="R903" s="128">
        <f t="shared" si="1033"/>
        <v>0</v>
      </c>
      <c r="S903" s="131">
        <v>0</v>
      </c>
      <c r="T903" s="131"/>
      <c r="U903" s="131"/>
      <c r="V903" s="131"/>
      <c r="W903" s="131"/>
      <c r="X903" s="131"/>
      <c r="Y903" s="131"/>
      <c r="Z903" s="131"/>
      <c r="AA903" s="128">
        <f t="shared" si="1109"/>
        <v>0</v>
      </c>
      <c r="AB903" s="128">
        <f t="shared" si="1022"/>
        <v>0</v>
      </c>
      <c r="AC903" s="175">
        <f t="shared" si="1023"/>
        <v>0</v>
      </c>
    </row>
    <row r="904" spans="1:29" s="19" customFormat="1" ht="15.75" x14ac:dyDescent="0.2">
      <c r="A904" s="71">
        <v>1</v>
      </c>
      <c r="B904" s="82" t="s">
        <v>813</v>
      </c>
      <c r="C904" s="83" t="s">
        <v>1096</v>
      </c>
      <c r="D904" s="339">
        <f>+D905</f>
        <v>808145289.17999995</v>
      </c>
      <c r="E904" s="187">
        <f>SUM('ADICIONES  2021'!C904:I904)</f>
        <v>0</v>
      </c>
      <c r="F904" s="130"/>
      <c r="G904" s="130">
        <f t="shared" ref="G904:J904" si="1113">+G905</f>
        <v>0</v>
      </c>
      <c r="H904" s="130">
        <f t="shared" si="1113"/>
        <v>0</v>
      </c>
      <c r="I904" s="130">
        <f t="shared" si="1113"/>
        <v>0</v>
      </c>
      <c r="J904" s="130">
        <f t="shared" si="1113"/>
        <v>0</v>
      </c>
      <c r="K904" s="126">
        <f t="shared" si="1035"/>
        <v>808145289.17999995</v>
      </c>
      <c r="L904" s="132">
        <f t="shared" ref="L904:Q904" si="1114">+L905</f>
        <v>168427169</v>
      </c>
      <c r="M904" s="132">
        <f t="shared" si="1114"/>
        <v>166182718</v>
      </c>
      <c r="N904" s="132">
        <f t="shared" si="1114"/>
        <v>107275706</v>
      </c>
      <c r="O904" s="132">
        <f t="shared" si="1114"/>
        <v>117193142</v>
      </c>
      <c r="P904" s="132">
        <f t="shared" si="1114"/>
        <v>40663465</v>
      </c>
      <c r="Q904" s="132">
        <f t="shared" si="1114"/>
        <v>82656651.069999993</v>
      </c>
      <c r="R904" s="78">
        <f t="shared" si="1033"/>
        <v>682398851.06999993</v>
      </c>
      <c r="S904" s="132">
        <f t="shared" ref="S904:Z904" si="1115">+S905</f>
        <v>106899702.09999999</v>
      </c>
      <c r="T904" s="130">
        <f t="shared" si="1115"/>
        <v>0</v>
      </c>
      <c r="U904" s="130">
        <f t="shared" si="1115"/>
        <v>0</v>
      </c>
      <c r="V904" s="130">
        <f t="shared" si="1115"/>
        <v>0</v>
      </c>
      <c r="W904" s="130">
        <f t="shared" si="1115"/>
        <v>0</v>
      </c>
      <c r="X904" s="130">
        <f t="shared" si="1115"/>
        <v>0</v>
      </c>
      <c r="Y904" s="132">
        <f t="shared" si="1115"/>
        <v>0</v>
      </c>
      <c r="Z904" s="130">
        <f t="shared" si="1115"/>
        <v>0</v>
      </c>
      <c r="AA904" s="78">
        <f t="shared" si="1034"/>
        <v>106899702.09999999</v>
      </c>
      <c r="AB904" s="126">
        <f t="shared" si="1022"/>
        <v>789298553.16999996</v>
      </c>
      <c r="AC904" s="180">
        <f t="shared" si="1023"/>
        <v>0.97667902509321913</v>
      </c>
    </row>
    <row r="905" spans="1:29" s="19" customFormat="1" ht="15.75" hidden="1" x14ac:dyDescent="0.2">
      <c r="A905" s="71"/>
      <c r="B905" s="82" t="s">
        <v>1097</v>
      </c>
      <c r="C905" s="83" t="s">
        <v>1098</v>
      </c>
      <c r="D905" s="339">
        <f>+D906+D909</f>
        <v>808145289.17999995</v>
      </c>
      <c r="E905" s="187">
        <f>SUM('ADICIONES  2021'!C905:I905)</f>
        <v>0</v>
      </c>
      <c r="F905" s="130"/>
      <c r="G905" s="130">
        <f t="shared" ref="G905:J905" si="1116">+G906+G909</f>
        <v>0</v>
      </c>
      <c r="H905" s="130">
        <f t="shared" si="1116"/>
        <v>0</v>
      </c>
      <c r="I905" s="130">
        <f t="shared" si="1116"/>
        <v>0</v>
      </c>
      <c r="J905" s="130">
        <f t="shared" si="1116"/>
        <v>0</v>
      </c>
      <c r="K905" s="126">
        <f t="shared" si="1035"/>
        <v>808145289.17999995</v>
      </c>
      <c r="L905" s="132">
        <f t="shared" ref="L905:Q905" si="1117">+L906+L909</f>
        <v>168427169</v>
      </c>
      <c r="M905" s="132">
        <f t="shared" si="1117"/>
        <v>166182718</v>
      </c>
      <c r="N905" s="132">
        <f t="shared" si="1117"/>
        <v>107275706</v>
      </c>
      <c r="O905" s="132">
        <f t="shared" si="1117"/>
        <v>117193142</v>
      </c>
      <c r="P905" s="132">
        <f t="shared" si="1117"/>
        <v>40663465</v>
      </c>
      <c r="Q905" s="424">
        <f t="shared" si="1117"/>
        <v>82656651.069999993</v>
      </c>
      <c r="R905" s="78">
        <f t="shared" si="1033"/>
        <v>682398851.06999993</v>
      </c>
      <c r="S905" s="132">
        <f t="shared" ref="S905:Z905" si="1118">+S906+S909</f>
        <v>106899702.09999999</v>
      </c>
      <c r="T905" s="130">
        <f t="shared" si="1118"/>
        <v>0</v>
      </c>
      <c r="U905" s="130">
        <f t="shared" si="1118"/>
        <v>0</v>
      </c>
      <c r="V905" s="130">
        <f t="shared" si="1118"/>
        <v>0</v>
      </c>
      <c r="W905" s="130">
        <f t="shared" si="1118"/>
        <v>0</v>
      </c>
      <c r="X905" s="130">
        <f t="shared" si="1118"/>
        <v>0</v>
      </c>
      <c r="Y905" s="132">
        <f t="shared" si="1118"/>
        <v>0</v>
      </c>
      <c r="Z905" s="130">
        <f t="shared" si="1118"/>
        <v>0</v>
      </c>
      <c r="AA905" s="78">
        <f t="shared" ref="AA905" si="1119">SUM(S905:Z905)</f>
        <v>106899702.09999999</v>
      </c>
      <c r="AB905" s="126">
        <f t="shared" si="1022"/>
        <v>789298553.16999996</v>
      </c>
      <c r="AC905" s="180">
        <f t="shared" si="1023"/>
        <v>0.97667902509321913</v>
      </c>
    </row>
    <row r="906" spans="1:29" s="63" customFormat="1" ht="15.75" hidden="1" x14ac:dyDescent="0.2">
      <c r="A906" s="399"/>
      <c r="B906" s="81" t="s">
        <v>1099</v>
      </c>
      <c r="C906" s="79" t="s">
        <v>1100</v>
      </c>
      <c r="D906" s="339">
        <f>+D907</f>
        <v>567248394.77999997</v>
      </c>
      <c r="E906" s="187">
        <f>SUM('ADICIONES  2021'!C906:I906)</f>
        <v>0</v>
      </c>
      <c r="F906" s="130"/>
      <c r="G906" s="130">
        <f t="shared" ref="G906:J907" si="1120">+G907</f>
        <v>0</v>
      </c>
      <c r="H906" s="130">
        <f t="shared" si="1120"/>
        <v>0</v>
      </c>
      <c r="I906" s="130">
        <f t="shared" si="1120"/>
        <v>0</v>
      </c>
      <c r="J906" s="130">
        <f t="shared" si="1120"/>
        <v>0</v>
      </c>
      <c r="K906" s="78">
        <f t="shared" si="1035"/>
        <v>567248394.77999997</v>
      </c>
      <c r="L906" s="130">
        <f t="shared" ref="L906:Q907" si="1121">+L907</f>
        <v>99831514</v>
      </c>
      <c r="M906" s="130">
        <f t="shared" si="1121"/>
        <v>107661872</v>
      </c>
      <c r="N906" s="130">
        <f t="shared" si="1121"/>
        <v>77081769</v>
      </c>
      <c r="O906" s="130">
        <f t="shared" si="1121"/>
        <v>81220882</v>
      </c>
      <c r="P906" s="130">
        <f t="shared" si="1121"/>
        <v>0</v>
      </c>
      <c r="Q906" s="423">
        <f t="shared" si="1121"/>
        <v>49165591.07</v>
      </c>
      <c r="R906" s="78">
        <f t="shared" si="1033"/>
        <v>414961628.06999999</v>
      </c>
      <c r="S906" s="130">
        <f t="shared" ref="S906:Z907" si="1122">+S907</f>
        <v>74059641.099999994</v>
      </c>
      <c r="T906" s="130">
        <f t="shared" si="1122"/>
        <v>0</v>
      </c>
      <c r="U906" s="130">
        <f t="shared" si="1122"/>
        <v>0</v>
      </c>
      <c r="V906" s="130">
        <f t="shared" si="1122"/>
        <v>0</v>
      </c>
      <c r="W906" s="130">
        <f t="shared" si="1122"/>
        <v>0</v>
      </c>
      <c r="X906" s="130">
        <f t="shared" si="1122"/>
        <v>0</v>
      </c>
      <c r="Y906" s="130">
        <f t="shared" si="1122"/>
        <v>0</v>
      </c>
      <c r="Z906" s="130">
        <f t="shared" si="1122"/>
        <v>0</v>
      </c>
      <c r="AA906" s="78">
        <f t="shared" si="1034"/>
        <v>74059641.099999994</v>
      </c>
      <c r="AB906" s="78">
        <f t="shared" si="1022"/>
        <v>489021269.16999996</v>
      </c>
      <c r="AC906" s="174">
        <f t="shared" si="1023"/>
        <v>0.86209370298819554</v>
      </c>
    </row>
    <row r="907" spans="1:29" s="63" customFormat="1" ht="31.5" hidden="1" x14ac:dyDescent="0.2">
      <c r="A907" s="399"/>
      <c r="B907" s="81" t="s">
        <v>1101</v>
      </c>
      <c r="C907" s="79" t="s">
        <v>1102</v>
      </c>
      <c r="D907" s="339">
        <f>+D908</f>
        <v>567248394.77999997</v>
      </c>
      <c r="E907" s="187">
        <f>SUM('ADICIONES  2021'!C907:I907)</f>
        <v>0</v>
      </c>
      <c r="F907" s="130"/>
      <c r="G907" s="130">
        <f t="shared" si="1120"/>
        <v>0</v>
      </c>
      <c r="H907" s="130">
        <f t="shared" si="1120"/>
        <v>0</v>
      </c>
      <c r="I907" s="130">
        <f t="shared" si="1120"/>
        <v>0</v>
      </c>
      <c r="J907" s="130">
        <f t="shared" si="1120"/>
        <v>0</v>
      </c>
      <c r="K907" s="78">
        <f t="shared" si="1035"/>
        <v>567248394.77999997</v>
      </c>
      <c r="L907" s="130">
        <f t="shared" si="1121"/>
        <v>99831514</v>
      </c>
      <c r="M907" s="130">
        <f t="shared" si="1121"/>
        <v>107661872</v>
      </c>
      <c r="N907" s="130">
        <f t="shared" si="1121"/>
        <v>77081769</v>
      </c>
      <c r="O907" s="130">
        <f t="shared" si="1121"/>
        <v>81220882</v>
      </c>
      <c r="P907" s="130">
        <f t="shared" si="1121"/>
        <v>0</v>
      </c>
      <c r="Q907" s="423">
        <f t="shared" si="1121"/>
        <v>49165591.07</v>
      </c>
      <c r="R907" s="78">
        <f t="shared" si="1033"/>
        <v>414961628.06999999</v>
      </c>
      <c r="S907" s="130">
        <f t="shared" si="1122"/>
        <v>74059641.099999994</v>
      </c>
      <c r="T907" s="130">
        <f t="shared" si="1122"/>
        <v>0</v>
      </c>
      <c r="U907" s="130">
        <f t="shared" si="1122"/>
        <v>0</v>
      </c>
      <c r="V907" s="130">
        <f t="shared" si="1122"/>
        <v>0</v>
      </c>
      <c r="W907" s="130">
        <f t="shared" si="1122"/>
        <v>0</v>
      </c>
      <c r="X907" s="130">
        <f t="shared" si="1122"/>
        <v>0</v>
      </c>
      <c r="Y907" s="130">
        <f t="shared" si="1122"/>
        <v>0</v>
      </c>
      <c r="Z907" s="130">
        <f t="shared" si="1122"/>
        <v>0</v>
      </c>
      <c r="AA907" s="78">
        <f t="shared" si="1034"/>
        <v>74059641.099999994</v>
      </c>
      <c r="AB907" s="78">
        <f t="shared" si="1022"/>
        <v>489021269.16999996</v>
      </c>
      <c r="AC907" s="174">
        <f t="shared" si="1023"/>
        <v>0.86209370298819554</v>
      </c>
    </row>
    <row r="908" spans="1:29" ht="14.25" hidden="1" x14ac:dyDescent="0.2">
      <c r="B908" s="76" t="s">
        <v>1103</v>
      </c>
      <c r="C908" s="77" t="s">
        <v>378</v>
      </c>
      <c r="D908" s="340">
        <v>567248394.77999997</v>
      </c>
      <c r="E908" s="188">
        <f>SUM('ADICIONES  2021'!C908:I908)</f>
        <v>0</v>
      </c>
      <c r="F908" s="131"/>
      <c r="G908" s="131"/>
      <c r="H908" s="131"/>
      <c r="I908" s="131"/>
      <c r="J908" s="131"/>
      <c r="K908" s="128">
        <f t="shared" si="1035"/>
        <v>567248394.77999997</v>
      </c>
      <c r="L908" s="131">
        <v>99831514</v>
      </c>
      <c r="M908" s="131">
        <v>107661872</v>
      </c>
      <c r="N908" s="131">
        <v>77081769</v>
      </c>
      <c r="O908" s="131">
        <v>81220882</v>
      </c>
      <c r="P908" s="131"/>
      <c r="Q908" s="424">
        <v>49165591.07</v>
      </c>
      <c r="R908" s="128">
        <f t="shared" si="1033"/>
        <v>414961628.06999999</v>
      </c>
      <c r="S908" s="131">
        <v>74059641.099999994</v>
      </c>
      <c r="T908" s="131"/>
      <c r="U908" s="131"/>
      <c r="V908" s="131"/>
      <c r="W908" s="131"/>
      <c r="X908" s="131"/>
      <c r="Y908" s="131"/>
      <c r="Z908" s="131"/>
      <c r="AA908" s="128">
        <f t="shared" si="1034"/>
        <v>74059641.099999994</v>
      </c>
      <c r="AB908" s="128">
        <f t="shared" si="1022"/>
        <v>489021269.16999996</v>
      </c>
      <c r="AC908" s="175">
        <f t="shared" si="1023"/>
        <v>0.86209370298819554</v>
      </c>
    </row>
    <row r="909" spans="1:29" s="63" customFormat="1" ht="15.75" hidden="1" x14ac:dyDescent="0.2">
      <c r="A909" s="399"/>
      <c r="B909" s="81" t="s">
        <v>1104</v>
      </c>
      <c r="C909" s="79" t="s">
        <v>1105</v>
      </c>
      <c r="D909" s="339">
        <f>+D910</f>
        <v>240896894.40000001</v>
      </c>
      <c r="E909" s="187">
        <f>SUM('ADICIONES  2021'!C909:I909)</f>
        <v>0</v>
      </c>
      <c r="F909" s="130"/>
      <c r="G909" s="130">
        <f t="shared" ref="G909:J910" si="1123">+G910</f>
        <v>0</v>
      </c>
      <c r="H909" s="130">
        <f t="shared" si="1123"/>
        <v>0</v>
      </c>
      <c r="I909" s="130">
        <f t="shared" si="1123"/>
        <v>0</v>
      </c>
      <c r="J909" s="130">
        <f t="shared" si="1123"/>
        <v>0</v>
      </c>
      <c r="K909" s="78">
        <f t="shared" si="1035"/>
        <v>240896894.40000001</v>
      </c>
      <c r="L909" s="130">
        <f t="shared" ref="L909:Q910" si="1124">+L910</f>
        <v>68595655</v>
      </c>
      <c r="M909" s="130">
        <f t="shared" si="1124"/>
        <v>58520846</v>
      </c>
      <c r="N909" s="130">
        <f t="shared" si="1124"/>
        <v>30193937</v>
      </c>
      <c r="O909" s="130">
        <f t="shared" si="1124"/>
        <v>35972260</v>
      </c>
      <c r="P909" s="130">
        <f t="shared" si="1124"/>
        <v>40663465</v>
      </c>
      <c r="Q909" s="423">
        <f t="shared" si="1124"/>
        <v>33491060</v>
      </c>
      <c r="R909" s="78">
        <f t="shared" si="1033"/>
        <v>267437223</v>
      </c>
      <c r="S909" s="130">
        <f t="shared" ref="S909:Z910" si="1125">+S910</f>
        <v>32840061</v>
      </c>
      <c r="T909" s="130">
        <f t="shared" si="1125"/>
        <v>0</v>
      </c>
      <c r="U909" s="130">
        <f t="shared" si="1125"/>
        <v>0</v>
      </c>
      <c r="V909" s="130">
        <f t="shared" si="1125"/>
        <v>0</v>
      </c>
      <c r="W909" s="130">
        <f t="shared" si="1125"/>
        <v>0</v>
      </c>
      <c r="X909" s="130">
        <f t="shared" si="1125"/>
        <v>0</v>
      </c>
      <c r="Y909" s="130">
        <f t="shared" si="1125"/>
        <v>0</v>
      </c>
      <c r="Z909" s="130">
        <f t="shared" si="1125"/>
        <v>0</v>
      </c>
      <c r="AA909" s="78">
        <f t="shared" si="1034"/>
        <v>32840061</v>
      </c>
      <c r="AB909" s="78">
        <f t="shared" si="1022"/>
        <v>300277284</v>
      </c>
      <c r="AC909" s="174">
        <f t="shared" si="1023"/>
        <v>1.2464971154895885</v>
      </c>
    </row>
    <row r="910" spans="1:29" s="63" customFormat="1" ht="31.5" hidden="1" x14ac:dyDescent="0.2">
      <c r="A910" s="399"/>
      <c r="B910" s="81" t="s">
        <v>1106</v>
      </c>
      <c r="C910" s="79" t="s">
        <v>1107</v>
      </c>
      <c r="D910" s="339">
        <f>+D911</f>
        <v>240896894.40000001</v>
      </c>
      <c r="E910" s="187">
        <f>SUM('ADICIONES  2021'!C910:I910)</f>
        <v>0</v>
      </c>
      <c r="F910" s="130"/>
      <c r="G910" s="130">
        <f t="shared" si="1123"/>
        <v>0</v>
      </c>
      <c r="H910" s="130">
        <f t="shared" si="1123"/>
        <v>0</v>
      </c>
      <c r="I910" s="130">
        <f t="shared" si="1123"/>
        <v>0</v>
      </c>
      <c r="J910" s="130">
        <f t="shared" si="1123"/>
        <v>0</v>
      </c>
      <c r="K910" s="78">
        <f t="shared" si="1035"/>
        <v>240896894.40000001</v>
      </c>
      <c r="L910" s="130">
        <f t="shared" si="1124"/>
        <v>68595655</v>
      </c>
      <c r="M910" s="130">
        <f t="shared" si="1124"/>
        <v>58520846</v>
      </c>
      <c r="N910" s="130">
        <f t="shared" si="1124"/>
        <v>30193937</v>
      </c>
      <c r="O910" s="130">
        <f t="shared" si="1124"/>
        <v>35972260</v>
      </c>
      <c r="P910" s="130">
        <f t="shared" si="1124"/>
        <v>40663465</v>
      </c>
      <c r="Q910" s="423">
        <f t="shared" si="1124"/>
        <v>33491060</v>
      </c>
      <c r="R910" s="78">
        <f t="shared" si="1033"/>
        <v>267437223</v>
      </c>
      <c r="S910" s="130">
        <f t="shared" si="1125"/>
        <v>32840061</v>
      </c>
      <c r="T910" s="130">
        <f t="shared" si="1125"/>
        <v>0</v>
      </c>
      <c r="U910" s="130">
        <f t="shared" si="1125"/>
        <v>0</v>
      </c>
      <c r="V910" s="130">
        <f t="shared" si="1125"/>
        <v>0</v>
      </c>
      <c r="W910" s="130">
        <f t="shared" si="1125"/>
        <v>0</v>
      </c>
      <c r="X910" s="130">
        <f t="shared" si="1125"/>
        <v>0</v>
      </c>
      <c r="Y910" s="130">
        <f t="shared" si="1125"/>
        <v>0</v>
      </c>
      <c r="Z910" s="130">
        <f t="shared" si="1125"/>
        <v>0</v>
      </c>
      <c r="AA910" s="78">
        <f t="shared" ref="AA910" si="1126">SUM(S910:Z910)</f>
        <v>32840061</v>
      </c>
      <c r="AB910" s="78">
        <f t="shared" si="1022"/>
        <v>300277284</v>
      </c>
      <c r="AC910" s="174">
        <f t="shared" si="1023"/>
        <v>1.2464971154895885</v>
      </c>
    </row>
    <row r="911" spans="1:29" ht="14.25" hidden="1" x14ac:dyDescent="0.2">
      <c r="B911" s="76" t="s">
        <v>1108</v>
      </c>
      <c r="C911" s="77" t="s">
        <v>1109</v>
      </c>
      <c r="D911" s="340">
        <v>240896894.40000001</v>
      </c>
      <c r="E911" s="188">
        <f>SUM('ADICIONES  2021'!C911:I911)</f>
        <v>0</v>
      </c>
      <c r="F911" s="131"/>
      <c r="G911" s="131"/>
      <c r="H911" s="131"/>
      <c r="I911" s="131"/>
      <c r="J911" s="131"/>
      <c r="K911" s="128">
        <f t="shared" si="1035"/>
        <v>240896894.40000001</v>
      </c>
      <c r="L911" s="131">
        <v>68595655</v>
      </c>
      <c r="M911" s="131">
        <v>58520846</v>
      </c>
      <c r="N911" s="131">
        <v>30193937</v>
      </c>
      <c r="O911" s="131">
        <v>35972260</v>
      </c>
      <c r="P911" s="131">
        <v>40663465</v>
      </c>
      <c r="Q911" s="424">
        <v>33491060</v>
      </c>
      <c r="R911" s="128">
        <f t="shared" si="1033"/>
        <v>267437223</v>
      </c>
      <c r="S911" s="131">
        <v>32840061</v>
      </c>
      <c r="T911" s="131"/>
      <c r="U911" s="131"/>
      <c r="V911" s="131"/>
      <c r="W911" s="131"/>
      <c r="X911" s="131"/>
      <c r="Y911" s="131"/>
      <c r="Z911" s="131"/>
      <c r="AA911" s="128">
        <f t="shared" si="1034"/>
        <v>32840061</v>
      </c>
      <c r="AB911" s="128">
        <f t="shared" si="1022"/>
        <v>300277284</v>
      </c>
      <c r="AC911" s="175">
        <f t="shared" si="1023"/>
        <v>1.2464971154895885</v>
      </c>
    </row>
    <row r="912" spans="1:29" s="19" customFormat="1" ht="15.75" x14ac:dyDescent="0.2">
      <c r="A912" s="71">
        <v>1</v>
      </c>
      <c r="B912" s="82" t="s">
        <v>822</v>
      </c>
      <c r="C912" s="83" t="s">
        <v>1242</v>
      </c>
      <c r="D912" s="339">
        <f>+D913</f>
        <v>0</v>
      </c>
      <c r="E912" s="187">
        <f>SUM('ADICIONES  2021'!C912:I912)</f>
        <v>21229094602.32</v>
      </c>
      <c r="F912" s="339">
        <f t="shared" ref="F912:J913" si="1127">+F913</f>
        <v>0</v>
      </c>
      <c r="G912" s="339">
        <f t="shared" si="1127"/>
        <v>0</v>
      </c>
      <c r="H912" s="339">
        <f t="shared" si="1127"/>
        <v>0</v>
      </c>
      <c r="I912" s="339">
        <f t="shared" si="1127"/>
        <v>0</v>
      </c>
      <c r="J912" s="339">
        <f t="shared" si="1127"/>
        <v>0</v>
      </c>
      <c r="K912" s="126">
        <f t="shared" si="1035"/>
        <v>21229094602.32</v>
      </c>
      <c r="L912" s="388">
        <f t="shared" ref="L912:Q913" si="1128">+L913</f>
        <v>0</v>
      </c>
      <c r="M912" s="388">
        <f t="shared" si="1128"/>
        <v>0</v>
      </c>
      <c r="N912" s="388">
        <f t="shared" si="1128"/>
        <v>288000000</v>
      </c>
      <c r="O912" s="388">
        <f t="shared" si="1128"/>
        <v>0</v>
      </c>
      <c r="P912" s="388">
        <f t="shared" si="1128"/>
        <v>20941094602.32</v>
      </c>
      <c r="Q912" s="388">
        <f t="shared" si="1128"/>
        <v>0</v>
      </c>
      <c r="R912" s="78">
        <f t="shared" si="1033"/>
        <v>21229094602.32</v>
      </c>
      <c r="S912" s="388">
        <f t="shared" ref="S912:Z913" si="1129">+S913</f>
        <v>0</v>
      </c>
      <c r="T912" s="339">
        <f t="shared" si="1129"/>
        <v>0</v>
      </c>
      <c r="U912" s="339">
        <f t="shared" si="1129"/>
        <v>0</v>
      </c>
      <c r="V912" s="339">
        <f t="shared" si="1129"/>
        <v>0</v>
      </c>
      <c r="W912" s="339">
        <f t="shared" si="1129"/>
        <v>0</v>
      </c>
      <c r="X912" s="339">
        <f t="shared" si="1129"/>
        <v>0</v>
      </c>
      <c r="Y912" s="388">
        <f t="shared" si="1129"/>
        <v>0</v>
      </c>
      <c r="Z912" s="339">
        <f t="shared" si="1129"/>
        <v>0</v>
      </c>
      <c r="AA912" s="78">
        <f t="shared" ref="AA912:AA975" si="1130">SUM(S912:Z912)</f>
        <v>0</v>
      </c>
      <c r="AB912" s="126">
        <f t="shared" si="1022"/>
        <v>21229094602.32</v>
      </c>
      <c r="AC912" s="180">
        <f t="shared" si="1023"/>
        <v>1</v>
      </c>
    </row>
    <row r="913" spans="1:29" s="63" customFormat="1" ht="15.75" hidden="1" x14ac:dyDescent="0.2">
      <c r="A913" s="399"/>
      <c r="B913" s="81" t="s">
        <v>823</v>
      </c>
      <c r="C913" s="79" t="s">
        <v>1243</v>
      </c>
      <c r="D913" s="339">
        <f>+D914</f>
        <v>0</v>
      </c>
      <c r="E913" s="187">
        <f>SUM('ADICIONES  2021'!C913:I913)</f>
        <v>21229094602.32</v>
      </c>
      <c r="F913" s="339">
        <f t="shared" si="1127"/>
        <v>0</v>
      </c>
      <c r="G913" s="339">
        <f t="shared" si="1127"/>
        <v>0</v>
      </c>
      <c r="H913" s="339">
        <f t="shared" si="1127"/>
        <v>0</v>
      </c>
      <c r="I913" s="339">
        <f t="shared" si="1127"/>
        <v>0</v>
      </c>
      <c r="J913" s="339">
        <f t="shared" si="1127"/>
        <v>0</v>
      </c>
      <c r="K913" s="78">
        <f t="shared" si="1035"/>
        <v>21229094602.32</v>
      </c>
      <c r="L913" s="339">
        <f t="shared" si="1128"/>
        <v>0</v>
      </c>
      <c r="M913" s="339">
        <f t="shared" si="1128"/>
        <v>0</v>
      </c>
      <c r="N913" s="339">
        <f t="shared" si="1128"/>
        <v>288000000</v>
      </c>
      <c r="O913" s="339">
        <f t="shared" si="1128"/>
        <v>0</v>
      </c>
      <c r="P913" s="339">
        <f t="shared" si="1128"/>
        <v>20941094602.32</v>
      </c>
      <c r="Q913" s="426">
        <f t="shared" si="1128"/>
        <v>0</v>
      </c>
      <c r="R913" s="78">
        <f t="shared" si="1033"/>
        <v>21229094602.32</v>
      </c>
      <c r="S913" s="339">
        <f t="shared" si="1129"/>
        <v>0</v>
      </c>
      <c r="T913" s="339">
        <f t="shared" si="1129"/>
        <v>0</v>
      </c>
      <c r="U913" s="339">
        <f t="shared" si="1129"/>
        <v>0</v>
      </c>
      <c r="V913" s="339">
        <f t="shared" si="1129"/>
        <v>0</v>
      </c>
      <c r="W913" s="339">
        <f t="shared" si="1129"/>
        <v>0</v>
      </c>
      <c r="X913" s="339">
        <f t="shared" si="1129"/>
        <v>0</v>
      </c>
      <c r="Y913" s="339">
        <f t="shared" si="1129"/>
        <v>0</v>
      </c>
      <c r="Z913" s="339">
        <f t="shared" si="1129"/>
        <v>0</v>
      </c>
      <c r="AA913" s="78">
        <f t="shared" si="1130"/>
        <v>0</v>
      </c>
      <c r="AB913" s="78">
        <f t="shared" si="1022"/>
        <v>21229094602.32</v>
      </c>
      <c r="AC913" s="174">
        <f t="shared" si="1023"/>
        <v>1</v>
      </c>
    </row>
    <row r="914" spans="1:29" s="63" customFormat="1" ht="15.75" hidden="1" x14ac:dyDescent="0.2">
      <c r="A914" s="399"/>
      <c r="B914" s="81" t="s">
        <v>1123</v>
      </c>
      <c r="C914" s="79" t="s">
        <v>1244</v>
      </c>
      <c r="D914" s="339">
        <f>SUM(D915:D962)</f>
        <v>0</v>
      </c>
      <c r="E914" s="187">
        <f>SUM('ADICIONES  2021'!C914:I914)</f>
        <v>21229094602.32</v>
      </c>
      <c r="F914" s="339">
        <f t="shared" ref="F914:J914" si="1131">SUM(F915:F962)</f>
        <v>0</v>
      </c>
      <c r="G914" s="339">
        <f t="shared" si="1131"/>
        <v>0</v>
      </c>
      <c r="H914" s="339">
        <f t="shared" si="1131"/>
        <v>0</v>
      </c>
      <c r="I914" s="339">
        <f t="shared" si="1131"/>
        <v>0</v>
      </c>
      <c r="J914" s="339">
        <f t="shared" si="1131"/>
        <v>0</v>
      </c>
      <c r="K914" s="78">
        <f t="shared" si="1035"/>
        <v>21229094602.32</v>
      </c>
      <c r="L914" s="339">
        <f t="shared" ref="L914:Q914" si="1132">SUM(L915:L962)</f>
        <v>0</v>
      </c>
      <c r="M914" s="339">
        <f t="shared" si="1132"/>
        <v>0</v>
      </c>
      <c r="N914" s="339">
        <f t="shared" si="1132"/>
        <v>288000000</v>
      </c>
      <c r="O914" s="339">
        <f t="shared" si="1132"/>
        <v>0</v>
      </c>
      <c r="P914" s="339">
        <f t="shared" si="1132"/>
        <v>20941094602.32</v>
      </c>
      <c r="Q914" s="426">
        <f t="shared" si="1132"/>
        <v>0</v>
      </c>
      <c r="R914" s="78">
        <f t="shared" si="1033"/>
        <v>21229094602.32</v>
      </c>
      <c r="S914" s="339">
        <f t="shared" ref="S914:Z914" si="1133">SUM(S915:S962)</f>
        <v>0</v>
      </c>
      <c r="T914" s="339">
        <f t="shared" si="1133"/>
        <v>0</v>
      </c>
      <c r="U914" s="339">
        <f t="shared" si="1133"/>
        <v>0</v>
      </c>
      <c r="V914" s="339">
        <f t="shared" si="1133"/>
        <v>0</v>
      </c>
      <c r="W914" s="339">
        <f t="shared" si="1133"/>
        <v>0</v>
      </c>
      <c r="X914" s="339">
        <f t="shared" si="1133"/>
        <v>0</v>
      </c>
      <c r="Y914" s="339">
        <f t="shared" si="1133"/>
        <v>0</v>
      </c>
      <c r="Z914" s="339">
        <f t="shared" si="1133"/>
        <v>0</v>
      </c>
      <c r="AA914" s="78">
        <f t="shared" si="1130"/>
        <v>0</v>
      </c>
      <c r="AB914" s="78">
        <f t="shared" si="1022"/>
        <v>21229094602.32</v>
      </c>
      <c r="AC914" s="174">
        <f t="shared" si="1023"/>
        <v>1</v>
      </c>
    </row>
    <row r="915" spans="1:29" s="63" customFormat="1" ht="15.75" hidden="1" x14ac:dyDescent="0.2">
      <c r="A915" s="399"/>
      <c r="B915" s="76" t="s">
        <v>1245</v>
      </c>
      <c r="C915" s="77" t="s">
        <v>1844</v>
      </c>
      <c r="D915" s="339"/>
      <c r="E915" s="188">
        <f>SUM('ADICIONES  2021'!C915:I915)</f>
        <v>2077475000</v>
      </c>
      <c r="F915" s="130"/>
      <c r="G915" s="130"/>
      <c r="H915" s="130"/>
      <c r="I915" s="130"/>
      <c r="J915" s="130"/>
      <c r="K915" s="128">
        <f t="shared" si="1035"/>
        <v>2077475000</v>
      </c>
      <c r="L915" s="130"/>
      <c r="M915" s="130"/>
      <c r="N915" s="130"/>
      <c r="O915" s="130"/>
      <c r="P915" s="132">
        <v>2077475000</v>
      </c>
      <c r="Q915" s="423"/>
      <c r="R915" s="128">
        <f t="shared" si="1033"/>
        <v>2077475000</v>
      </c>
      <c r="S915" s="130"/>
      <c r="T915" s="130"/>
      <c r="U915" s="130"/>
      <c r="V915" s="130"/>
      <c r="W915" s="130"/>
      <c r="X915" s="130"/>
      <c r="Y915" s="130"/>
      <c r="Z915" s="130"/>
      <c r="AA915" s="128">
        <f t="shared" si="1130"/>
        <v>0</v>
      </c>
      <c r="AB915" s="128">
        <f t="shared" ref="AB915:AB978" si="1134">+R915+AA915</f>
        <v>2077475000</v>
      </c>
      <c r="AC915" s="175">
        <f t="shared" ref="AC915:AC917" si="1135">+AB915/K915</f>
        <v>1</v>
      </c>
    </row>
    <row r="916" spans="1:29" s="63" customFormat="1" ht="15.75" hidden="1" x14ac:dyDescent="0.2">
      <c r="A916" s="399"/>
      <c r="B916" s="76" t="s">
        <v>1245</v>
      </c>
      <c r="C916" s="77" t="s">
        <v>1844</v>
      </c>
      <c r="D916" s="339"/>
      <c r="E916" s="188">
        <f>SUM('ADICIONES  2021'!C916:I916)</f>
        <v>31470991.93</v>
      </c>
      <c r="F916" s="130"/>
      <c r="G916" s="130"/>
      <c r="H916" s="130"/>
      <c r="I916" s="130"/>
      <c r="J916" s="130"/>
      <c r="K916" s="128">
        <f t="shared" si="1035"/>
        <v>31470991.93</v>
      </c>
      <c r="L916" s="130"/>
      <c r="M916" s="130"/>
      <c r="N916" s="130"/>
      <c r="O916" s="130"/>
      <c r="P916" s="132">
        <v>31470991.93</v>
      </c>
      <c r="Q916" s="423"/>
      <c r="R916" s="128">
        <f t="shared" si="1033"/>
        <v>31470991.93</v>
      </c>
      <c r="S916" s="130"/>
      <c r="T916" s="130"/>
      <c r="U916" s="130"/>
      <c r="V916" s="130"/>
      <c r="W916" s="130"/>
      <c r="X916" s="130"/>
      <c r="Y916" s="130"/>
      <c r="Z916" s="130"/>
      <c r="AA916" s="128">
        <f t="shared" si="1130"/>
        <v>0</v>
      </c>
      <c r="AB916" s="128">
        <f t="shared" si="1134"/>
        <v>31470991.93</v>
      </c>
      <c r="AC916" s="175">
        <f t="shared" si="1135"/>
        <v>1</v>
      </c>
    </row>
    <row r="917" spans="1:29" s="63" customFormat="1" ht="15.75" hidden="1" x14ac:dyDescent="0.2">
      <c r="A917" s="399"/>
      <c r="B917" s="76" t="s">
        <v>1245</v>
      </c>
      <c r="C917" s="77" t="s">
        <v>1246</v>
      </c>
      <c r="D917" s="339"/>
      <c r="E917" s="188">
        <f>SUM('ADICIONES  2021'!C917:I917)</f>
        <v>1759084388.54</v>
      </c>
      <c r="F917" s="130"/>
      <c r="G917" s="130"/>
      <c r="H917" s="130"/>
      <c r="I917" s="130"/>
      <c r="J917" s="130"/>
      <c r="K917" s="128">
        <f t="shared" si="1035"/>
        <v>1759084388.54</v>
      </c>
      <c r="L917" s="130"/>
      <c r="M917" s="130"/>
      <c r="N917" s="130"/>
      <c r="O917" s="130"/>
      <c r="P917" s="132">
        <v>1759084388.54</v>
      </c>
      <c r="Q917" s="423"/>
      <c r="R917" s="128">
        <f t="shared" si="1033"/>
        <v>1759084388.54</v>
      </c>
      <c r="S917" s="130"/>
      <c r="T917" s="130"/>
      <c r="U917" s="130"/>
      <c r="V917" s="130"/>
      <c r="W917" s="130"/>
      <c r="X917" s="130"/>
      <c r="Y917" s="130"/>
      <c r="Z917" s="130"/>
      <c r="AA917" s="128">
        <f t="shared" si="1130"/>
        <v>0</v>
      </c>
      <c r="AB917" s="128">
        <f t="shared" si="1134"/>
        <v>1759084388.54</v>
      </c>
      <c r="AC917" s="175">
        <f t="shared" si="1135"/>
        <v>1</v>
      </c>
    </row>
    <row r="918" spans="1:29" ht="14.25" hidden="1" x14ac:dyDescent="0.2">
      <c r="B918" s="76" t="s">
        <v>1245</v>
      </c>
      <c r="C918" s="77" t="s">
        <v>1246</v>
      </c>
      <c r="D918" s="340"/>
      <c r="E918" s="188">
        <f>SUM('ADICIONES  2021'!C918:I918)</f>
        <v>288000000</v>
      </c>
      <c r="F918" s="131"/>
      <c r="G918" s="131"/>
      <c r="H918" s="131"/>
      <c r="I918" s="131"/>
      <c r="J918" s="131"/>
      <c r="K918" s="128">
        <f t="shared" si="1035"/>
        <v>288000000</v>
      </c>
      <c r="L918" s="131"/>
      <c r="M918" s="131"/>
      <c r="N918" s="131">
        <v>288000000</v>
      </c>
      <c r="O918" s="131"/>
      <c r="P918" s="131">
        <v>0</v>
      </c>
      <c r="Q918" s="424"/>
      <c r="R918" s="128">
        <f t="shared" si="1033"/>
        <v>288000000</v>
      </c>
      <c r="S918" s="131"/>
      <c r="T918" s="131"/>
      <c r="U918" s="131"/>
      <c r="V918" s="131"/>
      <c r="W918" s="131"/>
      <c r="X918" s="131"/>
      <c r="Y918" s="131"/>
      <c r="Z918" s="131"/>
      <c r="AA918" s="128">
        <f t="shared" si="1130"/>
        <v>0</v>
      </c>
      <c r="AB918" s="128">
        <f t="shared" si="1134"/>
        <v>288000000</v>
      </c>
      <c r="AC918" s="175">
        <f>+AB918/K918</f>
        <v>1</v>
      </c>
    </row>
    <row r="919" spans="1:29" ht="14.25" hidden="1" x14ac:dyDescent="0.2">
      <c r="B919" s="76" t="s">
        <v>1245</v>
      </c>
      <c r="C919" s="77" t="s">
        <v>1844</v>
      </c>
      <c r="D919" s="131"/>
      <c r="E919" s="188">
        <f>SUM('ADICIONES  2021'!C919:I919)</f>
        <v>92490395.019999996</v>
      </c>
      <c r="F919" s="131"/>
      <c r="G919" s="131"/>
      <c r="H919" s="131"/>
      <c r="I919" s="131"/>
      <c r="J919" s="131"/>
      <c r="K919" s="128">
        <f t="shared" si="1035"/>
        <v>92490395.019999996</v>
      </c>
      <c r="L919" s="131"/>
      <c r="M919" s="131"/>
      <c r="N919" s="131"/>
      <c r="O919" s="131"/>
      <c r="P919" s="131">
        <v>92490395.019999996</v>
      </c>
      <c r="Q919" s="424"/>
      <c r="R919" s="128">
        <f t="shared" si="1033"/>
        <v>92490395.019999996</v>
      </c>
      <c r="S919" s="131"/>
      <c r="T919" s="131"/>
      <c r="U919" s="131"/>
      <c r="V919" s="131"/>
      <c r="W919" s="131"/>
      <c r="X919" s="131"/>
      <c r="Y919" s="131"/>
      <c r="Z919" s="131"/>
      <c r="AA919" s="128">
        <f t="shared" si="1130"/>
        <v>0</v>
      </c>
      <c r="AB919" s="128">
        <f t="shared" si="1134"/>
        <v>92490395.019999996</v>
      </c>
      <c r="AC919" s="175">
        <f t="shared" ref="AC919:AC982" si="1136">+AB919/K919</f>
        <v>1</v>
      </c>
    </row>
    <row r="920" spans="1:29" ht="14.25" hidden="1" x14ac:dyDescent="0.2">
      <c r="B920" s="76" t="s">
        <v>1245</v>
      </c>
      <c r="C920" s="77" t="s">
        <v>1844</v>
      </c>
      <c r="D920" s="131"/>
      <c r="E920" s="188">
        <f>SUM('ADICIONES  2021'!C920:I920)</f>
        <v>598205.68000000005</v>
      </c>
      <c r="F920" s="131"/>
      <c r="G920" s="131"/>
      <c r="H920" s="131"/>
      <c r="I920" s="131"/>
      <c r="J920" s="131"/>
      <c r="K920" s="128">
        <f t="shared" ref="K920:K983" si="1137">+D920+E920-F920+G920-H920</f>
        <v>598205.68000000005</v>
      </c>
      <c r="L920" s="131"/>
      <c r="M920" s="131"/>
      <c r="N920" s="131"/>
      <c r="O920" s="131"/>
      <c r="P920" s="131">
        <v>598205.68000000005</v>
      </c>
      <c r="Q920" s="424"/>
      <c r="R920" s="128">
        <f t="shared" ref="R920:R983" si="1138">SUM(L920:Q920)</f>
        <v>598205.68000000005</v>
      </c>
      <c r="S920" s="131"/>
      <c r="T920" s="131"/>
      <c r="U920" s="131"/>
      <c r="V920" s="131"/>
      <c r="W920" s="131"/>
      <c r="X920" s="131"/>
      <c r="Y920" s="131"/>
      <c r="Z920" s="131"/>
      <c r="AA920" s="128">
        <f t="shared" si="1130"/>
        <v>0</v>
      </c>
      <c r="AB920" s="128">
        <f t="shared" si="1134"/>
        <v>598205.68000000005</v>
      </c>
      <c r="AC920" s="175">
        <f t="shared" si="1136"/>
        <v>1</v>
      </c>
    </row>
    <row r="921" spans="1:29" ht="14.25" hidden="1" x14ac:dyDescent="0.2">
      <c r="B921" s="76" t="s">
        <v>1245</v>
      </c>
      <c r="C921" s="77" t="s">
        <v>1844</v>
      </c>
      <c r="D921" s="131"/>
      <c r="E921" s="188">
        <f>SUM('ADICIONES  2021'!C921:I921)</f>
        <v>29308033</v>
      </c>
      <c r="F921" s="131"/>
      <c r="G921" s="131"/>
      <c r="H921" s="131"/>
      <c r="I921" s="131"/>
      <c r="J921" s="131"/>
      <c r="K921" s="128">
        <f t="shared" si="1137"/>
        <v>29308033</v>
      </c>
      <c r="L921" s="131"/>
      <c r="M921" s="131"/>
      <c r="N921" s="131"/>
      <c r="O921" s="131"/>
      <c r="P921" s="131">
        <v>29308033</v>
      </c>
      <c r="Q921" s="424"/>
      <c r="R921" s="128">
        <f t="shared" si="1138"/>
        <v>29308033</v>
      </c>
      <c r="S921" s="131"/>
      <c r="T921" s="131"/>
      <c r="U921" s="131"/>
      <c r="V921" s="131"/>
      <c r="W921" s="131"/>
      <c r="X921" s="131"/>
      <c r="Y921" s="131"/>
      <c r="Z921" s="131"/>
      <c r="AA921" s="128">
        <f t="shared" si="1130"/>
        <v>0</v>
      </c>
      <c r="AB921" s="128">
        <f t="shared" si="1134"/>
        <v>29308033</v>
      </c>
      <c r="AC921" s="175">
        <f t="shared" si="1136"/>
        <v>1</v>
      </c>
    </row>
    <row r="922" spans="1:29" ht="14.25" hidden="1" x14ac:dyDescent="0.2">
      <c r="B922" s="76" t="s">
        <v>1245</v>
      </c>
      <c r="C922" s="77" t="s">
        <v>1844</v>
      </c>
      <c r="D922" s="131"/>
      <c r="E922" s="188">
        <f>SUM('ADICIONES  2021'!C922:I922)</f>
        <v>153078510.40000001</v>
      </c>
      <c r="F922" s="131"/>
      <c r="G922" s="131"/>
      <c r="H922" s="131"/>
      <c r="I922" s="131"/>
      <c r="J922" s="131"/>
      <c r="K922" s="128">
        <f t="shared" si="1137"/>
        <v>153078510.40000001</v>
      </c>
      <c r="L922" s="131"/>
      <c r="M922" s="131"/>
      <c r="N922" s="131"/>
      <c r="O922" s="131"/>
      <c r="P922" s="131">
        <v>153078510.40000001</v>
      </c>
      <c r="Q922" s="424"/>
      <c r="R922" s="128">
        <f t="shared" si="1138"/>
        <v>153078510.40000001</v>
      </c>
      <c r="S922" s="131"/>
      <c r="T922" s="131"/>
      <c r="U922" s="131"/>
      <c r="V922" s="131"/>
      <c r="W922" s="131"/>
      <c r="X922" s="131"/>
      <c r="Y922" s="131"/>
      <c r="Z922" s="131"/>
      <c r="AA922" s="128">
        <f t="shared" si="1130"/>
        <v>0</v>
      </c>
      <c r="AB922" s="128">
        <f t="shared" si="1134"/>
        <v>153078510.40000001</v>
      </c>
      <c r="AC922" s="175">
        <f t="shared" si="1136"/>
        <v>1</v>
      </c>
    </row>
    <row r="923" spans="1:29" ht="28.5" hidden="1" x14ac:dyDescent="0.2">
      <c r="B923" s="76" t="s">
        <v>1845</v>
      </c>
      <c r="C923" s="77" t="s">
        <v>1846</v>
      </c>
      <c r="D923" s="131"/>
      <c r="E923" s="188">
        <f>SUM('ADICIONES  2021'!C923:I923)</f>
        <v>415910804.39999998</v>
      </c>
      <c r="F923" s="131"/>
      <c r="G923" s="131"/>
      <c r="H923" s="131"/>
      <c r="I923" s="131"/>
      <c r="J923" s="131"/>
      <c r="K923" s="128">
        <f t="shared" si="1137"/>
        <v>415910804.39999998</v>
      </c>
      <c r="L923" s="131"/>
      <c r="M923" s="131"/>
      <c r="N923" s="131"/>
      <c r="O923" s="131"/>
      <c r="P923" s="131">
        <v>415910804.39999998</v>
      </c>
      <c r="Q923" s="424"/>
      <c r="R923" s="128">
        <f t="shared" si="1138"/>
        <v>415910804.39999998</v>
      </c>
      <c r="S923" s="131"/>
      <c r="T923" s="131"/>
      <c r="U923" s="131"/>
      <c r="V923" s="131"/>
      <c r="W923" s="131"/>
      <c r="X923" s="131"/>
      <c r="Y923" s="131"/>
      <c r="Z923" s="131"/>
      <c r="AA923" s="128">
        <f t="shared" si="1130"/>
        <v>0</v>
      </c>
      <c r="AB923" s="128">
        <f t="shared" si="1134"/>
        <v>415910804.39999998</v>
      </c>
      <c r="AC923" s="175">
        <f t="shared" si="1136"/>
        <v>1</v>
      </c>
    </row>
    <row r="924" spans="1:29" ht="28.5" hidden="1" x14ac:dyDescent="0.2">
      <c r="B924" s="76" t="s">
        <v>1845</v>
      </c>
      <c r="C924" s="77" t="s">
        <v>1846</v>
      </c>
      <c r="D924" s="131"/>
      <c r="E924" s="188">
        <f>SUM('ADICIONES  2021'!C924:I924)</f>
        <v>500000</v>
      </c>
      <c r="F924" s="131"/>
      <c r="G924" s="131"/>
      <c r="H924" s="131"/>
      <c r="I924" s="131"/>
      <c r="J924" s="131"/>
      <c r="K924" s="128">
        <f t="shared" si="1137"/>
        <v>500000</v>
      </c>
      <c r="L924" s="131"/>
      <c r="M924" s="131"/>
      <c r="N924" s="131"/>
      <c r="O924" s="131"/>
      <c r="P924" s="131">
        <v>500000</v>
      </c>
      <c r="Q924" s="424"/>
      <c r="R924" s="128">
        <f t="shared" si="1138"/>
        <v>500000</v>
      </c>
      <c r="S924" s="131"/>
      <c r="T924" s="131"/>
      <c r="U924" s="131"/>
      <c r="V924" s="131"/>
      <c r="W924" s="131"/>
      <c r="X924" s="131"/>
      <c r="Y924" s="131"/>
      <c r="Z924" s="131"/>
      <c r="AA924" s="128">
        <f t="shared" si="1130"/>
        <v>0</v>
      </c>
      <c r="AB924" s="128">
        <f t="shared" si="1134"/>
        <v>500000</v>
      </c>
      <c r="AC924" s="175">
        <f t="shared" si="1136"/>
        <v>1</v>
      </c>
    </row>
    <row r="925" spans="1:29" ht="28.5" hidden="1" x14ac:dyDescent="0.2">
      <c r="B925" s="76" t="s">
        <v>1845</v>
      </c>
      <c r="C925" s="77" t="s">
        <v>1846</v>
      </c>
      <c r="D925" s="131"/>
      <c r="E925" s="188">
        <f>SUM('ADICIONES  2021'!C925:I925)</f>
        <v>1050628298</v>
      </c>
      <c r="F925" s="131"/>
      <c r="G925" s="131"/>
      <c r="H925" s="131"/>
      <c r="I925" s="131"/>
      <c r="J925" s="131"/>
      <c r="K925" s="128">
        <f t="shared" si="1137"/>
        <v>1050628298</v>
      </c>
      <c r="L925" s="131"/>
      <c r="M925" s="131"/>
      <c r="N925" s="131"/>
      <c r="O925" s="131"/>
      <c r="P925" s="131">
        <v>1050628298</v>
      </c>
      <c r="Q925" s="424"/>
      <c r="R925" s="128">
        <f t="shared" si="1138"/>
        <v>1050628298</v>
      </c>
      <c r="S925" s="131"/>
      <c r="T925" s="131"/>
      <c r="U925" s="131"/>
      <c r="V925" s="131"/>
      <c r="W925" s="131"/>
      <c r="X925" s="131"/>
      <c r="Y925" s="131"/>
      <c r="Z925" s="131"/>
      <c r="AA925" s="128">
        <f t="shared" si="1130"/>
        <v>0</v>
      </c>
      <c r="AB925" s="128">
        <f t="shared" si="1134"/>
        <v>1050628298</v>
      </c>
      <c r="AC925" s="175">
        <f t="shared" si="1136"/>
        <v>1</v>
      </c>
    </row>
    <row r="926" spans="1:29" ht="28.5" hidden="1" x14ac:dyDescent="0.2">
      <c r="B926" s="76" t="s">
        <v>1845</v>
      </c>
      <c r="C926" s="77" t="s">
        <v>1846</v>
      </c>
      <c r="D926" s="131"/>
      <c r="E926" s="188">
        <f>SUM('ADICIONES  2021'!C926:I926)</f>
        <v>326231624</v>
      </c>
      <c r="F926" s="131"/>
      <c r="G926" s="131"/>
      <c r="H926" s="131"/>
      <c r="I926" s="131"/>
      <c r="J926" s="131"/>
      <c r="K926" s="128">
        <f t="shared" si="1137"/>
        <v>326231624</v>
      </c>
      <c r="L926" s="131"/>
      <c r="M926" s="131"/>
      <c r="N926" s="131"/>
      <c r="O926" s="131"/>
      <c r="P926" s="131">
        <v>326231624</v>
      </c>
      <c r="Q926" s="424"/>
      <c r="R926" s="128">
        <f t="shared" si="1138"/>
        <v>326231624</v>
      </c>
      <c r="S926" s="131"/>
      <c r="T926" s="131"/>
      <c r="U926" s="131"/>
      <c r="V926" s="131"/>
      <c r="W926" s="131"/>
      <c r="X926" s="131"/>
      <c r="Y926" s="131"/>
      <c r="Z926" s="131"/>
      <c r="AA926" s="128">
        <f t="shared" si="1130"/>
        <v>0</v>
      </c>
      <c r="AB926" s="128">
        <f t="shared" si="1134"/>
        <v>326231624</v>
      </c>
      <c r="AC926" s="175">
        <f t="shared" si="1136"/>
        <v>1</v>
      </c>
    </row>
    <row r="927" spans="1:29" ht="28.5" hidden="1" x14ac:dyDescent="0.2">
      <c r="B927" s="76" t="s">
        <v>1845</v>
      </c>
      <c r="C927" s="77" t="s">
        <v>1846</v>
      </c>
      <c r="D927" s="131"/>
      <c r="E927" s="188">
        <f>SUM('ADICIONES  2021'!C927:I927)</f>
        <v>217087307.66999999</v>
      </c>
      <c r="F927" s="131"/>
      <c r="G927" s="131"/>
      <c r="H927" s="131"/>
      <c r="I927" s="131"/>
      <c r="J927" s="131"/>
      <c r="K927" s="128">
        <f t="shared" si="1137"/>
        <v>217087307.66999999</v>
      </c>
      <c r="L927" s="131"/>
      <c r="M927" s="131"/>
      <c r="N927" s="131"/>
      <c r="O927" s="131"/>
      <c r="P927" s="131">
        <v>217087307.66999999</v>
      </c>
      <c r="Q927" s="424"/>
      <c r="R927" s="128">
        <f t="shared" si="1138"/>
        <v>217087307.66999999</v>
      </c>
      <c r="S927" s="131"/>
      <c r="T927" s="131"/>
      <c r="U927" s="131"/>
      <c r="V927" s="131"/>
      <c r="W927" s="131"/>
      <c r="X927" s="131"/>
      <c r="Y927" s="131"/>
      <c r="Z927" s="131"/>
      <c r="AA927" s="128">
        <f t="shared" si="1130"/>
        <v>0</v>
      </c>
      <c r="AB927" s="128">
        <f t="shared" si="1134"/>
        <v>217087307.66999999</v>
      </c>
      <c r="AC927" s="175">
        <f t="shared" si="1136"/>
        <v>1</v>
      </c>
    </row>
    <row r="928" spans="1:29" ht="28.5" hidden="1" x14ac:dyDescent="0.2">
      <c r="B928" s="76" t="s">
        <v>1845</v>
      </c>
      <c r="C928" s="77" t="s">
        <v>1846</v>
      </c>
      <c r="D928" s="131"/>
      <c r="E928" s="188">
        <f>SUM('ADICIONES  2021'!C928:I928)</f>
        <v>300000000</v>
      </c>
      <c r="F928" s="131"/>
      <c r="G928" s="131"/>
      <c r="H928" s="131"/>
      <c r="I928" s="131"/>
      <c r="J928" s="131"/>
      <c r="K928" s="128">
        <f t="shared" si="1137"/>
        <v>300000000</v>
      </c>
      <c r="L928" s="131"/>
      <c r="M928" s="131"/>
      <c r="N928" s="131"/>
      <c r="O928" s="131"/>
      <c r="P928" s="131">
        <v>300000000</v>
      </c>
      <c r="Q928" s="424"/>
      <c r="R928" s="128">
        <f t="shared" si="1138"/>
        <v>300000000</v>
      </c>
      <c r="S928" s="131"/>
      <c r="T928" s="131"/>
      <c r="U928" s="131"/>
      <c r="V928" s="131"/>
      <c r="W928" s="131"/>
      <c r="X928" s="131"/>
      <c r="Y928" s="131"/>
      <c r="Z928" s="131"/>
      <c r="AA928" s="128">
        <f t="shared" si="1130"/>
        <v>0</v>
      </c>
      <c r="AB928" s="128">
        <f t="shared" si="1134"/>
        <v>300000000</v>
      </c>
      <c r="AC928" s="175">
        <f t="shared" si="1136"/>
        <v>1</v>
      </c>
    </row>
    <row r="929" spans="2:29" ht="28.5" hidden="1" x14ac:dyDescent="0.2">
      <c r="B929" s="76" t="s">
        <v>1845</v>
      </c>
      <c r="C929" s="77" t="s">
        <v>1846</v>
      </c>
      <c r="D929" s="131"/>
      <c r="E929" s="188">
        <f>SUM('ADICIONES  2021'!C929:I929)</f>
        <v>112655921</v>
      </c>
      <c r="F929" s="131"/>
      <c r="G929" s="131"/>
      <c r="H929" s="131"/>
      <c r="I929" s="131"/>
      <c r="J929" s="131"/>
      <c r="K929" s="128">
        <f t="shared" si="1137"/>
        <v>112655921</v>
      </c>
      <c r="L929" s="131"/>
      <c r="M929" s="131"/>
      <c r="N929" s="131"/>
      <c r="O929" s="131"/>
      <c r="P929" s="131">
        <v>112655921</v>
      </c>
      <c r="Q929" s="424"/>
      <c r="R929" s="128">
        <f t="shared" si="1138"/>
        <v>112655921</v>
      </c>
      <c r="S929" s="131"/>
      <c r="T929" s="131"/>
      <c r="U929" s="131"/>
      <c r="V929" s="131"/>
      <c r="W929" s="131"/>
      <c r="X929" s="131"/>
      <c r="Y929" s="131"/>
      <c r="Z929" s="131"/>
      <c r="AA929" s="128">
        <f t="shared" si="1130"/>
        <v>0</v>
      </c>
      <c r="AB929" s="128">
        <f t="shared" si="1134"/>
        <v>112655921</v>
      </c>
      <c r="AC929" s="175">
        <f t="shared" si="1136"/>
        <v>1</v>
      </c>
    </row>
    <row r="930" spans="2:29" ht="28.5" hidden="1" x14ac:dyDescent="0.2">
      <c r="B930" s="76" t="s">
        <v>1845</v>
      </c>
      <c r="C930" s="77" t="s">
        <v>1846</v>
      </c>
      <c r="D930" s="131"/>
      <c r="E930" s="188">
        <f>SUM('ADICIONES  2021'!C930:I930)</f>
        <v>10937000</v>
      </c>
      <c r="F930" s="131"/>
      <c r="G930" s="131"/>
      <c r="H930" s="131"/>
      <c r="I930" s="131"/>
      <c r="J930" s="131"/>
      <c r="K930" s="128">
        <f t="shared" si="1137"/>
        <v>10937000</v>
      </c>
      <c r="L930" s="131"/>
      <c r="M930" s="131"/>
      <c r="N930" s="131"/>
      <c r="O930" s="131"/>
      <c r="P930" s="131">
        <v>10937000</v>
      </c>
      <c r="Q930" s="424"/>
      <c r="R930" s="128">
        <f t="shared" si="1138"/>
        <v>10937000</v>
      </c>
      <c r="S930" s="131"/>
      <c r="T930" s="131"/>
      <c r="U930" s="131"/>
      <c r="V930" s="131"/>
      <c r="W930" s="131"/>
      <c r="X930" s="131"/>
      <c r="Y930" s="131"/>
      <c r="Z930" s="131"/>
      <c r="AA930" s="128">
        <f t="shared" si="1130"/>
        <v>0</v>
      </c>
      <c r="AB930" s="128">
        <f t="shared" si="1134"/>
        <v>10937000</v>
      </c>
      <c r="AC930" s="175">
        <f t="shared" si="1136"/>
        <v>1</v>
      </c>
    </row>
    <row r="931" spans="2:29" ht="28.5" hidden="1" x14ac:dyDescent="0.2">
      <c r="B931" s="76" t="s">
        <v>1845</v>
      </c>
      <c r="C931" s="77" t="s">
        <v>1846</v>
      </c>
      <c r="D931" s="131"/>
      <c r="E931" s="188">
        <f>SUM('ADICIONES  2021'!C931:I931)</f>
        <v>1166036001</v>
      </c>
      <c r="F931" s="131"/>
      <c r="G931" s="131"/>
      <c r="H931" s="131"/>
      <c r="I931" s="131"/>
      <c r="J931" s="131"/>
      <c r="K931" s="128">
        <f t="shared" si="1137"/>
        <v>1166036001</v>
      </c>
      <c r="L931" s="131"/>
      <c r="M931" s="131"/>
      <c r="N931" s="131"/>
      <c r="O931" s="131"/>
      <c r="P931" s="131">
        <v>1166036001</v>
      </c>
      <c r="Q931" s="424"/>
      <c r="R931" s="128">
        <f t="shared" si="1138"/>
        <v>1166036001</v>
      </c>
      <c r="S931" s="131"/>
      <c r="T931" s="131"/>
      <c r="U931" s="131"/>
      <c r="V931" s="131"/>
      <c r="W931" s="131"/>
      <c r="X931" s="131"/>
      <c r="Y931" s="131"/>
      <c r="Z931" s="131"/>
      <c r="AA931" s="128">
        <f t="shared" si="1130"/>
        <v>0</v>
      </c>
      <c r="AB931" s="128">
        <f t="shared" si="1134"/>
        <v>1166036001</v>
      </c>
      <c r="AC931" s="175">
        <f t="shared" si="1136"/>
        <v>1</v>
      </c>
    </row>
    <row r="932" spans="2:29" ht="28.5" hidden="1" x14ac:dyDescent="0.2">
      <c r="B932" s="76" t="s">
        <v>1845</v>
      </c>
      <c r="C932" s="77" t="s">
        <v>1846</v>
      </c>
      <c r="D932" s="131"/>
      <c r="E932" s="188">
        <f>SUM('ADICIONES  2021'!C932:I932)</f>
        <v>920162986.5</v>
      </c>
      <c r="F932" s="131"/>
      <c r="G932" s="131"/>
      <c r="H932" s="131"/>
      <c r="I932" s="131"/>
      <c r="J932" s="131"/>
      <c r="K932" s="128">
        <f t="shared" si="1137"/>
        <v>920162986.5</v>
      </c>
      <c r="L932" s="131"/>
      <c r="M932" s="131"/>
      <c r="N932" s="131"/>
      <c r="O932" s="131"/>
      <c r="P932" s="131">
        <v>920162986.5</v>
      </c>
      <c r="Q932" s="424"/>
      <c r="R932" s="128">
        <f t="shared" si="1138"/>
        <v>920162986.5</v>
      </c>
      <c r="S932" s="131"/>
      <c r="T932" s="131"/>
      <c r="U932" s="131"/>
      <c r="V932" s="131"/>
      <c r="W932" s="131"/>
      <c r="X932" s="131"/>
      <c r="Y932" s="131"/>
      <c r="Z932" s="131"/>
      <c r="AA932" s="128">
        <f t="shared" si="1130"/>
        <v>0</v>
      </c>
      <c r="AB932" s="128">
        <f t="shared" si="1134"/>
        <v>920162986.5</v>
      </c>
      <c r="AC932" s="175">
        <f t="shared" si="1136"/>
        <v>1</v>
      </c>
    </row>
    <row r="933" spans="2:29" ht="14.25" hidden="1" x14ac:dyDescent="0.2">
      <c r="B933" s="76" t="s">
        <v>1847</v>
      </c>
      <c r="C933" s="77" t="s">
        <v>1848</v>
      </c>
      <c r="D933" s="131"/>
      <c r="E933" s="188">
        <f>SUM('ADICIONES  2021'!C933:I933)</f>
        <v>2695161841.1199999</v>
      </c>
      <c r="F933" s="131"/>
      <c r="G933" s="131"/>
      <c r="H933" s="131"/>
      <c r="I933" s="131"/>
      <c r="J933" s="131"/>
      <c r="K933" s="128">
        <f t="shared" si="1137"/>
        <v>2695161841.1199999</v>
      </c>
      <c r="L933" s="131"/>
      <c r="M933" s="131"/>
      <c r="N933" s="131"/>
      <c r="O933" s="131"/>
      <c r="P933" s="131">
        <v>2695161841.1199999</v>
      </c>
      <c r="Q933" s="424"/>
      <c r="R933" s="128">
        <f t="shared" si="1138"/>
        <v>2695161841.1199999</v>
      </c>
      <c r="S933" s="131"/>
      <c r="T933" s="131"/>
      <c r="U933" s="131"/>
      <c r="V933" s="131"/>
      <c r="W933" s="131"/>
      <c r="X933" s="131"/>
      <c r="Y933" s="131"/>
      <c r="Z933" s="131"/>
      <c r="AA933" s="128">
        <f t="shared" si="1130"/>
        <v>0</v>
      </c>
      <c r="AB933" s="128">
        <f t="shared" si="1134"/>
        <v>2695161841.1199999</v>
      </c>
      <c r="AC933" s="175">
        <f t="shared" si="1136"/>
        <v>1</v>
      </c>
    </row>
    <row r="934" spans="2:29" ht="14.25" hidden="1" x14ac:dyDescent="0.2">
      <c r="B934" s="76" t="s">
        <v>1847</v>
      </c>
      <c r="C934" s="77" t="s">
        <v>1848</v>
      </c>
      <c r="D934" s="131"/>
      <c r="E934" s="188">
        <f>SUM('ADICIONES  2021'!C934:I934)</f>
        <v>13635000</v>
      </c>
      <c r="F934" s="131"/>
      <c r="G934" s="131"/>
      <c r="H934" s="131"/>
      <c r="I934" s="131"/>
      <c r="J934" s="131"/>
      <c r="K934" s="128">
        <f t="shared" si="1137"/>
        <v>13635000</v>
      </c>
      <c r="L934" s="131"/>
      <c r="M934" s="131"/>
      <c r="N934" s="131"/>
      <c r="O934" s="131"/>
      <c r="P934" s="131">
        <v>13635000</v>
      </c>
      <c r="Q934" s="424"/>
      <c r="R934" s="128">
        <f t="shared" si="1138"/>
        <v>13635000</v>
      </c>
      <c r="S934" s="131"/>
      <c r="T934" s="131"/>
      <c r="U934" s="131"/>
      <c r="V934" s="131"/>
      <c r="W934" s="131"/>
      <c r="X934" s="131"/>
      <c r="Y934" s="131"/>
      <c r="Z934" s="131"/>
      <c r="AA934" s="128">
        <f t="shared" si="1130"/>
        <v>0</v>
      </c>
      <c r="AB934" s="128">
        <f t="shared" si="1134"/>
        <v>13635000</v>
      </c>
      <c r="AC934" s="175">
        <f t="shared" si="1136"/>
        <v>1</v>
      </c>
    </row>
    <row r="935" spans="2:29" ht="14.25" hidden="1" x14ac:dyDescent="0.2">
      <c r="B935" s="76" t="s">
        <v>1847</v>
      </c>
      <c r="C935" s="77" t="s">
        <v>1848</v>
      </c>
      <c r="D935" s="131"/>
      <c r="E935" s="188">
        <f>SUM('ADICIONES  2021'!C935:I935)</f>
        <v>407273.67</v>
      </c>
      <c r="F935" s="131"/>
      <c r="G935" s="131"/>
      <c r="H935" s="131"/>
      <c r="I935" s="131"/>
      <c r="J935" s="131"/>
      <c r="K935" s="128">
        <f t="shared" si="1137"/>
        <v>407273.67</v>
      </c>
      <c r="L935" s="131"/>
      <c r="M935" s="131"/>
      <c r="N935" s="131"/>
      <c r="O935" s="131"/>
      <c r="P935" s="131">
        <v>407273.67</v>
      </c>
      <c r="Q935" s="424"/>
      <c r="R935" s="128">
        <f t="shared" si="1138"/>
        <v>407273.67</v>
      </c>
      <c r="S935" s="131"/>
      <c r="T935" s="131"/>
      <c r="U935" s="131"/>
      <c r="V935" s="131"/>
      <c r="W935" s="131"/>
      <c r="X935" s="131"/>
      <c r="Y935" s="131"/>
      <c r="Z935" s="131"/>
      <c r="AA935" s="128">
        <f t="shared" si="1130"/>
        <v>0</v>
      </c>
      <c r="AB935" s="128">
        <f t="shared" si="1134"/>
        <v>407273.67</v>
      </c>
      <c r="AC935" s="175">
        <f t="shared" si="1136"/>
        <v>1</v>
      </c>
    </row>
    <row r="936" spans="2:29" ht="14.25" hidden="1" x14ac:dyDescent="0.2">
      <c r="B936" s="76" t="s">
        <v>1847</v>
      </c>
      <c r="C936" s="77" t="s">
        <v>1848</v>
      </c>
      <c r="D936" s="131"/>
      <c r="E936" s="188">
        <f>SUM('ADICIONES  2021'!C936:I936)</f>
        <v>73280168</v>
      </c>
      <c r="F936" s="131"/>
      <c r="G936" s="131"/>
      <c r="H936" s="131"/>
      <c r="I936" s="131"/>
      <c r="J936" s="131"/>
      <c r="K936" s="128">
        <f t="shared" si="1137"/>
        <v>73280168</v>
      </c>
      <c r="L936" s="131"/>
      <c r="M936" s="131"/>
      <c r="N936" s="131"/>
      <c r="O936" s="131"/>
      <c r="P936" s="131">
        <v>73280168</v>
      </c>
      <c r="Q936" s="424"/>
      <c r="R936" s="128">
        <f t="shared" si="1138"/>
        <v>73280168</v>
      </c>
      <c r="S936" s="131"/>
      <c r="T936" s="131"/>
      <c r="U936" s="131"/>
      <c r="V936" s="131"/>
      <c r="W936" s="131"/>
      <c r="X936" s="131"/>
      <c r="Y936" s="131"/>
      <c r="Z936" s="131"/>
      <c r="AA936" s="128">
        <f t="shared" si="1130"/>
        <v>0</v>
      </c>
      <c r="AB936" s="128">
        <f t="shared" si="1134"/>
        <v>73280168</v>
      </c>
      <c r="AC936" s="175">
        <f t="shared" si="1136"/>
        <v>1</v>
      </c>
    </row>
    <row r="937" spans="2:29" ht="14.25" hidden="1" x14ac:dyDescent="0.2">
      <c r="B937" s="76" t="s">
        <v>1847</v>
      </c>
      <c r="C937" s="77" t="s">
        <v>1848</v>
      </c>
      <c r="D937" s="131"/>
      <c r="E937" s="188">
        <f>SUM('ADICIONES  2021'!C937:I937)</f>
        <v>450200</v>
      </c>
      <c r="F937" s="131"/>
      <c r="G937" s="131"/>
      <c r="H937" s="131"/>
      <c r="I937" s="131"/>
      <c r="J937" s="131"/>
      <c r="K937" s="128">
        <f t="shared" si="1137"/>
        <v>450200</v>
      </c>
      <c r="L937" s="131"/>
      <c r="M937" s="131"/>
      <c r="N937" s="131"/>
      <c r="O937" s="131"/>
      <c r="P937" s="131">
        <v>450200</v>
      </c>
      <c r="Q937" s="424"/>
      <c r="R937" s="128">
        <f t="shared" si="1138"/>
        <v>450200</v>
      </c>
      <c r="S937" s="131"/>
      <c r="T937" s="131"/>
      <c r="U937" s="131"/>
      <c r="V937" s="131"/>
      <c r="W937" s="131"/>
      <c r="X937" s="131"/>
      <c r="Y937" s="131"/>
      <c r="Z937" s="131"/>
      <c r="AA937" s="128">
        <f t="shared" si="1130"/>
        <v>0</v>
      </c>
      <c r="AB937" s="128">
        <f t="shared" si="1134"/>
        <v>450200</v>
      </c>
      <c r="AC937" s="175">
        <f t="shared" si="1136"/>
        <v>1</v>
      </c>
    </row>
    <row r="938" spans="2:29" ht="14.25" hidden="1" x14ac:dyDescent="0.2">
      <c r="B938" s="76" t="s">
        <v>1847</v>
      </c>
      <c r="C938" s="77" t="s">
        <v>1848</v>
      </c>
      <c r="D938" s="131"/>
      <c r="E938" s="188">
        <f>SUM('ADICIONES  2021'!C938:I938)</f>
        <v>153428321.09999999</v>
      </c>
      <c r="F938" s="131"/>
      <c r="G938" s="131"/>
      <c r="H938" s="131"/>
      <c r="I938" s="131"/>
      <c r="J938" s="131"/>
      <c r="K938" s="128">
        <f t="shared" si="1137"/>
        <v>153428321.09999999</v>
      </c>
      <c r="L938" s="131"/>
      <c r="M938" s="131"/>
      <c r="N938" s="131"/>
      <c r="O938" s="131"/>
      <c r="P938" s="131">
        <v>153428321.09999999</v>
      </c>
      <c r="Q938" s="424"/>
      <c r="R938" s="128">
        <f t="shared" si="1138"/>
        <v>153428321.09999999</v>
      </c>
      <c r="S938" s="131"/>
      <c r="T938" s="131"/>
      <c r="U938" s="131"/>
      <c r="V938" s="131"/>
      <c r="W938" s="131"/>
      <c r="X938" s="131"/>
      <c r="Y938" s="131"/>
      <c r="Z938" s="131"/>
      <c r="AA938" s="128">
        <f t="shared" si="1130"/>
        <v>0</v>
      </c>
      <c r="AB938" s="128">
        <f t="shared" si="1134"/>
        <v>153428321.09999999</v>
      </c>
      <c r="AC938" s="175">
        <f t="shared" si="1136"/>
        <v>1</v>
      </c>
    </row>
    <row r="939" spans="2:29" ht="14.25" hidden="1" x14ac:dyDescent="0.2">
      <c r="B939" s="76" t="s">
        <v>1847</v>
      </c>
      <c r="C939" s="77" t="s">
        <v>1848</v>
      </c>
      <c r="D939" s="131"/>
      <c r="E939" s="188">
        <f>SUM('ADICIONES  2021'!C939:I939)</f>
        <v>19900000</v>
      </c>
      <c r="F939" s="131"/>
      <c r="G939" s="131"/>
      <c r="H939" s="131"/>
      <c r="I939" s="131"/>
      <c r="J939" s="131"/>
      <c r="K939" s="128">
        <f t="shared" si="1137"/>
        <v>19900000</v>
      </c>
      <c r="L939" s="131"/>
      <c r="M939" s="131"/>
      <c r="N939" s="131"/>
      <c r="O939" s="131"/>
      <c r="P939" s="131">
        <v>19900000</v>
      </c>
      <c r="Q939" s="424"/>
      <c r="R939" s="128">
        <f t="shared" si="1138"/>
        <v>19900000</v>
      </c>
      <c r="S939" s="131"/>
      <c r="T939" s="131"/>
      <c r="U939" s="131"/>
      <c r="V939" s="131"/>
      <c r="W939" s="131"/>
      <c r="X939" s="131"/>
      <c r="Y939" s="131"/>
      <c r="Z939" s="131"/>
      <c r="AA939" s="128">
        <f t="shared" si="1130"/>
        <v>0</v>
      </c>
      <c r="AB939" s="128">
        <f t="shared" si="1134"/>
        <v>19900000</v>
      </c>
      <c r="AC939" s="175">
        <f t="shared" si="1136"/>
        <v>1</v>
      </c>
    </row>
    <row r="940" spans="2:29" ht="14.25" hidden="1" x14ac:dyDescent="0.2">
      <c r="B940" s="76" t="s">
        <v>1847</v>
      </c>
      <c r="C940" s="77" t="s">
        <v>1848</v>
      </c>
      <c r="D940" s="131"/>
      <c r="E940" s="188">
        <f>SUM('ADICIONES  2021'!C940:I940)</f>
        <v>71223068</v>
      </c>
      <c r="F940" s="131"/>
      <c r="G940" s="131"/>
      <c r="H940" s="131"/>
      <c r="I940" s="131"/>
      <c r="J940" s="131"/>
      <c r="K940" s="128">
        <f t="shared" si="1137"/>
        <v>71223068</v>
      </c>
      <c r="L940" s="131"/>
      <c r="M940" s="131"/>
      <c r="N940" s="131"/>
      <c r="O940" s="131"/>
      <c r="P940" s="131">
        <v>71223068</v>
      </c>
      <c r="Q940" s="424"/>
      <c r="R940" s="128">
        <f t="shared" si="1138"/>
        <v>71223068</v>
      </c>
      <c r="S940" s="131"/>
      <c r="T940" s="131"/>
      <c r="U940" s="131"/>
      <c r="V940" s="131"/>
      <c r="W940" s="131"/>
      <c r="X940" s="131"/>
      <c r="Y940" s="131"/>
      <c r="Z940" s="131"/>
      <c r="AA940" s="128">
        <f t="shared" si="1130"/>
        <v>0</v>
      </c>
      <c r="AB940" s="128">
        <f t="shared" si="1134"/>
        <v>71223068</v>
      </c>
      <c r="AC940" s="175">
        <f t="shared" si="1136"/>
        <v>1</v>
      </c>
    </row>
    <row r="941" spans="2:29" ht="14.25" hidden="1" x14ac:dyDescent="0.2">
      <c r="B941" s="76" t="s">
        <v>1847</v>
      </c>
      <c r="C941" s="77" t="s">
        <v>1848</v>
      </c>
      <c r="D941" s="131"/>
      <c r="E941" s="188">
        <f>SUM('ADICIONES  2021'!C941:I941)</f>
        <v>400000</v>
      </c>
      <c r="F941" s="131"/>
      <c r="G941" s="131"/>
      <c r="H941" s="131"/>
      <c r="I941" s="131"/>
      <c r="J941" s="131"/>
      <c r="K941" s="128">
        <f t="shared" si="1137"/>
        <v>400000</v>
      </c>
      <c r="L941" s="131"/>
      <c r="M941" s="131"/>
      <c r="N941" s="131"/>
      <c r="O941" s="131"/>
      <c r="P941" s="131">
        <v>400000</v>
      </c>
      <c r="Q941" s="424"/>
      <c r="R941" s="128">
        <f t="shared" si="1138"/>
        <v>400000</v>
      </c>
      <c r="S941" s="131"/>
      <c r="T941" s="131"/>
      <c r="U941" s="131"/>
      <c r="V941" s="131"/>
      <c r="W941" s="131"/>
      <c r="X941" s="131"/>
      <c r="Y941" s="131"/>
      <c r="Z941" s="131"/>
      <c r="AA941" s="128">
        <f t="shared" si="1130"/>
        <v>0</v>
      </c>
      <c r="AB941" s="128">
        <f t="shared" si="1134"/>
        <v>400000</v>
      </c>
      <c r="AC941" s="175">
        <f t="shared" si="1136"/>
        <v>1</v>
      </c>
    </row>
    <row r="942" spans="2:29" ht="14.25" hidden="1" x14ac:dyDescent="0.2">
      <c r="B942" s="76" t="s">
        <v>1847</v>
      </c>
      <c r="C942" s="77" t="s">
        <v>1848</v>
      </c>
      <c r="D942" s="131"/>
      <c r="E942" s="188">
        <f>SUM('ADICIONES  2021'!C942:I942)</f>
        <v>476922002</v>
      </c>
      <c r="F942" s="131"/>
      <c r="G942" s="131"/>
      <c r="H942" s="131"/>
      <c r="I942" s="131"/>
      <c r="J942" s="131"/>
      <c r="K942" s="128">
        <f t="shared" si="1137"/>
        <v>476922002</v>
      </c>
      <c r="L942" s="131"/>
      <c r="M942" s="131"/>
      <c r="N942" s="131"/>
      <c r="O942" s="131"/>
      <c r="P942" s="131">
        <v>476922002</v>
      </c>
      <c r="Q942" s="424"/>
      <c r="R942" s="128">
        <f t="shared" si="1138"/>
        <v>476922002</v>
      </c>
      <c r="S942" s="131"/>
      <c r="T942" s="131"/>
      <c r="U942" s="131"/>
      <c r="V942" s="131"/>
      <c r="W942" s="131"/>
      <c r="X942" s="131"/>
      <c r="Y942" s="131"/>
      <c r="Z942" s="131"/>
      <c r="AA942" s="128">
        <f t="shared" si="1130"/>
        <v>0</v>
      </c>
      <c r="AB942" s="128">
        <f t="shared" si="1134"/>
        <v>476922002</v>
      </c>
      <c r="AC942" s="175">
        <f t="shared" si="1136"/>
        <v>1</v>
      </c>
    </row>
    <row r="943" spans="2:29" ht="14.25" hidden="1" x14ac:dyDescent="0.2">
      <c r="B943" s="76" t="s">
        <v>1847</v>
      </c>
      <c r="C943" s="77" t="s">
        <v>1848</v>
      </c>
      <c r="D943" s="131"/>
      <c r="E943" s="188">
        <f>SUM('ADICIONES  2021'!C943:I943)</f>
        <v>158465735.84</v>
      </c>
      <c r="F943" s="131"/>
      <c r="G943" s="131"/>
      <c r="H943" s="131"/>
      <c r="I943" s="131"/>
      <c r="J943" s="131"/>
      <c r="K943" s="128">
        <f t="shared" si="1137"/>
        <v>158465735.84</v>
      </c>
      <c r="L943" s="131"/>
      <c r="M943" s="131"/>
      <c r="N943" s="131"/>
      <c r="O943" s="131"/>
      <c r="P943" s="131">
        <v>158465735.84</v>
      </c>
      <c r="Q943" s="424"/>
      <c r="R943" s="128">
        <f t="shared" si="1138"/>
        <v>158465735.84</v>
      </c>
      <c r="S943" s="131"/>
      <c r="T943" s="131"/>
      <c r="U943" s="131"/>
      <c r="V943" s="131"/>
      <c r="W943" s="131"/>
      <c r="X943" s="131"/>
      <c r="Y943" s="131"/>
      <c r="Z943" s="131"/>
      <c r="AA943" s="128">
        <f t="shared" si="1130"/>
        <v>0</v>
      </c>
      <c r="AB943" s="128">
        <f t="shared" si="1134"/>
        <v>158465735.84</v>
      </c>
      <c r="AC943" s="175">
        <f t="shared" si="1136"/>
        <v>1</v>
      </c>
    </row>
    <row r="944" spans="2:29" ht="14.25" hidden="1" x14ac:dyDescent="0.2">
      <c r="B944" s="76" t="s">
        <v>1847</v>
      </c>
      <c r="C944" s="77" t="s">
        <v>1848</v>
      </c>
      <c r="D944" s="131"/>
      <c r="E944" s="188">
        <f>SUM('ADICIONES  2021'!C944:I944)</f>
        <v>567785.43999999994</v>
      </c>
      <c r="F944" s="131"/>
      <c r="G944" s="131"/>
      <c r="H944" s="131"/>
      <c r="I944" s="131"/>
      <c r="J944" s="131"/>
      <c r="K944" s="128">
        <f t="shared" si="1137"/>
        <v>567785.43999999994</v>
      </c>
      <c r="L944" s="131"/>
      <c r="M944" s="131"/>
      <c r="N944" s="131"/>
      <c r="O944" s="131"/>
      <c r="P944" s="131">
        <v>567785.43999999994</v>
      </c>
      <c r="Q944" s="424"/>
      <c r="R944" s="128">
        <f t="shared" si="1138"/>
        <v>567785.43999999994</v>
      </c>
      <c r="S944" s="131"/>
      <c r="T944" s="131"/>
      <c r="U944" s="131"/>
      <c r="V944" s="131"/>
      <c r="W944" s="131"/>
      <c r="X944" s="131"/>
      <c r="Y944" s="131"/>
      <c r="Z944" s="131"/>
      <c r="AA944" s="128">
        <f t="shared" si="1130"/>
        <v>0</v>
      </c>
      <c r="AB944" s="128">
        <f t="shared" si="1134"/>
        <v>567785.43999999994</v>
      </c>
      <c r="AC944" s="175">
        <f t="shared" si="1136"/>
        <v>1</v>
      </c>
    </row>
    <row r="945" spans="2:29" ht="14.25" hidden="1" x14ac:dyDescent="0.2">
      <c r="B945" s="76" t="s">
        <v>1847</v>
      </c>
      <c r="C945" s="77" t="s">
        <v>1848</v>
      </c>
      <c r="D945" s="131"/>
      <c r="E945" s="188">
        <f>SUM('ADICIONES  2021'!C945:I945)</f>
        <v>3921720000</v>
      </c>
      <c r="F945" s="131"/>
      <c r="G945" s="131"/>
      <c r="H945" s="131"/>
      <c r="I945" s="131"/>
      <c r="J945" s="131"/>
      <c r="K945" s="128">
        <f t="shared" si="1137"/>
        <v>3921720000</v>
      </c>
      <c r="L945" s="131"/>
      <c r="M945" s="131"/>
      <c r="N945" s="131"/>
      <c r="O945" s="131"/>
      <c r="P945" s="131">
        <v>3921720000</v>
      </c>
      <c r="Q945" s="424"/>
      <c r="R945" s="128">
        <f t="shared" si="1138"/>
        <v>3921720000</v>
      </c>
      <c r="S945" s="131"/>
      <c r="T945" s="131"/>
      <c r="U945" s="131"/>
      <c r="V945" s="131"/>
      <c r="W945" s="131"/>
      <c r="X945" s="131"/>
      <c r="Y945" s="131"/>
      <c r="Z945" s="131"/>
      <c r="AA945" s="128">
        <f t="shared" si="1130"/>
        <v>0</v>
      </c>
      <c r="AB945" s="128">
        <f t="shared" si="1134"/>
        <v>3921720000</v>
      </c>
      <c r="AC945" s="175">
        <f t="shared" si="1136"/>
        <v>1</v>
      </c>
    </row>
    <row r="946" spans="2:29" ht="14.25" hidden="1" x14ac:dyDescent="0.2">
      <c r="B946" s="76" t="s">
        <v>1847</v>
      </c>
      <c r="C946" s="77" t="s">
        <v>1848</v>
      </c>
      <c r="D946" s="131"/>
      <c r="E946" s="188">
        <f>SUM('ADICIONES  2021'!C946:I946)</f>
        <v>12250741.050000001</v>
      </c>
      <c r="F946" s="131"/>
      <c r="G946" s="131"/>
      <c r="H946" s="131"/>
      <c r="I946" s="131"/>
      <c r="J946" s="131"/>
      <c r="K946" s="128">
        <f t="shared" si="1137"/>
        <v>12250741.050000001</v>
      </c>
      <c r="L946" s="131"/>
      <c r="M946" s="131"/>
      <c r="N946" s="131"/>
      <c r="O946" s="131"/>
      <c r="P946" s="131">
        <v>12250741.050000001</v>
      </c>
      <c r="Q946" s="424"/>
      <c r="R946" s="128">
        <f t="shared" si="1138"/>
        <v>12250741.050000001</v>
      </c>
      <c r="S946" s="131"/>
      <c r="T946" s="131"/>
      <c r="U946" s="131"/>
      <c r="V946" s="131"/>
      <c r="W946" s="131"/>
      <c r="X946" s="131"/>
      <c r="Y946" s="131"/>
      <c r="Z946" s="131"/>
      <c r="AA946" s="128">
        <f t="shared" si="1130"/>
        <v>0</v>
      </c>
      <c r="AB946" s="128">
        <f t="shared" si="1134"/>
        <v>12250741.050000001</v>
      </c>
      <c r="AC946" s="175">
        <f t="shared" si="1136"/>
        <v>1</v>
      </c>
    </row>
    <row r="947" spans="2:29" ht="14.25" hidden="1" x14ac:dyDescent="0.2">
      <c r="B947" s="76" t="s">
        <v>1847</v>
      </c>
      <c r="C947" s="77" t="s">
        <v>1848</v>
      </c>
      <c r="D947" s="131"/>
      <c r="E947" s="188">
        <f>SUM('ADICIONES  2021'!C947:I947)</f>
        <v>19934058.309999999</v>
      </c>
      <c r="F947" s="131"/>
      <c r="G947" s="131"/>
      <c r="H947" s="131"/>
      <c r="I947" s="131"/>
      <c r="J947" s="131"/>
      <c r="K947" s="128">
        <f t="shared" si="1137"/>
        <v>19934058.309999999</v>
      </c>
      <c r="L947" s="131"/>
      <c r="M947" s="131"/>
      <c r="N947" s="131"/>
      <c r="O947" s="131"/>
      <c r="P947" s="131">
        <v>19934058.309999999</v>
      </c>
      <c r="Q947" s="424"/>
      <c r="R947" s="128">
        <f t="shared" si="1138"/>
        <v>19934058.309999999</v>
      </c>
      <c r="S947" s="131"/>
      <c r="T947" s="131"/>
      <c r="U947" s="131"/>
      <c r="V947" s="131"/>
      <c r="W947" s="131"/>
      <c r="X947" s="131"/>
      <c r="Y947" s="131"/>
      <c r="Z947" s="131"/>
      <c r="AA947" s="128">
        <f t="shared" si="1130"/>
        <v>0</v>
      </c>
      <c r="AB947" s="128">
        <f t="shared" si="1134"/>
        <v>19934058.309999999</v>
      </c>
      <c r="AC947" s="175">
        <f t="shared" si="1136"/>
        <v>1</v>
      </c>
    </row>
    <row r="948" spans="2:29" ht="28.5" hidden="1" x14ac:dyDescent="0.2">
      <c r="B948" s="76" t="s">
        <v>1849</v>
      </c>
      <c r="C948" s="77" t="s">
        <v>1850</v>
      </c>
      <c r="D948" s="131"/>
      <c r="E948" s="188">
        <f>SUM('ADICIONES  2021'!C948:I948)</f>
        <v>19854946.030000001</v>
      </c>
      <c r="F948" s="131"/>
      <c r="G948" s="131"/>
      <c r="H948" s="131"/>
      <c r="I948" s="131"/>
      <c r="J948" s="131"/>
      <c r="K948" s="128">
        <f t="shared" si="1137"/>
        <v>19854946.030000001</v>
      </c>
      <c r="L948" s="131"/>
      <c r="M948" s="131"/>
      <c r="N948" s="131"/>
      <c r="O948" s="131"/>
      <c r="P948" s="131">
        <v>2072892085.22</v>
      </c>
      <c r="Q948" s="424"/>
      <c r="R948" s="128">
        <f t="shared" si="1138"/>
        <v>2072892085.22</v>
      </c>
      <c r="S948" s="131"/>
      <c r="T948" s="131"/>
      <c r="U948" s="131"/>
      <c r="V948" s="131"/>
      <c r="W948" s="131"/>
      <c r="X948" s="131"/>
      <c r="Y948" s="131"/>
      <c r="Z948" s="131"/>
      <c r="AA948" s="128">
        <f t="shared" si="1130"/>
        <v>0</v>
      </c>
      <c r="AB948" s="128">
        <f t="shared" si="1134"/>
        <v>2072892085.22</v>
      </c>
      <c r="AC948" s="175">
        <f t="shared" si="1136"/>
        <v>104.40179903223842</v>
      </c>
    </row>
    <row r="949" spans="2:29" ht="28.5" hidden="1" x14ac:dyDescent="0.2">
      <c r="B949" s="76" t="s">
        <v>1849</v>
      </c>
      <c r="C949" s="77" t="s">
        <v>1850</v>
      </c>
      <c r="D949" s="131"/>
      <c r="E949" s="188">
        <f>SUM('ADICIONES  2021'!C949:I949)</f>
        <v>2072892085.22</v>
      </c>
      <c r="F949" s="131"/>
      <c r="G949" s="131"/>
      <c r="H949" s="131"/>
      <c r="I949" s="131"/>
      <c r="J949" s="131"/>
      <c r="K949" s="128">
        <f t="shared" si="1137"/>
        <v>2072892085.22</v>
      </c>
      <c r="L949" s="131"/>
      <c r="M949" s="131"/>
      <c r="N949" s="131"/>
      <c r="O949" s="131"/>
      <c r="P949" s="131">
        <v>19854946.030000001</v>
      </c>
      <c r="Q949" s="424"/>
      <c r="R949" s="128">
        <f t="shared" si="1138"/>
        <v>19854946.030000001</v>
      </c>
      <c r="S949" s="131"/>
      <c r="T949" s="131"/>
      <c r="U949" s="131"/>
      <c r="V949" s="131"/>
      <c r="W949" s="131"/>
      <c r="X949" s="131"/>
      <c r="Y949" s="131"/>
      <c r="Z949" s="131"/>
      <c r="AA949" s="128">
        <f t="shared" si="1130"/>
        <v>0</v>
      </c>
      <c r="AB949" s="128">
        <f t="shared" si="1134"/>
        <v>19854946.030000001</v>
      </c>
      <c r="AC949" s="175">
        <f t="shared" si="1136"/>
        <v>9.578379005626218E-3</v>
      </c>
    </row>
    <row r="950" spans="2:29" ht="28.5" hidden="1" x14ac:dyDescent="0.2">
      <c r="B950" s="76" t="s">
        <v>1849</v>
      </c>
      <c r="C950" s="77" t="s">
        <v>1850</v>
      </c>
      <c r="D950" s="131"/>
      <c r="E950" s="188">
        <f>SUM('ADICIONES  2021'!C950:I950)</f>
        <v>5674288</v>
      </c>
      <c r="F950" s="131"/>
      <c r="G950" s="131"/>
      <c r="H950" s="131"/>
      <c r="I950" s="131"/>
      <c r="J950" s="131"/>
      <c r="K950" s="128">
        <f t="shared" si="1137"/>
        <v>5674288</v>
      </c>
      <c r="L950" s="131"/>
      <c r="M950" s="131"/>
      <c r="N950" s="131"/>
      <c r="O950" s="131"/>
      <c r="P950" s="131">
        <v>5674288</v>
      </c>
      <c r="Q950" s="424"/>
      <c r="R950" s="128">
        <f t="shared" si="1138"/>
        <v>5674288</v>
      </c>
      <c r="S950" s="131"/>
      <c r="T950" s="131"/>
      <c r="U950" s="131"/>
      <c r="V950" s="131"/>
      <c r="W950" s="131"/>
      <c r="X950" s="131"/>
      <c r="Y950" s="131"/>
      <c r="Z950" s="131"/>
      <c r="AA950" s="128">
        <f t="shared" si="1130"/>
        <v>0</v>
      </c>
      <c r="AB950" s="128">
        <f t="shared" si="1134"/>
        <v>5674288</v>
      </c>
      <c r="AC950" s="175">
        <f t="shared" si="1136"/>
        <v>1</v>
      </c>
    </row>
    <row r="951" spans="2:29" ht="28.5" hidden="1" x14ac:dyDescent="0.2">
      <c r="B951" s="76" t="s">
        <v>1849</v>
      </c>
      <c r="C951" s="77" t="s">
        <v>1850</v>
      </c>
      <c r="D951" s="131"/>
      <c r="E951" s="188">
        <f>SUM('ADICIONES  2021'!C951:I951)</f>
        <v>16782910.140000001</v>
      </c>
      <c r="F951" s="131"/>
      <c r="G951" s="131"/>
      <c r="H951" s="131"/>
      <c r="I951" s="131"/>
      <c r="J951" s="131"/>
      <c r="K951" s="128">
        <f t="shared" si="1137"/>
        <v>16782910.140000001</v>
      </c>
      <c r="L951" s="131"/>
      <c r="M951" s="131"/>
      <c r="N951" s="131"/>
      <c r="O951" s="131"/>
      <c r="P951" s="131">
        <v>16782910.140000001</v>
      </c>
      <c r="Q951" s="424"/>
      <c r="R951" s="128">
        <f t="shared" si="1138"/>
        <v>16782910.140000001</v>
      </c>
      <c r="S951" s="131"/>
      <c r="T951" s="131"/>
      <c r="U951" s="131"/>
      <c r="V951" s="131"/>
      <c r="W951" s="131"/>
      <c r="X951" s="131"/>
      <c r="Y951" s="131"/>
      <c r="Z951" s="131"/>
      <c r="AA951" s="128">
        <f t="shared" si="1130"/>
        <v>0</v>
      </c>
      <c r="AB951" s="128">
        <f t="shared" si="1134"/>
        <v>16782910.140000001</v>
      </c>
      <c r="AC951" s="175">
        <f t="shared" si="1136"/>
        <v>1</v>
      </c>
    </row>
    <row r="952" spans="2:29" ht="28.5" hidden="1" x14ac:dyDescent="0.2">
      <c r="B952" s="76" t="s">
        <v>1849</v>
      </c>
      <c r="C952" s="77" t="s">
        <v>1850</v>
      </c>
      <c r="D952" s="131"/>
      <c r="E952" s="188">
        <f>SUM('ADICIONES  2021'!C952:I952)</f>
        <v>11551551.130000001</v>
      </c>
      <c r="F952" s="131"/>
      <c r="G952" s="131"/>
      <c r="H952" s="131"/>
      <c r="I952" s="131"/>
      <c r="J952" s="131"/>
      <c r="K952" s="128">
        <f t="shared" si="1137"/>
        <v>11551551.130000001</v>
      </c>
      <c r="L952" s="131"/>
      <c r="M952" s="131"/>
      <c r="N952" s="131"/>
      <c r="O952" s="131"/>
      <c r="P952" s="131">
        <v>11551551.130000001</v>
      </c>
      <c r="Q952" s="424"/>
      <c r="R952" s="128">
        <f t="shared" si="1138"/>
        <v>11551551.130000001</v>
      </c>
      <c r="S952" s="131"/>
      <c r="T952" s="131"/>
      <c r="U952" s="131"/>
      <c r="V952" s="131"/>
      <c r="W952" s="131"/>
      <c r="X952" s="131"/>
      <c r="Y952" s="131"/>
      <c r="Z952" s="131"/>
      <c r="AA952" s="128">
        <f t="shared" si="1130"/>
        <v>0</v>
      </c>
      <c r="AB952" s="128">
        <f t="shared" si="1134"/>
        <v>11551551.130000001</v>
      </c>
      <c r="AC952" s="175">
        <f t="shared" si="1136"/>
        <v>1</v>
      </c>
    </row>
    <row r="953" spans="2:29" ht="28.5" hidden="1" x14ac:dyDescent="0.2">
      <c r="B953" s="76" t="s">
        <v>1849</v>
      </c>
      <c r="C953" s="77" t="s">
        <v>1850</v>
      </c>
      <c r="D953" s="131"/>
      <c r="E953" s="188">
        <f>SUM('ADICIONES  2021'!C953:I953)</f>
        <v>62000000</v>
      </c>
      <c r="F953" s="131"/>
      <c r="G953" s="131"/>
      <c r="H953" s="131"/>
      <c r="I953" s="131"/>
      <c r="J953" s="131"/>
      <c r="K953" s="128">
        <f t="shared" si="1137"/>
        <v>62000000</v>
      </c>
      <c r="L953" s="131"/>
      <c r="M953" s="131"/>
      <c r="N953" s="131"/>
      <c r="O953" s="131"/>
      <c r="P953" s="131">
        <v>62000000</v>
      </c>
      <c r="Q953" s="424"/>
      <c r="R953" s="128">
        <f t="shared" si="1138"/>
        <v>62000000</v>
      </c>
      <c r="S953" s="131"/>
      <c r="T953" s="131"/>
      <c r="U953" s="131"/>
      <c r="V953" s="131"/>
      <c r="W953" s="131"/>
      <c r="X953" s="131"/>
      <c r="Y953" s="131"/>
      <c r="Z953" s="131"/>
      <c r="AA953" s="128">
        <f t="shared" si="1130"/>
        <v>0</v>
      </c>
      <c r="AB953" s="128">
        <f t="shared" si="1134"/>
        <v>62000000</v>
      </c>
      <c r="AC953" s="175">
        <f t="shared" si="1136"/>
        <v>1</v>
      </c>
    </row>
    <row r="954" spans="2:29" ht="28.5" hidden="1" x14ac:dyDescent="0.2">
      <c r="B954" s="76" t="s">
        <v>1849</v>
      </c>
      <c r="C954" s="77" t="s">
        <v>1850</v>
      </c>
      <c r="D954" s="131"/>
      <c r="E954" s="188">
        <f>SUM('ADICIONES  2021'!C954:I954)</f>
        <v>1128419167.9200001</v>
      </c>
      <c r="F954" s="131"/>
      <c r="G954" s="131"/>
      <c r="H954" s="131"/>
      <c r="I954" s="131"/>
      <c r="J954" s="131"/>
      <c r="K954" s="128">
        <f t="shared" si="1137"/>
        <v>1128419167.9200001</v>
      </c>
      <c r="L954" s="131"/>
      <c r="M954" s="131"/>
      <c r="N954" s="131"/>
      <c r="O954" s="131"/>
      <c r="P954" s="131">
        <v>1128419167.9200001</v>
      </c>
      <c r="Q954" s="424"/>
      <c r="R954" s="128">
        <f t="shared" si="1138"/>
        <v>1128419167.9200001</v>
      </c>
      <c r="S954" s="131"/>
      <c r="T954" s="131"/>
      <c r="U954" s="131"/>
      <c r="V954" s="131"/>
      <c r="W954" s="131"/>
      <c r="X954" s="131"/>
      <c r="Y954" s="131"/>
      <c r="Z954" s="131"/>
      <c r="AA954" s="128">
        <f t="shared" si="1130"/>
        <v>0</v>
      </c>
      <c r="AB954" s="128">
        <f t="shared" si="1134"/>
        <v>1128419167.9200001</v>
      </c>
      <c r="AC954" s="175">
        <f t="shared" si="1136"/>
        <v>1</v>
      </c>
    </row>
    <row r="955" spans="2:29" ht="28.5" hidden="1" x14ac:dyDescent="0.2">
      <c r="B955" s="76" t="s">
        <v>1849</v>
      </c>
      <c r="C955" s="77" t="s">
        <v>1850</v>
      </c>
      <c r="D955" s="131"/>
      <c r="E955" s="188">
        <f>SUM('ADICIONES  2021'!C955:I955)</f>
        <v>43017705</v>
      </c>
      <c r="F955" s="131"/>
      <c r="G955" s="131"/>
      <c r="H955" s="131"/>
      <c r="I955" s="131"/>
      <c r="J955" s="131"/>
      <c r="K955" s="128">
        <f t="shared" si="1137"/>
        <v>43017705</v>
      </c>
      <c r="L955" s="131"/>
      <c r="M955" s="131"/>
      <c r="N955" s="131"/>
      <c r="O955" s="131"/>
      <c r="P955" s="131">
        <v>43017705</v>
      </c>
      <c r="Q955" s="424"/>
      <c r="R955" s="128">
        <f t="shared" si="1138"/>
        <v>43017705</v>
      </c>
      <c r="S955" s="131"/>
      <c r="T955" s="131"/>
      <c r="U955" s="131"/>
      <c r="V955" s="131"/>
      <c r="W955" s="131"/>
      <c r="X955" s="131"/>
      <c r="Y955" s="131"/>
      <c r="Z955" s="131"/>
      <c r="AA955" s="128">
        <f t="shared" si="1130"/>
        <v>0</v>
      </c>
      <c r="AB955" s="128">
        <f t="shared" si="1134"/>
        <v>43017705</v>
      </c>
      <c r="AC955" s="175">
        <f t="shared" si="1136"/>
        <v>1</v>
      </c>
    </row>
    <row r="956" spans="2:29" ht="28.5" hidden="1" x14ac:dyDescent="0.2">
      <c r="B956" s="76" t="s">
        <v>1849</v>
      </c>
      <c r="C956" s="77" t="s">
        <v>1850</v>
      </c>
      <c r="D956" s="131"/>
      <c r="E956" s="188">
        <f>SUM('ADICIONES  2021'!C956:I956)</f>
        <v>18902012.960000001</v>
      </c>
      <c r="F956" s="131"/>
      <c r="G956" s="131"/>
      <c r="H956" s="131"/>
      <c r="I956" s="131"/>
      <c r="J956" s="131"/>
      <c r="K956" s="128">
        <f t="shared" si="1137"/>
        <v>18902012.960000001</v>
      </c>
      <c r="L956" s="131"/>
      <c r="M956" s="131"/>
      <c r="N956" s="131"/>
      <c r="O956" s="131"/>
      <c r="P956" s="131">
        <v>18902012.960000001</v>
      </c>
      <c r="Q956" s="424"/>
      <c r="R956" s="128">
        <f t="shared" si="1138"/>
        <v>18902012.960000001</v>
      </c>
      <c r="S956" s="131"/>
      <c r="T956" s="131"/>
      <c r="U956" s="131"/>
      <c r="V956" s="131"/>
      <c r="W956" s="131"/>
      <c r="X956" s="131"/>
      <c r="Y956" s="131"/>
      <c r="Z956" s="131"/>
      <c r="AA956" s="128">
        <f t="shared" si="1130"/>
        <v>0</v>
      </c>
      <c r="AB956" s="128">
        <f t="shared" si="1134"/>
        <v>18902012.960000001</v>
      </c>
      <c r="AC956" s="175">
        <f t="shared" si="1136"/>
        <v>1</v>
      </c>
    </row>
    <row r="957" spans="2:29" ht="28.5" hidden="1" x14ac:dyDescent="0.2">
      <c r="B957" s="76" t="s">
        <v>1849</v>
      </c>
      <c r="C957" s="77" t="s">
        <v>1850</v>
      </c>
      <c r="D957" s="131"/>
      <c r="E957" s="188">
        <f>SUM('ADICIONES  2021'!C957:I957)</f>
        <v>1120007430.79</v>
      </c>
      <c r="F957" s="131"/>
      <c r="G957" s="131"/>
      <c r="H957" s="131"/>
      <c r="I957" s="131"/>
      <c r="J957" s="131"/>
      <c r="K957" s="128">
        <f t="shared" si="1137"/>
        <v>1120007430.79</v>
      </c>
      <c r="L957" s="131"/>
      <c r="M957" s="131"/>
      <c r="N957" s="131"/>
      <c r="O957" s="131"/>
      <c r="P957" s="131">
        <v>1120007430.79</v>
      </c>
      <c r="Q957" s="424"/>
      <c r="R957" s="128">
        <f t="shared" si="1138"/>
        <v>1120007430.79</v>
      </c>
      <c r="S957" s="131"/>
      <c r="T957" s="131"/>
      <c r="U957" s="131"/>
      <c r="V957" s="131"/>
      <c r="W957" s="131"/>
      <c r="X957" s="131"/>
      <c r="Y957" s="131"/>
      <c r="Z957" s="131"/>
      <c r="AA957" s="128">
        <f t="shared" si="1130"/>
        <v>0</v>
      </c>
      <c r="AB957" s="128">
        <f t="shared" si="1134"/>
        <v>1120007430.79</v>
      </c>
      <c r="AC957" s="175">
        <f t="shared" si="1136"/>
        <v>1</v>
      </c>
    </row>
    <row r="958" spans="2:29" ht="28.5" hidden="1" x14ac:dyDescent="0.2">
      <c r="B958" s="76" t="s">
        <v>1849</v>
      </c>
      <c r="C958" s="77" t="s">
        <v>1850</v>
      </c>
      <c r="D958" s="131"/>
      <c r="E958" s="188">
        <f>SUM('ADICIONES  2021'!C958:I958)</f>
        <v>132530138.45999999</v>
      </c>
      <c r="F958" s="131"/>
      <c r="G958" s="131"/>
      <c r="H958" s="131"/>
      <c r="I958" s="131"/>
      <c r="J958" s="131"/>
      <c r="K958" s="128">
        <f t="shared" si="1137"/>
        <v>132530138.45999999</v>
      </c>
      <c r="L958" s="131"/>
      <c r="M958" s="131"/>
      <c r="N958" s="131"/>
      <c r="O958" s="131"/>
      <c r="P958" s="131">
        <v>132530138.45999999</v>
      </c>
      <c r="Q958" s="424"/>
      <c r="R958" s="128">
        <f t="shared" si="1138"/>
        <v>132530138.45999999</v>
      </c>
      <c r="S958" s="131"/>
      <c r="T958" s="131"/>
      <c r="U958" s="131"/>
      <c r="V958" s="131"/>
      <c r="W958" s="131"/>
      <c r="X958" s="131"/>
      <c r="Y958" s="131"/>
      <c r="Z958" s="131"/>
      <c r="AA958" s="128">
        <f t="shared" si="1130"/>
        <v>0</v>
      </c>
      <c r="AB958" s="128">
        <f t="shared" si="1134"/>
        <v>132530138.45999999</v>
      </c>
      <c r="AC958" s="175">
        <f t="shared" si="1136"/>
        <v>1</v>
      </c>
    </row>
    <row r="959" spans="2:29" ht="28.5" hidden="1" x14ac:dyDescent="0.2">
      <c r="B959" s="76" t="s">
        <v>1849</v>
      </c>
      <c r="C959" s="77" t="s">
        <v>1850</v>
      </c>
      <c r="D959" s="131"/>
      <c r="E959" s="188">
        <f>SUM('ADICIONES  2021'!C959:I959)</f>
        <v>8035590</v>
      </c>
      <c r="F959" s="131"/>
      <c r="G959" s="131"/>
      <c r="H959" s="131"/>
      <c r="I959" s="131"/>
      <c r="J959" s="131"/>
      <c r="K959" s="128">
        <f t="shared" si="1137"/>
        <v>8035590</v>
      </c>
      <c r="L959" s="131"/>
      <c r="M959" s="131"/>
      <c r="N959" s="131"/>
      <c r="O959" s="131"/>
      <c r="P959" s="131">
        <v>8035590</v>
      </c>
      <c r="Q959" s="424"/>
      <c r="R959" s="128">
        <f t="shared" si="1138"/>
        <v>8035590</v>
      </c>
      <c r="S959" s="131"/>
      <c r="T959" s="131"/>
      <c r="U959" s="131"/>
      <c r="V959" s="131"/>
      <c r="W959" s="131"/>
      <c r="X959" s="131"/>
      <c r="Y959" s="131"/>
      <c r="Z959" s="131"/>
      <c r="AA959" s="128">
        <f t="shared" si="1130"/>
        <v>0</v>
      </c>
      <c r="AB959" s="128">
        <f t="shared" si="1134"/>
        <v>8035590</v>
      </c>
      <c r="AC959" s="175">
        <f t="shared" si="1136"/>
        <v>1</v>
      </c>
    </row>
    <row r="960" spans="2:29" ht="28.5" hidden="1" x14ac:dyDescent="0.2">
      <c r="B960" s="76" t="s">
        <v>1849</v>
      </c>
      <c r="C960" s="77" t="s">
        <v>1850</v>
      </c>
      <c r="D960" s="131"/>
      <c r="E960" s="188">
        <f>SUM('ADICIONES  2021'!C960:I960)</f>
        <v>8933370</v>
      </c>
      <c r="F960" s="131"/>
      <c r="G960" s="131"/>
      <c r="H960" s="131"/>
      <c r="I960" s="131"/>
      <c r="J960" s="131"/>
      <c r="K960" s="128">
        <f t="shared" si="1137"/>
        <v>8933370</v>
      </c>
      <c r="L960" s="131"/>
      <c r="M960" s="131"/>
      <c r="N960" s="131"/>
      <c r="O960" s="131"/>
      <c r="P960" s="131">
        <v>8933370</v>
      </c>
      <c r="Q960" s="424"/>
      <c r="R960" s="128">
        <f t="shared" si="1138"/>
        <v>8933370</v>
      </c>
      <c r="S960" s="131"/>
      <c r="T960" s="131"/>
      <c r="U960" s="131"/>
      <c r="V960" s="131"/>
      <c r="W960" s="131"/>
      <c r="X960" s="131"/>
      <c r="Y960" s="131"/>
      <c r="Z960" s="131"/>
      <c r="AA960" s="128">
        <f t="shared" si="1130"/>
        <v>0</v>
      </c>
      <c r="AB960" s="128">
        <f t="shared" si="1134"/>
        <v>8933370</v>
      </c>
      <c r="AC960" s="175">
        <f t="shared" si="1136"/>
        <v>1</v>
      </c>
    </row>
    <row r="961" spans="1:29" ht="28.5" hidden="1" x14ac:dyDescent="0.2">
      <c r="B961" s="76" t="s">
        <v>1849</v>
      </c>
      <c r="C961" s="77" t="s">
        <v>1850</v>
      </c>
      <c r="D961" s="131"/>
      <c r="E961" s="188">
        <f>SUM('ADICIONES  2021'!C961:I961)</f>
        <v>10453972</v>
      </c>
      <c r="F961" s="131"/>
      <c r="G961" s="131"/>
      <c r="H961" s="131"/>
      <c r="I961" s="131"/>
      <c r="J961" s="131"/>
      <c r="K961" s="128">
        <f t="shared" si="1137"/>
        <v>10453972</v>
      </c>
      <c r="L961" s="131"/>
      <c r="M961" s="131"/>
      <c r="N961" s="131"/>
      <c r="O961" s="131"/>
      <c r="P961" s="131">
        <v>10453972</v>
      </c>
      <c r="Q961" s="424"/>
      <c r="R961" s="128">
        <f t="shared" si="1138"/>
        <v>10453972</v>
      </c>
      <c r="S961" s="131"/>
      <c r="T961" s="131"/>
      <c r="U961" s="131"/>
      <c r="V961" s="131"/>
      <c r="W961" s="131"/>
      <c r="X961" s="131"/>
      <c r="Y961" s="131"/>
      <c r="Z961" s="131"/>
      <c r="AA961" s="128">
        <f t="shared" si="1130"/>
        <v>0</v>
      </c>
      <c r="AB961" s="128">
        <f t="shared" si="1134"/>
        <v>10453972</v>
      </c>
      <c r="AC961" s="175">
        <f t="shared" si="1136"/>
        <v>1</v>
      </c>
    </row>
    <row r="962" spans="1:29" ht="28.5" hidden="1" x14ac:dyDescent="0.2">
      <c r="B962" s="76" t="s">
        <v>1849</v>
      </c>
      <c r="C962" s="77" t="s">
        <v>1850</v>
      </c>
      <c r="D962" s="131"/>
      <c r="E962" s="188">
        <f>SUM('ADICIONES  2021'!C962:I962)</f>
        <v>637773</v>
      </c>
      <c r="F962" s="131"/>
      <c r="G962" s="131"/>
      <c r="H962" s="131"/>
      <c r="I962" s="131"/>
      <c r="J962" s="131"/>
      <c r="K962" s="128">
        <f t="shared" si="1137"/>
        <v>637773</v>
      </c>
      <c r="L962" s="131"/>
      <c r="M962" s="131"/>
      <c r="N962" s="131"/>
      <c r="O962" s="131"/>
      <c r="P962" s="131">
        <v>637773</v>
      </c>
      <c r="Q962" s="424"/>
      <c r="R962" s="128">
        <f t="shared" si="1138"/>
        <v>637773</v>
      </c>
      <c r="S962" s="131"/>
      <c r="T962" s="131"/>
      <c r="U962" s="131"/>
      <c r="V962" s="131"/>
      <c r="W962" s="131"/>
      <c r="X962" s="131"/>
      <c r="Y962" s="131"/>
      <c r="Z962" s="131"/>
      <c r="AA962" s="128">
        <f t="shared" si="1130"/>
        <v>0</v>
      </c>
      <c r="AB962" s="128">
        <f t="shared" si="1134"/>
        <v>637773</v>
      </c>
      <c r="AC962" s="175">
        <f t="shared" si="1136"/>
        <v>1</v>
      </c>
    </row>
    <row r="963" spans="1:29" ht="30" x14ac:dyDescent="0.2">
      <c r="A963" s="398">
        <v>1</v>
      </c>
      <c r="B963" s="82" t="s">
        <v>850</v>
      </c>
      <c r="C963" s="83" t="s">
        <v>1851</v>
      </c>
      <c r="D963" s="130">
        <f>+D964</f>
        <v>0</v>
      </c>
      <c r="E963" s="187">
        <f>SUM('ADICIONES  2021'!C963:I963)</f>
        <v>0</v>
      </c>
      <c r="F963" s="130">
        <f t="shared" ref="F963:J963" si="1139">+F964</f>
        <v>0</v>
      </c>
      <c r="G963" s="130">
        <f t="shared" si="1139"/>
        <v>0</v>
      </c>
      <c r="H963" s="130">
        <f t="shared" si="1139"/>
        <v>0</v>
      </c>
      <c r="I963" s="130">
        <f t="shared" si="1139"/>
        <v>0</v>
      </c>
      <c r="J963" s="130">
        <f t="shared" si="1139"/>
        <v>0</v>
      </c>
      <c r="K963" s="128">
        <f t="shared" si="1137"/>
        <v>0</v>
      </c>
      <c r="L963" s="132">
        <f t="shared" ref="L963:Q963" si="1140">+L964</f>
        <v>0</v>
      </c>
      <c r="M963" s="132">
        <f t="shared" si="1140"/>
        <v>0</v>
      </c>
      <c r="N963" s="132">
        <f t="shared" si="1140"/>
        <v>0</v>
      </c>
      <c r="O963" s="132">
        <f t="shared" si="1140"/>
        <v>737320</v>
      </c>
      <c r="P963" s="132">
        <f t="shared" si="1140"/>
        <v>0</v>
      </c>
      <c r="Q963" s="132">
        <f t="shared" si="1140"/>
        <v>456420</v>
      </c>
      <c r="R963" s="127">
        <f t="shared" si="1138"/>
        <v>1193740</v>
      </c>
      <c r="S963" s="132">
        <f t="shared" ref="S963:Z963" si="1141">+S964</f>
        <v>0</v>
      </c>
      <c r="T963" s="130">
        <f t="shared" si="1141"/>
        <v>0</v>
      </c>
      <c r="U963" s="130">
        <f t="shared" si="1141"/>
        <v>0</v>
      </c>
      <c r="V963" s="130">
        <f t="shared" si="1141"/>
        <v>0</v>
      </c>
      <c r="W963" s="130">
        <f t="shared" si="1141"/>
        <v>0</v>
      </c>
      <c r="X963" s="130">
        <f t="shared" si="1141"/>
        <v>0</v>
      </c>
      <c r="Y963" s="132">
        <f t="shared" si="1141"/>
        <v>0</v>
      </c>
      <c r="Z963" s="130">
        <f t="shared" si="1141"/>
        <v>0</v>
      </c>
      <c r="AA963" s="127">
        <f t="shared" si="1130"/>
        <v>0</v>
      </c>
      <c r="AB963" s="128">
        <f t="shared" si="1134"/>
        <v>1193740</v>
      </c>
      <c r="AC963" s="175">
        <v>0</v>
      </c>
    </row>
    <row r="964" spans="1:29" ht="14.25" hidden="1" x14ac:dyDescent="0.2">
      <c r="B964" s="76" t="s">
        <v>1126</v>
      </c>
      <c r="C964" s="77" t="s">
        <v>1127</v>
      </c>
      <c r="D964" s="131"/>
      <c r="E964" s="188">
        <f>SUM('ADICIONES  2021'!C964:I964)</f>
        <v>0</v>
      </c>
      <c r="F964" s="131"/>
      <c r="G964" s="131"/>
      <c r="H964" s="131"/>
      <c r="I964" s="131"/>
      <c r="J964" s="131"/>
      <c r="K964" s="128">
        <f t="shared" si="1137"/>
        <v>0</v>
      </c>
      <c r="L964" s="131"/>
      <c r="M964" s="131"/>
      <c r="N964" s="131"/>
      <c r="O964" s="131">
        <v>737320</v>
      </c>
      <c r="P964" s="131"/>
      <c r="Q964" s="424">
        <v>456420</v>
      </c>
      <c r="R964" s="128">
        <f t="shared" si="1138"/>
        <v>1193740</v>
      </c>
      <c r="S964" s="131"/>
      <c r="T964" s="131"/>
      <c r="U964" s="131"/>
      <c r="V964" s="131"/>
      <c r="W964" s="131"/>
      <c r="X964" s="131"/>
      <c r="Y964" s="131"/>
      <c r="Z964" s="131"/>
      <c r="AA964" s="128">
        <f t="shared" si="1130"/>
        <v>0</v>
      </c>
      <c r="AB964" s="128">
        <f t="shared" si="1134"/>
        <v>1193740</v>
      </c>
      <c r="AC964" s="175">
        <v>0</v>
      </c>
    </row>
    <row r="965" spans="1:29" ht="15.75" hidden="1" x14ac:dyDescent="0.2">
      <c r="B965" s="81" t="s">
        <v>1852</v>
      </c>
      <c r="C965" s="79" t="s">
        <v>1853</v>
      </c>
      <c r="D965" s="130">
        <f>+D966</f>
        <v>0</v>
      </c>
      <c r="E965" s="187">
        <f>SUM('ADICIONES  2021'!C965:I965)</f>
        <v>26740484269.560001</v>
      </c>
      <c r="F965" s="130">
        <f t="shared" ref="F965:J967" si="1142">+F966</f>
        <v>0</v>
      </c>
      <c r="G965" s="130">
        <f t="shared" si="1142"/>
        <v>0</v>
      </c>
      <c r="H965" s="130">
        <f t="shared" si="1142"/>
        <v>0</v>
      </c>
      <c r="I965" s="130">
        <f t="shared" si="1142"/>
        <v>0</v>
      </c>
      <c r="J965" s="130">
        <f t="shared" si="1142"/>
        <v>0</v>
      </c>
      <c r="K965" s="128">
        <f t="shared" si="1137"/>
        <v>26740484269.560001</v>
      </c>
      <c r="L965" s="130">
        <f t="shared" ref="L965:Q967" si="1143">+L966</f>
        <v>0</v>
      </c>
      <c r="M965" s="130">
        <f t="shared" si="1143"/>
        <v>0</v>
      </c>
      <c r="N965" s="130">
        <f t="shared" si="1143"/>
        <v>0</v>
      </c>
      <c r="O965" s="130">
        <f t="shared" si="1143"/>
        <v>0</v>
      </c>
      <c r="P965" s="130">
        <f t="shared" si="1143"/>
        <v>26740484269.560001</v>
      </c>
      <c r="Q965" s="423">
        <f t="shared" si="1143"/>
        <v>0</v>
      </c>
      <c r="R965" s="128">
        <f t="shared" si="1138"/>
        <v>26740484269.560001</v>
      </c>
      <c r="S965" s="130">
        <f t="shared" ref="S965:Z967" si="1144">+S966</f>
        <v>0</v>
      </c>
      <c r="T965" s="130">
        <f t="shared" si="1144"/>
        <v>0</v>
      </c>
      <c r="U965" s="130">
        <f t="shared" si="1144"/>
        <v>0</v>
      </c>
      <c r="V965" s="130">
        <f t="shared" si="1144"/>
        <v>0</v>
      </c>
      <c r="W965" s="130">
        <f t="shared" si="1144"/>
        <v>0</v>
      </c>
      <c r="X965" s="130">
        <f t="shared" si="1144"/>
        <v>0</v>
      </c>
      <c r="Y965" s="130">
        <f t="shared" si="1144"/>
        <v>0</v>
      </c>
      <c r="Z965" s="130">
        <f t="shared" si="1144"/>
        <v>0</v>
      </c>
      <c r="AA965" s="128">
        <f t="shared" si="1130"/>
        <v>0</v>
      </c>
      <c r="AB965" s="128">
        <f t="shared" si="1134"/>
        <v>26740484269.560001</v>
      </c>
      <c r="AC965" s="175">
        <f t="shared" si="1136"/>
        <v>1</v>
      </c>
    </row>
    <row r="966" spans="1:29" ht="16.5" thickBot="1" x14ac:dyDescent="0.25">
      <c r="A966" s="398">
        <v>1</v>
      </c>
      <c r="B966" s="81" t="s">
        <v>1656</v>
      </c>
      <c r="C966" s="79" t="s">
        <v>1657</v>
      </c>
      <c r="D966" s="130">
        <f>+D967</f>
        <v>0</v>
      </c>
      <c r="E966" s="187">
        <f>SUM('ADICIONES  2021'!C966:I966)</f>
        <v>26740484269.560001</v>
      </c>
      <c r="F966" s="130">
        <f t="shared" si="1142"/>
        <v>0</v>
      </c>
      <c r="G966" s="130">
        <f t="shared" si="1142"/>
        <v>0</v>
      </c>
      <c r="H966" s="130">
        <f t="shared" si="1142"/>
        <v>0</v>
      </c>
      <c r="I966" s="130">
        <f t="shared" si="1142"/>
        <v>0</v>
      </c>
      <c r="J966" s="130">
        <f t="shared" si="1142"/>
        <v>0</v>
      </c>
      <c r="K966" s="128">
        <f t="shared" si="1137"/>
        <v>26740484269.560001</v>
      </c>
      <c r="L966" s="130">
        <f t="shared" si="1143"/>
        <v>0</v>
      </c>
      <c r="M966" s="130">
        <f t="shared" si="1143"/>
        <v>0</v>
      </c>
      <c r="N966" s="130">
        <f t="shared" si="1143"/>
        <v>0</v>
      </c>
      <c r="O966" s="130">
        <f t="shared" si="1143"/>
        <v>0</v>
      </c>
      <c r="P966" s="130">
        <f t="shared" si="1143"/>
        <v>26740484269.560001</v>
      </c>
      <c r="Q966" s="130">
        <f t="shared" si="1143"/>
        <v>0</v>
      </c>
      <c r="R966" s="128">
        <f t="shared" si="1138"/>
        <v>26740484269.560001</v>
      </c>
      <c r="S966" s="130">
        <f t="shared" si="1144"/>
        <v>0</v>
      </c>
      <c r="T966" s="130">
        <f t="shared" si="1144"/>
        <v>0</v>
      </c>
      <c r="U966" s="130">
        <f t="shared" si="1144"/>
        <v>0</v>
      </c>
      <c r="V966" s="130">
        <f t="shared" si="1144"/>
        <v>0</v>
      </c>
      <c r="W966" s="130">
        <f t="shared" si="1144"/>
        <v>0</v>
      </c>
      <c r="X966" s="130">
        <f t="shared" si="1144"/>
        <v>0</v>
      </c>
      <c r="Y966" s="130">
        <f t="shared" si="1144"/>
        <v>0</v>
      </c>
      <c r="Z966" s="130">
        <f t="shared" si="1144"/>
        <v>0</v>
      </c>
      <c r="AA966" s="128">
        <f t="shared" si="1130"/>
        <v>0</v>
      </c>
      <c r="AB966" s="128">
        <f t="shared" si="1134"/>
        <v>26740484269.560001</v>
      </c>
      <c r="AC966" s="175">
        <f t="shared" si="1136"/>
        <v>1</v>
      </c>
    </row>
    <row r="967" spans="1:29" ht="16.5" hidden="1" thickBot="1" x14ac:dyDescent="0.25">
      <c r="B967" s="81" t="s">
        <v>1658</v>
      </c>
      <c r="C967" s="79" t="s">
        <v>1659</v>
      </c>
      <c r="D967" s="130">
        <f>+D968</f>
        <v>0</v>
      </c>
      <c r="E967" s="187">
        <f>SUM('ADICIONES  2021'!C967:I967)</f>
        <v>26740484269.560001</v>
      </c>
      <c r="F967" s="130">
        <f t="shared" si="1142"/>
        <v>0</v>
      </c>
      <c r="G967" s="130">
        <f t="shared" si="1142"/>
        <v>0</v>
      </c>
      <c r="H967" s="130">
        <f t="shared" si="1142"/>
        <v>0</v>
      </c>
      <c r="I967" s="130">
        <f t="shared" si="1142"/>
        <v>0</v>
      </c>
      <c r="J967" s="130">
        <f t="shared" si="1142"/>
        <v>0</v>
      </c>
      <c r="K967" s="128">
        <f t="shared" si="1137"/>
        <v>26740484269.560001</v>
      </c>
      <c r="L967" s="130">
        <f t="shared" si="1143"/>
        <v>0</v>
      </c>
      <c r="M967" s="130">
        <f t="shared" si="1143"/>
        <v>0</v>
      </c>
      <c r="N967" s="130">
        <f t="shared" si="1143"/>
        <v>0</v>
      </c>
      <c r="O967" s="130">
        <f t="shared" si="1143"/>
        <v>0</v>
      </c>
      <c r="P967" s="130">
        <f t="shared" si="1143"/>
        <v>26740484269.560001</v>
      </c>
      <c r="Q967" s="423">
        <f t="shared" si="1143"/>
        <v>0</v>
      </c>
      <c r="R967" s="128">
        <f t="shared" si="1138"/>
        <v>26740484269.560001</v>
      </c>
      <c r="S967" s="130">
        <f t="shared" si="1144"/>
        <v>0</v>
      </c>
      <c r="T967" s="130">
        <f t="shared" si="1144"/>
        <v>0</v>
      </c>
      <c r="U967" s="130">
        <f t="shared" si="1144"/>
        <v>0</v>
      </c>
      <c r="V967" s="130">
        <f t="shared" si="1144"/>
        <v>0</v>
      </c>
      <c r="W967" s="130">
        <f t="shared" si="1144"/>
        <v>0</v>
      </c>
      <c r="X967" s="130">
        <f t="shared" si="1144"/>
        <v>0</v>
      </c>
      <c r="Y967" s="130">
        <f t="shared" si="1144"/>
        <v>0</v>
      </c>
      <c r="Z967" s="130">
        <f t="shared" si="1144"/>
        <v>0</v>
      </c>
      <c r="AA967" s="128">
        <f t="shared" si="1130"/>
        <v>0</v>
      </c>
      <c r="AB967" s="128">
        <f t="shared" si="1134"/>
        <v>26740484269.560001</v>
      </c>
      <c r="AC967" s="175">
        <f t="shared" si="1136"/>
        <v>1</v>
      </c>
    </row>
    <row r="968" spans="1:29" ht="32.25" hidden="1" thickBot="1" x14ac:dyDescent="0.25">
      <c r="B968" s="81" t="s">
        <v>1660</v>
      </c>
      <c r="C968" s="79" t="s">
        <v>1661</v>
      </c>
      <c r="D968" s="130">
        <f>SUM(D969:D987)</f>
        <v>0</v>
      </c>
      <c r="E968" s="187">
        <f>SUM('ADICIONES  2021'!C968:I968)</f>
        <v>26740484269.560001</v>
      </c>
      <c r="F968" s="130">
        <f t="shared" ref="F968:J968" si="1145">SUM(F969:F987)</f>
        <v>0</v>
      </c>
      <c r="G968" s="130">
        <f t="shared" si="1145"/>
        <v>0</v>
      </c>
      <c r="H968" s="130">
        <f t="shared" si="1145"/>
        <v>0</v>
      </c>
      <c r="I968" s="130">
        <f t="shared" si="1145"/>
        <v>0</v>
      </c>
      <c r="J968" s="130">
        <f t="shared" si="1145"/>
        <v>0</v>
      </c>
      <c r="K968" s="128">
        <f t="shared" si="1137"/>
        <v>26740484269.560001</v>
      </c>
      <c r="L968" s="130">
        <f t="shared" ref="L968:Q968" si="1146">SUM(L969:L987)</f>
        <v>0</v>
      </c>
      <c r="M968" s="130">
        <f t="shared" si="1146"/>
        <v>0</v>
      </c>
      <c r="N968" s="130">
        <f t="shared" si="1146"/>
        <v>0</v>
      </c>
      <c r="O968" s="130">
        <f t="shared" si="1146"/>
        <v>0</v>
      </c>
      <c r="P968" s="130">
        <f t="shared" si="1146"/>
        <v>26740484269.560001</v>
      </c>
      <c r="Q968" s="423">
        <f t="shared" si="1146"/>
        <v>0</v>
      </c>
      <c r="R968" s="128">
        <f t="shared" si="1138"/>
        <v>26740484269.560001</v>
      </c>
      <c r="S968" s="130">
        <f t="shared" ref="S968:Z968" si="1147">SUM(S969:S987)</f>
        <v>0</v>
      </c>
      <c r="T968" s="130">
        <f t="shared" si="1147"/>
        <v>0</v>
      </c>
      <c r="U968" s="130">
        <f t="shared" si="1147"/>
        <v>0</v>
      </c>
      <c r="V968" s="130">
        <f t="shared" si="1147"/>
        <v>0</v>
      </c>
      <c r="W968" s="130">
        <f t="shared" si="1147"/>
        <v>0</v>
      </c>
      <c r="X968" s="130">
        <f t="shared" si="1147"/>
        <v>0</v>
      </c>
      <c r="Y968" s="130">
        <f t="shared" si="1147"/>
        <v>0</v>
      </c>
      <c r="Z968" s="130">
        <f t="shared" si="1147"/>
        <v>0</v>
      </c>
      <c r="AA968" s="128">
        <f t="shared" si="1130"/>
        <v>0</v>
      </c>
      <c r="AB968" s="128">
        <f t="shared" si="1134"/>
        <v>26740484269.560001</v>
      </c>
      <c r="AC968" s="175">
        <f t="shared" si="1136"/>
        <v>1</v>
      </c>
    </row>
    <row r="969" spans="1:29" hidden="1" thickBot="1" x14ac:dyDescent="0.25">
      <c r="B969" s="76" t="s">
        <v>1854</v>
      </c>
      <c r="C969" s="77" t="s">
        <v>1855</v>
      </c>
      <c r="D969" s="131"/>
      <c r="E969" s="188">
        <f>SUM('ADICIONES  2021'!C969:I969)</f>
        <v>233441300</v>
      </c>
      <c r="F969" s="131"/>
      <c r="G969" s="131"/>
      <c r="H969" s="131"/>
      <c r="I969" s="131"/>
      <c r="J969" s="131"/>
      <c r="K969" s="128">
        <f t="shared" si="1137"/>
        <v>233441300</v>
      </c>
      <c r="L969" s="131"/>
      <c r="M969" s="131"/>
      <c r="N969" s="131"/>
      <c r="O969" s="131"/>
      <c r="P969" s="131">
        <v>233441300</v>
      </c>
      <c r="Q969" s="424"/>
      <c r="R969" s="128">
        <f t="shared" si="1138"/>
        <v>233441300</v>
      </c>
      <c r="S969" s="131"/>
      <c r="T969" s="131"/>
      <c r="U969" s="131"/>
      <c r="V969" s="131"/>
      <c r="W969" s="131"/>
      <c r="X969" s="131"/>
      <c r="Y969" s="131"/>
      <c r="Z969" s="131"/>
      <c r="AA969" s="128">
        <f t="shared" si="1130"/>
        <v>0</v>
      </c>
      <c r="AB969" s="128">
        <f t="shared" si="1134"/>
        <v>233441300</v>
      </c>
      <c r="AC969" s="175">
        <f t="shared" si="1136"/>
        <v>1</v>
      </c>
    </row>
    <row r="970" spans="1:29" ht="29.25" hidden="1" thickBot="1" x14ac:dyDescent="0.25">
      <c r="B970" s="76" t="s">
        <v>1856</v>
      </c>
      <c r="C970" s="77" t="s">
        <v>1857</v>
      </c>
      <c r="D970" s="131"/>
      <c r="E970" s="188">
        <f>SUM('ADICIONES  2021'!C970:I970)</f>
        <v>1434077627</v>
      </c>
      <c r="F970" s="131"/>
      <c r="G970" s="131"/>
      <c r="H970" s="131"/>
      <c r="I970" s="131"/>
      <c r="J970" s="131"/>
      <c r="K970" s="128">
        <f t="shared" si="1137"/>
        <v>1434077627</v>
      </c>
      <c r="L970" s="131"/>
      <c r="M970" s="131"/>
      <c r="N970" s="131"/>
      <c r="O970" s="131"/>
      <c r="P970" s="131">
        <v>1434077627</v>
      </c>
      <c r="Q970" s="424"/>
      <c r="R970" s="128">
        <f t="shared" si="1138"/>
        <v>1434077627</v>
      </c>
      <c r="S970" s="131"/>
      <c r="T970" s="131"/>
      <c r="U970" s="131"/>
      <c r="V970" s="131"/>
      <c r="W970" s="131"/>
      <c r="X970" s="131"/>
      <c r="Y970" s="131"/>
      <c r="Z970" s="131"/>
      <c r="AA970" s="128">
        <f t="shared" si="1130"/>
        <v>0</v>
      </c>
      <c r="AB970" s="128">
        <f t="shared" si="1134"/>
        <v>1434077627</v>
      </c>
      <c r="AC970" s="175">
        <f t="shared" si="1136"/>
        <v>1</v>
      </c>
    </row>
    <row r="971" spans="1:29" ht="29.25" hidden="1" thickBot="1" x14ac:dyDescent="0.25">
      <c r="B971" s="76" t="s">
        <v>1856</v>
      </c>
      <c r="C971" s="77" t="s">
        <v>1857</v>
      </c>
      <c r="D971" s="131"/>
      <c r="E971" s="188">
        <f>SUM('ADICIONES  2021'!C971:I971)</f>
        <v>1867033692</v>
      </c>
      <c r="F971" s="131"/>
      <c r="G971" s="131"/>
      <c r="H971" s="131"/>
      <c r="I971" s="131"/>
      <c r="J971" s="131"/>
      <c r="K971" s="128">
        <f t="shared" si="1137"/>
        <v>1867033692</v>
      </c>
      <c r="L971" s="131"/>
      <c r="M971" s="131"/>
      <c r="N971" s="131"/>
      <c r="O971" s="131"/>
      <c r="P971" s="131">
        <v>1867033692</v>
      </c>
      <c r="Q971" s="424"/>
      <c r="R971" s="128">
        <f t="shared" si="1138"/>
        <v>1867033692</v>
      </c>
      <c r="S971" s="131"/>
      <c r="T971" s="131"/>
      <c r="U971" s="131"/>
      <c r="V971" s="131"/>
      <c r="W971" s="131"/>
      <c r="X971" s="131"/>
      <c r="Y971" s="131"/>
      <c r="Z971" s="131"/>
      <c r="AA971" s="128">
        <f t="shared" si="1130"/>
        <v>0</v>
      </c>
      <c r="AB971" s="128">
        <f t="shared" si="1134"/>
        <v>1867033692</v>
      </c>
      <c r="AC971" s="175">
        <f t="shared" si="1136"/>
        <v>1</v>
      </c>
    </row>
    <row r="972" spans="1:29" hidden="1" thickBot="1" x14ac:dyDescent="0.25">
      <c r="B972" s="76" t="s">
        <v>1858</v>
      </c>
      <c r="C972" s="77" t="s">
        <v>1859</v>
      </c>
      <c r="D972" s="131"/>
      <c r="E972" s="188">
        <f>SUM('ADICIONES  2021'!C972:I972)</f>
        <v>8254716.1600000001</v>
      </c>
      <c r="F972" s="131"/>
      <c r="G972" s="131"/>
      <c r="H972" s="131"/>
      <c r="I972" s="131"/>
      <c r="J972" s="131"/>
      <c r="K972" s="128">
        <f t="shared" si="1137"/>
        <v>8254716.1600000001</v>
      </c>
      <c r="L972" s="131"/>
      <c r="M972" s="131"/>
      <c r="N972" s="131"/>
      <c r="O972" s="131"/>
      <c r="P972" s="131">
        <v>8254716.1600000001</v>
      </c>
      <c r="Q972" s="424"/>
      <c r="R972" s="128">
        <f t="shared" si="1138"/>
        <v>8254716.1600000001</v>
      </c>
      <c r="S972" s="131"/>
      <c r="T972" s="131"/>
      <c r="U972" s="131"/>
      <c r="V972" s="131"/>
      <c r="W972" s="131"/>
      <c r="X972" s="131"/>
      <c r="Y972" s="131"/>
      <c r="Z972" s="131"/>
      <c r="AA972" s="128">
        <f t="shared" si="1130"/>
        <v>0</v>
      </c>
      <c r="AB972" s="128">
        <f t="shared" si="1134"/>
        <v>8254716.1600000001</v>
      </c>
      <c r="AC972" s="175">
        <f t="shared" si="1136"/>
        <v>1</v>
      </c>
    </row>
    <row r="973" spans="1:29" hidden="1" thickBot="1" x14ac:dyDescent="0.25">
      <c r="B973" s="76" t="s">
        <v>1858</v>
      </c>
      <c r="C973" s="77" t="s">
        <v>1859</v>
      </c>
      <c r="D973" s="131"/>
      <c r="E973" s="188">
        <f>SUM('ADICIONES  2021'!C973:I973)</f>
        <v>79999980</v>
      </c>
      <c r="F973" s="131"/>
      <c r="G973" s="131"/>
      <c r="H973" s="131"/>
      <c r="I973" s="131"/>
      <c r="J973" s="131"/>
      <c r="K973" s="128">
        <f t="shared" si="1137"/>
        <v>79999980</v>
      </c>
      <c r="L973" s="131"/>
      <c r="M973" s="131"/>
      <c r="N973" s="131"/>
      <c r="O973" s="131"/>
      <c r="P973" s="131">
        <v>79999980</v>
      </c>
      <c r="Q973" s="424"/>
      <c r="R973" s="128">
        <f t="shared" si="1138"/>
        <v>79999980</v>
      </c>
      <c r="S973" s="131"/>
      <c r="T973" s="131"/>
      <c r="U973" s="131"/>
      <c r="V973" s="131"/>
      <c r="W973" s="131"/>
      <c r="X973" s="131"/>
      <c r="Y973" s="131"/>
      <c r="Z973" s="131"/>
      <c r="AA973" s="128">
        <f t="shared" si="1130"/>
        <v>0</v>
      </c>
      <c r="AB973" s="128">
        <f t="shared" si="1134"/>
        <v>79999980</v>
      </c>
      <c r="AC973" s="175">
        <f t="shared" si="1136"/>
        <v>1</v>
      </c>
    </row>
    <row r="974" spans="1:29" hidden="1" thickBot="1" x14ac:dyDescent="0.25">
      <c r="B974" s="76" t="s">
        <v>1858</v>
      </c>
      <c r="C974" s="77" t="s">
        <v>1859</v>
      </c>
      <c r="D974" s="131"/>
      <c r="E974" s="188">
        <f>SUM('ADICIONES  2021'!C974:I974)</f>
        <v>6354037655.6199999</v>
      </c>
      <c r="F974" s="131"/>
      <c r="G974" s="131"/>
      <c r="H974" s="131"/>
      <c r="I974" s="131"/>
      <c r="J974" s="131"/>
      <c r="K974" s="128">
        <f t="shared" si="1137"/>
        <v>6354037655.6199999</v>
      </c>
      <c r="L974" s="131"/>
      <c r="M974" s="131"/>
      <c r="N974" s="131"/>
      <c r="O974" s="131"/>
      <c r="P974" s="131">
        <v>6354037655.6199999</v>
      </c>
      <c r="Q974" s="424"/>
      <c r="R974" s="128">
        <f t="shared" si="1138"/>
        <v>6354037655.6199999</v>
      </c>
      <c r="S974" s="131"/>
      <c r="T974" s="131"/>
      <c r="U974" s="131"/>
      <c r="V974" s="131"/>
      <c r="W974" s="131"/>
      <c r="X974" s="131"/>
      <c r="Y974" s="131"/>
      <c r="Z974" s="131"/>
      <c r="AA974" s="128">
        <f t="shared" si="1130"/>
        <v>0</v>
      </c>
      <c r="AB974" s="128">
        <f t="shared" si="1134"/>
        <v>6354037655.6199999</v>
      </c>
      <c r="AC974" s="175">
        <f t="shared" si="1136"/>
        <v>1</v>
      </c>
    </row>
    <row r="975" spans="1:29" hidden="1" thickBot="1" x14ac:dyDescent="0.25">
      <c r="B975" s="76" t="s">
        <v>1858</v>
      </c>
      <c r="C975" s="77" t="s">
        <v>1859</v>
      </c>
      <c r="D975" s="131"/>
      <c r="E975" s="188">
        <f>SUM('ADICIONES  2021'!C975:I975)</f>
        <v>5410499.25</v>
      </c>
      <c r="F975" s="131"/>
      <c r="G975" s="131"/>
      <c r="H975" s="131"/>
      <c r="I975" s="131"/>
      <c r="J975" s="131"/>
      <c r="K975" s="128">
        <f t="shared" si="1137"/>
        <v>5410499.25</v>
      </c>
      <c r="L975" s="131"/>
      <c r="M975" s="131"/>
      <c r="N975" s="131"/>
      <c r="O975" s="131"/>
      <c r="P975" s="131">
        <v>5410499.25</v>
      </c>
      <c r="Q975" s="424"/>
      <c r="R975" s="128">
        <f t="shared" si="1138"/>
        <v>5410499.25</v>
      </c>
      <c r="S975" s="131"/>
      <c r="T975" s="131"/>
      <c r="U975" s="131"/>
      <c r="V975" s="131"/>
      <c r="W975" s="131"/>
      <c r="X975" s="131"/>
      <c r="Y975" s="131"/>
      <c r="Z975" s="131"/>
      <c r="AA975" s="128">
        <f t="shared" si="1130"/>
        <v>0</v>
      </c>
      <c r="AB975" s="128">
        <f t="shared" si="1134"/>
        <v>5410499.25</v>
      </c>
      <c r="AC975" s="175">
        <f t="shared" si="1136"/>
        <v>1</v>
      </c>
    </row>
    <row r="976" spans="1:29" hidden="1" thickBot="1" x14ac:dyDescent="0.25">
      <c r="B976" s="76" t="s">
        <v>1858</v>
      </c>
      <c r="C976" s="77" t="s">
        <v>1859</v>
      </c>
      <c r="D976" s="131"/>
      <c r="E976" s="188">
        <f>SUM('ADICIONES  2021'!C976:I976)</f>
        <v>233334</v>
      </c>
      <c r="F976" s="131"/>
      <c r="G976" s="131"/>
      <c r="H976" s="131"/>
      <c r="I976" s="131"/>
      <c r="J976" s="131"/>
      <c r="K976" s="128">
        <f t="shared" si="1137"/>
        <v>233334</v>
      </c>
      <c r="L976" s="131"/>
      <c r="M976" s="131"/>
      <c r="N976" s="131"/>
      <c r="O976" s="131"/>
      <c r="P976" s="131">
        <v>233334</v>
      </c>
      <c r="Q976" s="424"/>
      <c r="R976" s="128">
        <f t="shared" si="1138"/>
        <v>233334</v>
      </c>
      <c r="S976" s="131"/>
      <c r="T976" s="131"/>
      <c r="U976" s="131"/>
      <c r="V976" s="131"/>
      <c r="W976" s="131"/>
      <c r="X976" s="131"/>
      <c r="Y976" s="131"/>
      <c r="Z976" s="131"/>
      <c r="AA976" s="128">
        <f t="shared" ref="AA976:AA987" si="1148">SUM(S976:Z976)</f>
        <v>0</v>
      </c>
      <c r="AB976" s="128">
        <f t="shared" si="1134"/>
        <v>233334</v>
      </c>
      <c r="AC976" s="175">
        <f t="shared" si="1136"/>
        <v>1</v>
      </c>
    </row>
    <row r="977" spans="1:29" hidden="1" thickBot="1" x14ac:dyDescent="0.25">
      <c r="B977" s="76" t="s">
        <v>1858</v>
      </c>
      <c r="C977" s="77" t="s">
        <v>1859</v>
      </c>
      <c r="D977" s="131"/>
      <c r="E977" s="188">
        <f>SUM('ADICIONES  2021'!C977:I977)</f>
        <v>573503224</v>
      </c>
      <c r="F977" s="131"/>
      <c r="G977" s="131"/>
      <c r="H977" s="131"/>
      <c r="I977" s="131"/>
      <c r="J977" s="131"/>
      <c r="K977" s="128">
        <f t="shared" si="1137"/>
        <v>573503224</v>
      </c>
      <c r="L977" s="131"/>
      <c r="M977" s="131"/>
      <c r="N977" s="131"/>
      <c r="O977" s="131"/>
      <c r="P977" s="131">
        <v>573503224</v>
      </c>
      <c r="Q977" s="424"/>
      <c r="R977" s="128">
        <f t="shared" si="1138"/>
        <v>573503224</v>
      </c>
      <c r="S977" s="131"/>
      <c r="T977" s="131"/>
      <c r="U977" s="131"/>
      <c r="V977" s="131"/>
      <c r="W977" s="131"/>
      <c r="X977" s="131"/>
      <c r="Y977" s="131"/>
      <c r="Z977" s="131"/>
      <c r="AA977" s="128">
        <f t="shared" si="1148"/>
        <v>0</v>
      </c>
      <c r="AB977" s="128">
        <f t="shared" si="1134"/>
        <v>573503224</v>
      </c>
      <c r="AC977" s="175">
        <f t="shared" si="1136"/>
        <v>1</v>
      </c>
    </row>
    <row r="978" spans="1:29" hidden="1" thickBot="1" x14ac:dyDescent="0.25">
      <c r="B978" s="76" t="s">
        <v>1858</v>
      </c>
      <c r="C978" s="77" t="s">
        <v>1859</v>
      </c>
      <c r="D978" s="131"/>
      <c r="E978" s="188">
        <f>SUM('ADICIONES  2021'!C978:I978)</f>
        <v>158246.32999999999</v>
      </c>
      <c r="F978" s="131"/>
      <c r="G978" s="131"/>
      <c r="H978" s="131"/>
      <c r="I978" s="131"/>
      <c r="J978" s="131"/>
      <c r="K978" s="128">
        <f t="shared" si="1137"/>
        <v>158246.32999999999</v>
      </c>
      <c r="L978" s="131"/>
      <c r="M978" s="131"/>
      <c r="N978" s="131"/>
      <c r="O978" s="131"/>
      <c r="P978" s="131">
        <v>158246.32999999999</v>
      </c>
      <c r="Q978" s="424"/>
      <c r="R978" s="128">
        <f t="shared" si="1138"/>
        <v>158246.32999999999</v>
      </c>
      <c r="S978" s="131"/>
      <c r="T978" s="131"/>
      <c r="U978" s="131"/>
      <c r="V978" s="131"/>
      <c r="W978" s="131"/>
      <c r="X978" s="131"/>
      <c r="Y978" s="131"/>
      <c r="Z978" s="131"/>
      <c r="AA978" s="128">
        <f t="shared" si="1148"/>
        <v>0</v>
      </c>
      <c r="AB978" s="128">
        <f t="shared" si="1134"/>
        <v>158246.32999999999</v>
      </c>
      <c r="AC978" s="175">
        <f t="shared" si="1136"/>
        <v>1</v>
      </c>
    </row>
    <row r="979" spans="1:29" hidden="1" thickBot="1" x14ac:dyDescent="0.25">
      <c r="B979" s="76" t="s">
        <v>1858</v>
      </c>
      <c r="C979" s="77" t="s">
        <v>1859</v>
      </c>
      <c r="D979" s="131"/>
      <c r="E979" s="188">
        <f>SUM('ADICIONES  2021'!C979:I979)</f>
        <v>3387051.02</v>
      </c>
      <c r="F979" s="131"/>
      <c r="G979" s="131"/>
      <c r="H979" s="131"/>
      <c r="I979" s="131"/>
      <c r="J979" s="131"/>
      <c r="K979" s="128">
        <f t="shared" si="1137"/>
        <v>3387051.02</v>
      </c>
      <c r="L979" s="131"/>
      <c r="M979" s="131"/>
      <c r="N979" s="131"/>
      <c r="O979" s="131"/>
      <c r="P979" s="131">
        <v>3387051.02</v>
      </c>
      <c r="Q979" s="424"/>
      <c r="R979" s="128">
        <f t="shared" si="1138"/>
        <v>3387051.02</v>
      </c>
      <c r="S979" s="131"/>
      <c r="T979" s="131"/>
      <c r="U979" s="131"/>
      <c r="V979" s="131"/>
      <c r="W979" s="131"/>
      <c r="X979" s="131"/>
      <c r="Y979" s="131"/>
      <c r="Z979" s="131"/>
      <c r="AA979" s="128">
        <f t="shared" si="1148"/>
        <v>0</v>
      </c>
      <c r="AB979" s="128">
        <f t="shared" ref="AB979:AB987" si="1149">+R979+AA979</f>
        <v>3387051.02</v>
      </c>
      <c r="AC979" s="175">
        <f t="shared" si="1136"/>
        <v>1</v>
      </c>
    </row>
    <row r="980" spans="1:29" hidden="1" thickBot="1" x14ac:dyDescent="0.25">
      <c r="B980" s="76" t="s">
        <v>1858</v>
      </c>
      <c r="C980" s="77" t="s">
        <v>1859</v>
      </c>
      <c r="D980" s="131"/>
      <c r="E980" s="188">
        <f>SUM('ADICIONES  2021'!C980:I980)</f>
        <v>1058927</v>
      </c>
      <c r="F980" s="131"/>
      <c r="G980" s="131"/>
      <c r="H980" s="131"/>
      <c r="I980" s="131"/>
      <c r="J980" s="131"/>
      <c r="K980" s="128">
        <f t="shared" si="1137"/>
        <v>1058927</v>
      </c>
      <c r="L980" s="131"/>
      <c r="M980" s="131"/>
      <c r="N980" s="131"/>
      <c r="O980" s="131"/>
      <c r="P980" s="131">
        <v>1058927</v>
      </c>
      <c r="Q980" s="424"/>
      <c r="R980" s="128">
        <f t="shared" si="1138"/>
        <v>1058927</v>
      </c>
      <c r="S980" s="131"/>
      <c r="T980" s="131"/>
      <c r="U980" s="131"/>
      <c r="V980" s="131"/>
      <c r="W980" s="131"/>
      <c r="X980" s="131"/>
      <c r="Y980" s="131"/>
      <c r="Z980" s="131"/>
      <c r="AA980" s="128">
        <f t="shared" si="1148"/>
        <v>0</v>
      </c>
      <c r="AB980" s="128">
        <f t="shared" si="1149"/>
        <v>1058927</v>
      </c>
      <c r="AC980" s="175">
        <f t="shared" si="1136"/>
        <v>1</v>
      </c>
    </row>
    <row r="981" spans="1:29" hidden="1" thickBot="1" x14ac:dyDescent="0.25">
      <c r="B981" s="76" t="s">
        <v>1858</v>
      </c>
      <c r="C981" s="77" t="s">
        <v>1859</v>
      </c>
      <c r="D981" s="131"/>
      <c r="E981" s="188">
        <f>SUM('ADICIONES  2021'!C981:I981)</f>
        <v>2435496.7799999998</v>
      </c>
      <c r="F981" s="131"/>
      <c r="G981" s="131"/>
      <c r="H981" s="131"/>
      <c r="I981" s="131"/>
      <c r="J981" s="131"/>
      <c r="K981" s="128">
        <f t="shared" si="1137"/>
        <v>2435496.7799999998</v>
      </c>
      <c r="L981" s="131"/>
      <c r="M981" s="131"/>
      <c r="N981" s="131"/>
      <c r="O981" s="131"/>
      <c r="P981" s="131">
        <v>2435496.7799999998</v>
      </c>
      <c r="Q981" s="424"/>
      <c r="R981" s="128">
        <f t="shared" si="1138"/>
        <v>2435496.7799999998</v>
      </c>
      <c r="S981" s="131"/>
      <c r="T981" s="131"/>
      <c r="U981" s="131"/>
      <c r="V981" s="131"/>
      <c r="W981" s="131"/>
      <c r="X981" s="131"/>
      <c r="Y981" s="131"/>
      <c r="Z981" s="131"/>
      <c r="AA981" s="128">
        <f t="shared" si="1148"/>
        <v>0</v>
      </c>
      <c r="AB981" s="128">
        <f t="shared" si="1149"/>
        <v>2435496.7799999998</v>
      </c>
      <c r="AC981" s="175">
        <f t="shared" si="1136"/>
        <v>1</v>
      </c>
    </row>
    <row r="982" spans="1:29" hidden="1" thickBot="1" x14ac:dyDescent="0.25">
      <c r="B982" s="76" t="s">
        <v>1858</v>
      </c>
      <c r="C982" s="77" t="s">
        <v>1859</v>
      </c>
      <c r="D982" s="131"/>
      <c r="E982" s="188">
        <f>SUM('ADICIONES  2021'!C982:I982)</f>
        <v>50100000</v>
      </c>
      <c r="F982" s="131"/>
      <c r="G982" s="131"/>
      <c r="H982" s="131"/>
      <c r="I982" s="131"/>
      <c r="J982" s="131"/>
      <c r="K982" s="128">
        <f t="shared" si="1137"/>
        <v>50100000</v>
      </c>
      <c r="L982" s="131"/>
      <c r="M982" s="131"/>
      <c r="N982" s="131"/>
      <c r="O982" s="131"/>
      <c r="P982" s="131">
        <v>50100000</v>
      </c>
      <c r="Q982" s="424"/>
      <c r="R982" s="128">
        <f t="shared" si="1138"/>
        <v>50100000</v>
      </c>
      <c r="S982" s="131"/>
      <c r="T982" s="131"/>
      <c r="U982" s="131"/>
      <c r="V982" s="131"/>
      <c r="W982" s="131"/>
      <c r="X982" s="131"/>
      <c r="Y982" s="131"/>
      <c r="Z982" s="131"/>
      <c r="AA982" s="128">
        <f t="shared" si="1148"/>
        <v>0</v>
      </c>
      <c r="AB982" s="128">
        <f t="shared" si="1149"/>
        <v>50100000</v>
      </c>
      <c r="AC982" s="175">
        <f t="shared" si="1136"/>
        <v>1</v>
      </c>
    </row>
    <row r="983" spans="1:29" hidden="1" thickBot="1" x14ac:dyDescent="0.25">
      <c r="B983" s="76" t="s">
        <v>1858</v>
      </c>
      <c r="C983" s="77" t="s">
        <v>1859</v>
      </c>
      <c r="D983" s="131"/>
      <c r="E983" s="188">
        <f>SUM('ADICIONES  2021'!C983:I983)</f>
        <v>16500000</v>
      </c>
      <c r="F983" s="131"/>
      <c r="G983" s="131"/>
      <c r="H983" s="131"/>
      <c r="I983" s="131"/>
      <c r="J983" s="131"/>
      <c r="K983" s="128">
        <f t="shared" si="1137"/>
        <v>16500000</v>
      </c>
      <c r="L983" s="131"/>
      <c r="M983" s="131"/>
      <c r="N983" s="131"/>
      <c r="O983" s="131"/>
      <c r="P983" s="131">
        <v>16500000</v>
      </c>
      <c r="Q983" s="424"/>
      <c r="R983" s="128">
        <f t="shared" si="1138"/>
        <v>16500000</v>
      </c>
      <c r="S983" s="131"/>
      <c r="T983" s="131"/>
      <c r="U983" s="131"/>
      <c r="V983" s="131"/>
      <c r="W983" s="131"/>
      <c r="X983" s="131"/>
      <c r="Y983" s="131"/>
      <c r="Z983" s="131"/>
      <c r="AA983" s="128">
        <f t="shared" si="1148"/>
        <v>0</v>
      </c>
      <c r="AB983" s="128">
        <f t="shared" si="1149"/>
        <v>16500000</v>
      </c>
      <c r="AC983" s="175">
        <f t="shared" ref="AC983:AC987" si="1150">+AB983/K983</f>
        <v>1</v>
      </c>
    </row>
    <row r="984" spans="1:29" hidden="1" thickBot="1" x14ac:dyDescent="0.25">
      <c r="B984" s="76" t="s">
        <v>1858</v>
      </c>
      <c r="C984" s="77" t="s">
        <v>1859</v>
      </c>
      <c r="D984" s="131"/>
      <c r="E984" s="188">
        <f>SUM('ADICIONES  2021'!C984:I984)</f>
        <v>4132604</v>
      </c>
      <c r="F984" s="131"/>
      <c r="G984" s="131"/>
      <c r="H984" s="131"/>
      <c r="I984" s="131"/>
      <c r="J984" s="131"/>
      <c r="K984" s="128">
        <f t="shared" ref="K984:K987" si="1151">+D984+E984-F984+G984-H984</f>
        <v>4132604</v>
      </c>
      <c r="L984" s="131"/>
      <c r="M984" s="131"/>
      <c r="N984" s="131"/>
      <c r="O984" s="131"/>
      <c r="P984" s="131">
        <v>4132604</v>
      </c>
      <c r="Q984" s="424"/>
      <c r="R984" s="128">
        <f t="shared" ref="R984:R987" si="1152">SUM(L984:Q984)</f>
        <v>4132604</v>
      </c>
      <c r="S984" s="131"/>
      <c r="T984" s="131"/>
      <c r="U984" s="131"/>
      <c r="V984" s="131"/>
      <c r="W984" s="131"/>
      <c r="X984" s="131"/>
      <c r="Y984" s="131"/>
      <c r="Z984" s="131"/>
      <c r="AA984" s="128">
        <f t="shared" si="1148"/>
        <v>0</v>
      </c>
      <c r="AB984" s="128">
        <f t="shared" si="1149"/>
        <v>4132604</v>
      </c>
      <c r="AC984" s="175">
        <f t="shared" si="1150"/>
        <v>1</v>
      </c>
    </row>
    <row r="985" spans="1:29" hidden="1" thickBot="1" x14ac:dyDescent="0.25">
      <c r="B985" s="76" t="s">
        <v>1858</v>
      </c>
      <c r="C985" s="77" t="s">
        <v>1859</v>
      </c>
      <c r="D985" s="131"/>
      <c r="E985" s="188">
        <f>SUM('ADICIONES  2021'!C985:I985)</f>
        <v>499616810.38999999</v>
      </c>
      <c r="F985" s="131"/>
      <c r="G985" s="131"/>
      <c r="H985" s="131"/>
      <c r="I985" s="131"/>
      <c r="J985" s="131"/>
      <c r="K985" s="128">
        <f t="shared" si="1151"/>
        <v>499616810.38999999</v>
      </c>
      <c r="L985" s="131"/>
      <c r="M985" s="131"/>
      <c r="N985" s="131"/>
      <c r="O985" s="131"/>
      <c r="P985" s="131">
        <v>499616810.38999999</v>
      </c>
      <c r="Q985" s="424"/>
      <c r="R985" s="128">
        <f t="shared" si="1152"/>
        <v>499616810.38999999</v>
      </c>
      <c r="S985" s="131"/>
      <c r="T985" s="131"/>
      <c r="U985" s="131"/>
      <c r="V985" s="131"/>
      <c r="W985" s="131"/>
      <c r="X985" s="131"/>
      <c r="Y985" s="131"/>
      <c r="Z985" s="131"/>
      <c r="AA985" s="128">
        <f t="shared" si="1148"/>
        <v>0</v>
      </c>
      <c r="AB985" s="128">
        <f t="shared" si="1149"/>
        <v>499616810.38999999</v>
      </c>
      <c r="AC985" s="175">
        <f t="shared" si="1150"/>
        <v>1</v>
      </c>
    </row>
    <row r="986" spans="1:29" hidden="1" thickBot="1" x14ac:dyDescent="0.25">
      <c r="B986" s="76" t="s">
        <v>1858</v>
      </c>
      <c r="C986" s="77" t="s">
        <v>1859</v>
      </c>
      <c r="D986" s="131"/>
      <c r="E986" s="188">
        <f>SUM('ADICIONES  2021'!C986:I986)</f>
        <v>6056617823.2399998</v>
      </c>
      <c r="F986" s="131"/>
      <c r="G986" s="131"/>
      <c r="H986" s="131"/>
      <c r="I986" s="131"/>
      <c r="J986" s="131"/>
      <c r="K986" s="128">
        <f t="shared" si="1151"/>
        <v>6056617823.2399998</v>
      </c>
      <c r="L986" s="131"/>
      <c r="M986" s="131"/>
      <c r="N986" s="131"/>
      <c r="O986" s="131"/>
      <c r="P986" s="131">
        <v>6056617823.2399998</v>
      </c>
      <c r="Q986" s="424"/>
      <c r="R986" s="128">
        <f t="shared" si="1152"/>
        <v>6056617823.2399998</v>
      </c>
      <c r="S986" s="131"/>
      <c r="T986" s="131"/>
      <c r="U986" s="131"/>
      <c r="V986" s="131"/>
      <c r="W986" s="131"/>
      <c r="X986" s="131"/>
      <c r="Y986" s="131"/>
      <c r="Z986" s="131"/>
      <c r="AA986" s="128">
        <f t="shared" si="1148"/>
        <v>0</v>
      </c>
      <c r="AB986" s="128">
        <f t="shared" si="1149"/>
        <v>6056617823.2399998</v>
      </c>
      <c r="AC986" s="175">
        <f t="shared" si="1150"/>
        <v>1</v>
      </c>
    </row>
    <row r="987" spans="1:29" hidden="1" thickBot="1" x14ac:dyDescent="0.25">
      <c r="B987" s="158" t="s">
        <v>1858</v>
      </c>
      <c r="C987" s="221" t="s">
        <v>1859</v>
      </c>
      <c r="D987" s="308"/>
      <c r="E987" s="188">
        <f>SUM('ADICIONES  2021'!C987:I987)</f>
        <v>9550485282.7700005</v>
      </c>
      <c r="F987" s="308"/>
      <c r="G987" s="308"/>
      <c r="H987" s="308"/>
      <c r="I987" s="308"/>
      <c r="J987" s="308"/>
      <c r="K987" s="129">
        <f t="shared" si="1151"/>
        <v>9550485282.7700005</v>
      </c>
      <c r="L987" s="308"/>
      <c r="M987" s="308"/>
      <c r="N987" s="308"/>
      <c r="O987" s="308"/>
      <c r="P987" s="308">
        <v>9550485282.7700005</v>
      </c>
      <c r="Q987" s="428"/>
      <c r="R987" s="129">
        <f t="shared" si="1152"/>
        <v>9550485282.7700005</v>
      </c>
      <c r="S987" s="308"/>
      <c r="T987" s="308"/>
      <c r="U987" s="308"/>
      <c r="V987" s="308"/>
      <c r="W987" s="308"/>
      <c r="X987" s="308"/>
      <c r="Y987" s="308"/>
      <c r="Z987" s="308"/>
      <c r="AA987" s="129">
        <f t="shared" si="1148"/>
        <v>0</v>
      </c>
      <c r="AB987" s="129">
        <f t="shared" si="1149"/>
        <v>9550485282.7700005</v>
      </c>
      <c r="AC987" s="259">
        <f t="shared" si="1150"/>
        <v>1</v>
      </c>
    </row>
    <row r="988" spans="1:29" s="142" customFormat="1" ht="20.25" thickBot="1" x14ac:dyDescent="0.25">
      <c r="A988" s="141">
        <v>1</v>
      </c>
      <c r="B988" s="454" t="s">
        <v>22</v>
      </c>
      <c r="C988" s="455"/>
      <c r="D988" s="355">
        <f>+D768+D965</f>
        <v>130199862756.89999</v>
      </c>
      <c r="E988" s="387">
        <f t="shared" ref="E988:AB988" si="1153">+E768+E965</f>
        <v>75418818249.779999</v>
      </c>
      <c r="F988" s="355">
        <f t="shared" si="1153"/>
        <v>0</v>
      </c>
      <c r="G988" s="355">
        <f t="shared" si="1153"/>
        <v>2500000000</v>
      </c>
      <c r="H988" s="355">
        <f t="shared" si="1153"/>
        <v>350000000</v>
      </c>
      <c r="I988" s="355">
        <f t="shared" si="1153"/>
        <v>0</v>
      </c>
      <c r="J988" s="355">
        <f t="shared" si="1153"/>
        <v>0</v>
      </c>
      <c r="K988" s="387">
        <f t="shared" si="1153"/>
        <v>207768681006.67999</v>
      </c>
      <c r="L988" s="387">
        <f t="shared" si="1153"/>
        <v>14396430252.819202</v>
      </c>
      <c r="M988" s="387">
        <f t="shared" si="1153"/>
        <v>9194413809.0683994</v>
      </c>
      <c r="N988" s="387">
        <f t="shared" si="1153"/>
        <v>15323833234.066198</v>
      </c>
      <c r="O988" s="387">
        <f t="shared" si="1153"/>
        <v>13705612361.3916</v>
      </c>
      <c r="P988" s="387">
        <f t="shared" si="1153"/>
        <v>68548905619.364807</v>
      </c>
      <c r="Q988" s="387">
        <f t="shared" si="1153"/>
        <v>10783369269.4132</v>
      </c>
      <c r="R988" s="355">
        <f t="shared" si="1153"/>
        <v>131952564546.12341</v>
      </c>
      <c r="S988" s="387">
        <f t="shared" si="1153"/>
        <v>14792855704.080799</v>
      </c>
      <c r="T988" s="355">
        <f t="shared" si="1153"/>
        <v>0</v>
      </c>
      <c r="U988" s="355">
        <f t="shared" si="1153"/>
        <v>0</v>
      </c>
      <c r="V988" s="355">
        <f t="shared" si="1153"/>
        <v>0</v>
      </c>
      <c r="W988" s="355">
        <f t="shared" si="1153"/>
        <v>0</v>
      </c>
      <c r="X988" s="355">
        <f t="shared" si="1153"/>
        <v>0</v>
      </c>
      <c r="Y988" s="387">
        <f t="shared" si="1153"/>
        <v>0</v>
      </c>
      <c r="Z988" s="355">
        <f t="shared" si="1153"/>
        <v>0</v>
      </c>
      <c r="AA988" s="355">
        <f t="shared" si="1153"/>
        <v>14792855704.080799</v>
      </c>
      <c r="AB988" s="387">
        <f t="shared" si="1153"/>
        <v>146745420250.20422</v>
      </c>
      <c r="AC988" s="254">
        <f>AB988/K988</f>
        <v>0.70629230324413617</v>
      </c>
    </row>
    <row r="989" spans="1:29" x14ac:dyDescent="0.2">
      <c r="A989" s="100">
        <v>1</v>
      </c>
      <c r="B989" s="20"/>
      <c r="C989" s="3"/>
      <c r="D989" s="342"/>
      <c r="E989" s="189"/>
      <c r="F989" s="150"/>
      <c r="G989" s="150"/>
      <c r="H989" s="150"/>
      <c r="I989" s="147"/>
      <c r="J989" s="147"/>
      <c r="K989" s="147"/>
      <c r="L989" s="147"/>
      <c r="M989" s="147"/>
      <c r="N989" s="147"/>
      <c r="O989" s="147"/>
      <c r="P989" s="147"/>
      <c r="Q989" s="151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77"/>
    </row>
    <row r="990" spans="1:29" ht="19.5" x14ac:dyDescent="0.2">
      <c r="A990" s="100">
        <v>1</v>
      </c>
      <c r="B990" s="452" t="s">
        <v>263</v>
      </c>
      <c r="C990" s="453"/>
      <c r="D990" s="343"/>
      <c r="E990" s="343"/>
      <c r="F990" s="343"/>
      <c r="G990" s="343"/>
      <c r="H990" s="343"/>
      <c r="I990" s="343"/>
      <c r="J990" s="343"/>
      <c r="K990" s="343"/>
      <c r="L990" s="128"/>
      <c r="M990" s="128"/>
      <c r="N990" s="128"/>
      <c r="O990" s="128"/>
      <c r="P990" s="128"/>
      <c r="Q990" s="126"/>
      <c r="R990" s="128"/>
      <c r="S990" s="128"/>
      <c r="T990" s="128"/>
      <c r="U990" s="128"/>
      <c r="V990" s="128"/>
      <c r="W990" s="128"/>
      <c r="X990" s="128"/>
      <c r="Y990" s="128"/>
      <c r="Z990" s="128"/>
      <c r="AA990" s="128"/>
      <c r="AB990" s="128"/>
      <c r="AC990" s="175"/>
    </row>
    <row r="991" spans="1:29" ht="39" thickBot="1" x14ac:dyDescent="0.25">
      <c r="A991" s="100">
        <v>1</v>
      </c>
      <c r="B991" s="267"/>
      <c r="C991" s="268" t="s">
        <v>374</v>
      </c>
      <c r="D991" s="344"/>
      <c r="E991" s="275">
        <f>SUM('ADICIONES  2021'!C991:I991)</f>
        <v>5270880557.3299999</v>
      </c>
      <c r="F991" s="276"/>
      <c r="G991" s="276"/>
      <c r="H991" s="276"/>
      <c r="I991" s="269"/>
      <c r="J991" s="269"/>
      <c r="K991" s="269">
        <f t="shared" ref="K991" si="1154">+D991+E991-F991+G991-H991</f>
        <v>5270880557.3299999</v>
      </c>
      <c r="L991" s="269">
        <v>0</v>
      </c>
      <c r="M991" s="269">
        <v>0</v>
      </c>
      <c r="N991" s="269"/>
      <c r="O991" s="269"/>
      <c r="P991" s="269">
        <v>0</v>
      </c>
      <c r="Q991" s="274">
        <v>0</v>
      </c>
      <c r="R991" s="277">
        <f t="shared" ref="R991" si="1155">SUM(L991:Q991)</f>
        <v>0</v>
      </c>
      <c r="S991" s="269">
        <v>0</v>
      </c>
      <c r="T991" s="269"/>
      <c r="U991" s="269"/>
      <c r="V991" s="269"/>
      <c r="W991" s="269"/>
      <c r="X991" s="269"/>
      <c r="Y991" s="269"/>
      <c r="Z991" s="269"/>
      <c r="AA991" s="269">
        <f t="shared" ref="AA991" si="1156">SUM(S991:Z991)</f>
        <v>0</v>
      </c>
      <c r="AB991" s="269">
        <f t="shared" ref="AB991" si="1157">+R991+AA991</f>
        <v>0</v>
      </c>
      <c r="AC991" s="270">
        <f t="shared" ref="AC991" si="1158">+AB991/K991</f>
        <v>0</v>
      </c>
    </row>
    <row r="992" spans="1:29" s="170" customFormat="1" ht="20.25" thickBot="1" x14ac:dyDescent="0.25">
      <c r="A992" s="171">
        <v>1</v>
      </c>
      <c r="B992" s="463" t="s">
        <v>264</v>
      </c>
      <c r="C992" s="464"/>
      <c r="D992" s="345">
        <f>+D991</f>
        <v>0</v>
      </c>
      <c r="E992" s="278">
        <f>+E991</f>
        <v>5270880557.3299999</v>
      </c>
      <c r="F992" s="279">
        <f t="shared" ref="F992:AB992" si="1159">+F991</f>
        <v>0</v>
      </c>
      <c r="G992" s="279">
        <f t="shared" si="1159"/>
        <v>0</v>
      </c>
      <c r="H992" s="279">
        <f t="shared" si="1159"/>
        <v>0</v>
      </c>
      <c r="I992" s="279">
        <f t="shared" si="1159"/>
        <v>0</v>
      </c>
      <c r="J992" s="279">
        <f t="shared" si="1159"/>
        <v>0</v>
      </c>
      <c r="K992" s="279">
        <f t="shared" si="1159"/>
        <v>5270880557.3299999</v>
      </c>
      <c r="L992" s="279">
        <f t="shared" si="1159"/>
        <v>0</v>
      </c>
      <c r="M992" s="279">
        <f t="shared" si="1159"/>
        <v>0</v>
      </c>
      <c r="N992" s="279">
        <f t="shared" si="1159"/>
        <v>0</v>
      </c>
      <c r="O992" s="279">
        <f t="shared" si="1159"/>
        <v>0</v>
      </c>
      <c r="P992" s="279">
        <f t="shared" si="1159"/>
        <v>0</v>
      </c>
      <c r="Q992" s="279">
        <f t="shared" si="1159"/>
        <v>0</v>
      </c>
      <c r="R992" s="279">
        <f t="shared" si="1159"/>
        <v>0</v>
      </c>
      <c r="S992" s="279">
        <f t="shared" si="1159"/>
        <v>0</v>
      </c>
      <c r="T992" s="279">
        <f t="shared" si="1159"/>
        <v>0</v>
      </c>
      <c r="U992" s="279">
        <f t="shared" si="1159"/>
        <v>0</v>
      </c>
      <c r="V992" s="279">
        <f t="shared" si="1159"/>
        <v>0</v>
      </c>
      <c r="W992" s="279">
        <f t="shared" si="1159"/>
        <v>0</v>
      </c>
      <c r="X992" s="279">
        <f t="shared" si="1159"/>
        <v>0</v>
      </c>
      <c r="Y992" s="279">
        <f t="shared" si="1159"/>
        <v>0</v>
      </c>
      <c r="Z992" s="279">
        <f t="shared" si="1159"/>
        <v>0</v>
      </c>
      <c r="AA992" s="279">
        <f t="shared" si="1159"/>
        <v>0</v>
      </c>
      <c r="AB992" s="279">
        <f t="shared" si="1159"/>
        <v>0</v>
      </c>
      <c r="AC992" s="255">
        <f>+AB992/K992</f>
        <v>0</v>
      </c>
    </row>
    <row r="993" spans="1:29" x14ac:dyDescent="0.2">
      <c r="A993" s="100">
        <v>1</v>
      </c>
      <c r="B993" s="20"/>
      <c r="C993" s="3"/>
      <c r="D993" s="342"/>
      <c r="E993" s="189"/>
      <c r="F993" s="150"/>
      <c r="G993" s="150"/>
      <c r="H993" s="150"/>
      <c r="I993" s="147"/>
      <c r="J993" s="147"/>
      <c r="K993" s="147"/>
      <c r="L993" s="147"/>
      <c r="M993" s="147"/>
      <c r="N993" s="147"/>
      <c r="O993" s="147"/>
      <c r="P993" s="147"/>
      <c r="Q993" s="151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77"/>
    </row>
    <row r="994" spans="1:29" ht="19.5" x14ac:dyDescent="0.2">
      <c r="A994" s="100">
        <v>1</v>
      </c>
      <c r="B994" s="452" t="s">
        <v>31</v>
      </c>
      <c r="C994" s="453"/>
      <c r="D994" s="333"/>
      <c r="E994" s="187"/>
      <c r="F994" s="187"/>
      <c r="G994" s="187"/>
      <c r="H994" s="187"/>
      <c r="I994" s="187"/>
      <c r="J994" s="187"/>
      <c r="K994" s="187"/>
      <c r="L994" s="127"/>
      <c r="M994" s="127"/>
      <c r="N994" s="127"/>
      <c r="O994" s="127"/>
      <c r="P994" s="127"/>
      <c r="Q994" s="78"/>
      <c r="R994" s="127"/>
      <c r="S994" s="127"/>
      <c r="T994" s="127"/>
      <c r="U994" s="127"/>
      <c r="V994" s="127"/>
      <c r="W994" s="127"/>
      <c r="X994" s="127"/>
      <c r="Y994" s="127"/>
      <c r="Z994" s="127"/>
      <c r="AA994" s="127"/>
      <c r="AB994" s="128"/>
      <c r="AC994" s="176"/>
    </row>
    <row r="995" spans="1:29" s="142" customFormat="1" ht="19.5" x14ac:dyDescent="0.2">
      <c r="A995" s="141">
        <v>1</v>
      </c>
      <c r="B995" s="166" t="s">
        <v>382</v>
      </c>
      <c r="C995" s="167" t="s">
        <v>1110</v>
      </c>
      <c r="D995" s="346">
        <f>+D996+D1004</f>
        <v>629043594392</v>
      </c>
      <c r="E995" s="306">
        <f>SUM('ADICIONES  2021'!C995:I995)</f>
        <v>0</v>
      </c>
      <c r="F995" s="168">
        <f t="shared" ref="F995:J995" si="1160">+F996+F1004</f>
        <v>0</v>
      </c>
      <c r="G995" s="168">
        <f t="shared" si="1160"/>
        <v>0</v>
      </c>
      <c r="H995" s="168">
        <f t="shared" si="1160"/>
        <v>0</v>
      </c>
      <c r="I995" s="168">
        <f t="shared" si="1160"/>
        <v>193347367060</v>
      </c>
      <c r="J995" s="168">
        <f t="shared" si="1160"/>
        <v>0</v>
      </c>
      <c r="K995" s="162">
        <f t="shared" ref="K995:K1016" si="1161">+D995+E995-F995+G995-H995</f>
        <v>629043594392</v>
      </c>
      <c r="L995" s="168">
        <f t="shared" ref="L995:Q995" si="1162">+L996+L1004</f>
        <v>54948368576</v>
      </c>
      <c r="M995" s="168">
        <f t="shared" si="1162"/>
        <v>44277029266</v>
      </c>
      <c r="N995" s="168">
        <f t="shared" si="1162"/>
        <v>43852207389</v>
      </c>
      <c r="O995" s="168">
        <f t="shared" si="1162"/>
        <v>42768251549</v>
      </c>
      <c r="P995" s="168">
        <f t="shared" si="1162"/>
        <v>43417649059.919998</v>
      </c>
      <c r="Q995" s="168">
        <f t="shared" si="1162"/>
        <v>43638832675</v>
      </c>
      <c r="R995" s="162">
        <f>SUM(L995:Q995)</f>
        <v>272902338514.91998</v>
      </c>
      <c r="S995" s="168">
        <f t="shared" ref="S995:Z995" si="1163">+S996+S1004</f>
        <v>61706391253</v>
      </c>
      <c r="T995" s="168">
        <f t="shared" si="1163"/>
        <v>0</v>
      </c>
      <c r="U995" s="168">
        <f t="shared" si="1163"/>
        <v>0</v>
      </c>
      <c r="V995" s="168">
        <f t="shared" si="1163"/>
        <v>0</v>
      </c>
      <c r="W995" s="168">
        <f t="shared" si="1163"/>
        <v>0</v>
      </c>
      <c r="X995" s="168">
        <f t="shared" si="1163"/>
        <v>0</v>
      </c>
      <c r="Y995" s="168">
        <f t="shared" si="1163"/>
        <v>0</v>
      </c>
      <c r="Z995" s="168">
        <f t="shared" si="1163"/>
        <v>0</v>
      </c>
      <c r="AA995" s="162">
        <f>SUM(S995:Z995)</f>
        <v>61706391253</v>
      </c>
      <c r="AB995" s="386">
        <f>+R995+AA995</f>
        <v>334608729767.91998</v>
      </c>
      <c r="AC995" s="173">
        <f t="shared" ref="AC995:AC1016" si="1164">+AB995/K995</f>
        <v>0.53193249681102772</v>
      </c>
    </row>
    <row r="996" spans="1:29" s="142" customFormat="1" ht="19.5" x14ac:dyDescent="0.2">
      <c r="A996" s="141">
        <v>1</v>
      </c>
      <c r="B996" s="166" t="s">
        <v>383</v>
      </c>
      <c r="C996" s="167" t="s">
        <v>1111</v>
      </c>
      <c r="D996" s="346">
        <f>+D997</f>
        <v>628393594392</v>
      </c>
      <c r="E996" s="306">
        <f>SUM('ADICIONES  2021'!C996:I996)</f>
        <v>0</v>
      </c>
      <c r="F996" s="168">
        <f t="shared" ref="F996:J999" si="1165">+F997</f>
        <v>0</v>
      </c>
      <c r="G996" s="168">
        <f t="shared" si="1165"/>
        <v>0</v>
      </c>
      <c r="H996" s="168">
        <f t="shared" si="1165"/>
        <v>0</v>
      </c>
      <c r="I996" s="168">
        <f t="shared" si="1165"/>
        <v>193347367060</v>
      </c>
      <c r="J996" s="168">
        <f t="shared" si="1165"/>
        <v>0</v>
      </c>
      <c r="K996" s="162">
        <f t="shared" si="1161"/>
        <v>628393594392</v>
      </c>
      <c r="L996" s="168">
        <f t="shared" ref="L996:Q999" si="1166">+L997</f>
        <v>54920512781</v>
      </c>
      <c r="M996" s="168">
        <f t="shared" si="1166"/>
        <v>44269498496</v>
      </c>
      <c r="N996" s="168">
        <f t="shared" si="1166"/>
        <v>43848802519</v>
      </c>
      <c r="O996" s="168">
        <f t="shared" si="1166"/>
        <v>42445040611</v>
      </c>
      <c r="P996" s="168">
        <f t="shared" si="1166"/>
        <v>42979790929</v>
      </c>
      <c r="Q996" s="168">
        <f t="shared" si="1166"/>
        <v>42822433533</v>
      </c>
      <c r="R996" s="162">
        <f t="shared" ref="R996:R1016" si="1167">SUM(L996:Q996)</f>
        <v>271286078869</v>
      </c>
      <c r="S996" s="168">
        <f t="shared" ref="S996:Z999" si="1168">+S997</f>
        <v>61688551056</v>
      </c>
      <c r="T996" s="168">
        <f t="shared" si="1168"/>
        <v>0</v>
      </c>
      <c r="U996" s="168">
        <f t="shared" si="1168"/>
        <v>0</v>
      </c>
      <c r="V996" s="168">
        <f t="shared" si="1168"/>
        <v>0</v>
      </c>
      <c r="W996" s="168">
        <f t="shared" si="1168"/>
        <v>0</v>
      </c>
      <c r="X996" s="168">
        <f t="shared" si="1168"/>
        <v>0</v>
      </c>
      <c r="Y996" s="168">
        <f t="shared" si="1168"/>
        <v>0</v>
      </c>
      <c r="Z996" s="168">
        <f t="shared" si="1168"/>
        <v>0</v>
      </c>
      <c r="AA996" s="162">
        <f t="shared" ref="AA996:AA1016" si="1169">SUM(S996:Z996)</f>
        <v>61688551056</v>
      </c>
      <c r="AB996" s="386">
        <f t="shared" ref="AB996:AB1016" si="1170">+R996+AA996</f>
        <v>332974629925</v>
      </c>
      <c r="AC996" s="173">
        <f t="shared" si="1164"/>
        <v>0.52988227903113561</v>
      </c>
    </row>
    <row r="997" spans="1:29" s="142" customFormat="1" ht="19.5" x14ac:dyDescent="0.2">
      <c r="A997" s="141">
        <v>1</v>
      </c>
      <c r="B997" s="166" t="s">
        <v>535</v>
      </c>
      <c r="C997" s="167" t="s">
        <v>1112</v>
      </c>
      <c r="D997" s="346">
        <f>+D998</f>
        <v>628393594392</v>
      </c>
      <c r="E997" s="306">
        <f>SUM('ADICIONES  2021'!C997:I997)</f>
        <v>0</v>
      </c>
      <c r="F997" s="168">
        <f t="shared" si="1165"/>
        <v>0</v>
      </c>
      <c r="G997" s="168">
        <f t="shared" si="1165"/>
        <v>0</v>
      </c>
      <c r="H997" s="168">
        <f t="shared" si="1165"/>
        <v>0</v>
      </c>
      <c r="I997" s="168">
        <f t="shared" si="1165"/>
        <v>193347367060</v>
      </c>
      <c r="J997" s="168">
        <f t="shared" si="1165"/>
        <v>0</v>
      </c>
      <c r="K997" s="162">
        <f t="shared" si="1161"/>
        <v>628393594392</v>
      </c>
      <c r="L997" s="168">
        <f t="shared" si="1166"/>
        <v>54920512781</v>
      </c>
      <c r="M997" s="168">
        <f t="shared" si="1166"/>
        <v>44269498496</v>
      </c>
      <c r="N997" s="168">
        <f t="shared" si="1166"/>
        <v>43848802519</v>
      </c>
      <c r="O997" s="168">
        <f t="shared" si="1166"/>
        <v>42445040611</v>
      </c>
      <c r="P997" s="168">
        <f t="shared" si="1166"/>
        <v>42979790929</v>
      </c>
      <c r="Q997" s="168">
        <f t="shared" si="1166"/>
        <v>42822433533</v>
      </c>
      <c r="R997" s="162">
        <f t="shared" si="1167"/>
        <v>271286078869</v>
      </c>
      <c r="S997" s="168">
        <f t="shared" si="1168"/>
        <v>61688551056</v>
      </c>
      <c r="T997" s="168">
        <f t="shared" si="1168"/>
        <v>0</v>
      </c>
      <c r="U997" s="168">
        <f t="shared" si="1168"/>
        <v>0</v>
      </c>
      <c r="V997" s="168">
        <f t="shared" si="1168"/>
        <v>0</v>
      </c>
      <c r="W997" s="168">
        <f t="shared" si="1168"/>
        <v>0</v>
      </c>
      <c r="X997" s="168">
        <f t="shared" si="1168"/>
        <v>0</v>
      </c>
      <c r="Y997" s="168">
        <f t="shared" si="1168"/>
        <v>0</v>
      </c>
      <c r="Z997" s="168">
        <f t="shared" si="1168"/>
        <v>0</v>
      </c>
      <c r="AA997" s="162">
        <f t="shared" si="1169"/>
        <v>61688551056</v>
      </c>
      <c r="AB997" s="386">
        <f t="shared" si="1170"/>
        <v>332974629925</v>
      </c>
      <c r="AC997" s="173">
        <f t="shared" si="1164"/>
        <v>0.52988227903113561</v>
      </c>
    </row>
    <row r="998" spans="1:29" s="142" customFormat="1" ht="19.5" x14ac:dyDescent="0.2">
      <c r="A998" s="141">
        <v>1</v>
      </c>
      <c r="B998" s="166" t="s">
        <v>608</v>
      </c>
      <c r="C998" s="167" t="s">
        <v>609</v>
      </c>
      <c r="D998" s="346">
        <f>+D999</f>
        <v>628393594392</v>
      </c>
      <c r="E998" s="306">
        <f>SUM('ADICIONES  2021'!C998:I998)</f>
        <v>0</v>
      </c>
      <c r="F998" s="168">
        <f t="shared" si="1165"/>
        <v>0</v>
      </c>
      <c r="G998" s="168">
        <f t="shared" si="1165"/>
        <v>0</v>
      </c>
      <c r="H998" s="168">
        <f t="shared" si="1165"/>
        <v>0</v>
      </c>
      <c r="I998" s="168">
        <f t="shared" si="1165"/>
        <v>193347367060</v>
      </c>
      <c r="J998" s="168">
        <f t="shared" si="1165"/>
        <v>0</v>
      </c>
      <c r="K998" s="162">
        <f t="shared" si="1161"/>
        <v>628393594392</v>
      </c>
      <c r="L998" s="168">
        <f t="shared" si="1166"/>
        <v>54920512781</v>
      </c>
      <c r="M998" s="168">
        <f t="shared" si="1166"/>
        <v>44269498496</v>
      </c>
      <c r="N998" s="168">
        <f t="shared" si="1166"/>
        <v>43848802519</v>
      </c>
      <c r="O998" s="168">
        <f t="shared" si="1166"/>
        <v>42445040611</v>
      </c>
      <c r="P998" s="168">
        <f t="shared" si="1166"/>
        <v>42979790929</v>
      </c>
      <c r="Q998" s="168">
        <f t="shared" si="1166"/>
        <v>42822433533</v>
      </c>
      <c r="R998" s="162">
        <f t="shared" si="1167"/>
        <v>271286078869</v>
      </c>
      <c r="S998" s="168">
        <f t="shared" si="1168"/>
        <v>61688551056</v>
      </c>
      <c r="T998" s="168">
        <f t="shared" si="1168"/>
        <v>0</v>
      </c>
      <c r="U998" s="168">
        <f t="shared" si="1168"/>
        <v>0</v>
      </c>
      <c r="V998" s="168">
        <f t="shared" si="1168"/>
        <v>0</v>
      </c>
      <c r="W998" s="168">
        <f t="shared" si="1168"/>
        <v>0</v>
      </c>
      <c r="X998" s="168">
        <f t="shared" si="1168"/>
        <v>0</v>
      </c>
      <c r="Y998" s="168">
        <f t="shared" si="1168"/>
        <v>0</v>
      </c>
      <c r="Z998" s="168">
        <f t="shared" si="1168"/>
        <v>0</v>
      </c>
      <c r="AA998" s="162">
        <f t="shared" si="1169"/>
        <v>61688551056</v>
      </c>
      <c r="AB998" s="386">
        <f t="shared" si="1170"/>
        <v>332974629925</v>
      </c>
      <c r="AC998" s="173">
        <f t="shared" si="1164"/>
        <v>0.52988227903113561</v>
      </c>
    </row>
    <row r="999" spans="1:29" s="19" customFormat="1" ht="19.5" x14ac:dyDescent="0.2">
      <c r="A999" s="71">
        <v>1</v>
      </c>
      <c r="B999" s="237" t="s">
        <v>610</v>
      </c>
      <c r="C999" s="238" t="s">
        <v>611</v>
      </c>
      <c r="D999" s="347">
        <f>+D1000</f>
        <v>628393594392</v>
      </c>
      <c r="E999" s="187">
        <f>SUM('ADICIONES  2021'!C999:I999)</f>
        <v>0</v>
      </c>
      <c r="F999" s="133">
        <f t="shared" si="1165"/>
        <v>0</v>
      </c>
      <c r="G999" s="133">
        <f t="shared" si="1165"/>
        <v>0</v>
      </c>
      <c r="H999" s="133">
        <f t="shared" si="1165"/>
        <v>0</v>
      </c>
      <c r="I999" s="133">
        <f t="shared" si="1165"/>
        <v>193347367060</v>
      </c>
      <c r="J999" s="133">
        <f t="shared" si="1165"/>
        <v>0</v>
      </c>
      <c r="K999" s="126">
        <f t="shared" si="1161"/>
        <v>628393594392</v>
      </c>
      <c r="L999" s="134">
        <f t="shared" si="1166"/>
        <v>54920512781</v>
      </c>
      <c r="M999" s="134">
        <f t="shared" si="1166"/>
        <v>44269498496</v>
      </c>
      <c r="N999" s="134">
        <f t="shared" si="1166"/>
        <v>43848802519</v>
      </c>
      <c r="O999" s="134">
        <f t="shared" si="1166"/>
        <v>42445040611</v>
      </c>
      <c r="P999" s="134">
        <f t="shared" si="1166"/>
        <v>42979790929</v>
      </c>
      <c r="Q999" s="134">
        <f t="shared" si="1166"/>
        <v>42822433533</v>
      </c>
      <c r="R999" s="162">
        <f t="shared" si="1167"/>
        <v>271286078869</v>
      </c>
      <c r="S999" s="134">
        <f t="shared" si="1168"/>
        <v>61688551056</v>
      </c>
      <c r="T999" s="133">
        <f t="shared" si="1168"/>
        <v>0</v>
      </c>
      <c r="U999" s="133">
        <f t="shared" si="1168"/>
        <v>0</v>
      </c>
      <c r="V999" s="133">
        <f t="shared" si="1168"/>
        <v>0</v>
      </c>
      <c r="W999" s="133">
        <f t="shared" si="1168"/>
        <v>0</v>
      </c>
      <c r="X999" s="133">
        <f t="shared" si="1168"/>
        <v>0</v>
      </c>
      <c r="Y999" s="134">
        <f t="shared" si="1168"/>
        <v>0</v>
      </c>
      <c r="Z999" s="133">
        <f t="shared" si="1168"/>
        <v>0</v>
      </c>
      <c r="AA999" s="162">
        <f t="shared" si="1169"/>
        <v>61688551056</v>
      </c>
      <c r="AB999" s="128">
        <f t="shared" si="1170"/>
        <v>332974629925</v>
      </c>
      <c r="AC999" s="180">
        <f t="shared" si="1164"/>
        <v>0.52988227903113561</v>
      </c>
    </row>
    <row r="1000" spans="1:29" s="63" customFormat="1" ht="19.5" hidden="1" x14ac:dyDescent="0.2">
      <c r="A1000" s="399"/>
      <c r="B1000" s="89" t="s">
        <v>612</v>
      </c>
      <c r="C1000" s="92" t="s">
        <v>613</v>
      </c>
      <c r="D1000" s="347">
        <f>+D1001+D1002</f>
        <v>628393594392</v>
      </c>
      <c r="E1000" s="187">
        <f>SUM('ADICIONES  2021'!C1000:I1000)</f>
        <v>0</v>
      </c>
      <c r="F1000" s="133">
        <f t="shared" ref="F1000:J1000" si="1171">+F1001+F1002</f>
        <v>0</v>
      </c>
      <c r="G1000" s="133">
        <f t="shared" si="1171"/>
        <v>0</v>
      </c>
      <c r="H1000" s="133">
        <f t="shared" si="1171"/>
        <v>0</v>
      </c>
      <c r="I1000" s="133">
        <f t="shared" si="1171"/>
        <v>193347367060</v>
      </c>
      <c r="J1000" s="133">
        <f t="shared" si="1171"/>
        <v>0</v>
      </c>
      <c r="K1000" s="78">
        <f t="shared" si="1161"/>
        <v>628393594392</v>
      </c>
      <c r="L1000" s="133">
        <f t="shared" ref="L1000:Q1000" si="1172">+L1001+L1002</f>
        <v>54920512781</v>
      </c>
      <c r="M1000" s="133">
        <f t="shared" si="1172"/>
        <v>44269498496</v>
      </c>
      <c r="N1000" s="133">
        <f t="shared" si="1172"/>
        <v>43848802519</v>
      </c>
      <c r="O1000" s="133">
        <f t="shared" si="1172"/>
        <v>42445040611</v>
      </c>
      <c r="P1000" s="133">
        <f t="shared" si="1172"/>
        <v>42979790929</v>
      </c>
      <c r="Q1000" s="433">
        <f t="shared" si="1172"/>
        <v>42822433533</v>
      </c>
      <c r="R1000" s="162">
        <f t="shared" si="1167"/>
        <v>271286078869</v>
      </c>
      <c r="S1000" s="133">
        <f t="shared" ref="S1000:Z1000" si="1173">+S1001+S1002</f>
        <v>61688551056</v>
      </c>
      <c r="T1000" s="133">
        <f t="shared" si="1173"/>
        <v>0</v>
      </c>
      <c r="U1000" s="133">
        <f t="shared" si="1173"/>
        <v>0</v>
      </c>
      <c r="V1000" s="133">
        <f t="shared" si="1173"/>
        <v>0</v>
      </c>
      <c r="W1000" s="133">
        <f t="shared" si="1173"/>
        <v>0</v>
      </c>
      <c r="X1000" s="133">
        <f t="shared" si="1173"/>
        <v>0</v>
      </c>
      <c r="Y1000" s="133">
        <f t="shared" si="1173"/>
        <v>0</v>
      </c>
      <c r="Z1000" s="133">
        <f t="shared" si="1173"/>
        <v>0</v>
      </c>
      <c r="AA1000" s="162">
        <f t="shared" si="1169"/>
        <v>61688551056</v>
      </c>
      <c r="AB1000" s="386">
        <f t="shared" si="1170"/>
        <v>332974629925</v>
      </c>
      <c r="AC1000" s="174">
        <f t="shared" si="1164"/>
        <v>0.52988227903113561</v>
      </c>
    </row>
    <row r="1001" spans="1:29" s="19" customFormat="1" ht="19.5" hidden="1" x14ac:dyDescent="0.2">
      <c r="A1001" s="71"/>
      <c r="B1001" s="237" t="s">
        <v>1113</v>
      </c>
      <c r="C1001" s="238" t="s">
        <v>1114</v>
      </c>
      <c r="D1001" s="348">
        <v>628393594392</v>
      </c>
      <c r="E1001" s="188">
        <f>SUM('ADICIONES  2021'!C1001:I1001)</f>
        <v>0</v>
      </c>
      <c r="F1001" s="134"/>
      <c r="G1001" s="134"/>
      <c r="H1001" s="134"/>
      <c r="I1001" s="134">
        <v>193347367060</v>
      </c>
      <c r="J1001" s="134"/>
      <c r="K1001" s="126">
        <f t="shared" si="1161"/>
        <v>628393594392</v>
      </c>
      <c r="L1001" s="134">
        <v>54920512781</v>
      </c>
      <c r="M1001" s="134">
        <v>44269498496</v>
      </c>
      <c r="N1001" s="134">
        <v>43848802519</v>
      </c>
      <c r="O1001" s="134">
        <v>42445040611</v>
      </c>
      <c r="P1001" s="134">
        <v>42979790929</v>
      </c>
      <c r="Q1001" s="434">
        <v>42822433533</v>
      </c>
      <c r="R1001" s="162">
        <f t="shared" si="1167"/>
        <v>271286078869</v>
      </c>
      <c r="S1001" s="134">
        <v>61688551056</v>
      </c>
      <c r="T1001" s="134"/>
      <c r="U1001" s="134"/>
      <c r="V1001" s="134"/>
      <c r="W1001" s="134"/>
      <c r="X1001" s="134"/>
      <c r="Y1001" s="134"/>
      <c r="Z1001" s="134"/>
      <c r="AA1001" s="162">
        <f t="shared" si="1169"/>
        <v>61688551056</v>
      </c>
      <c r="AB1001" s="386">
        <f t="shared" si="1170"/>
        <v>332974629925</v>
      </c>
      <c r="AC1001" s="180">
        <f t="shared" si="1164"/>
        <v>0.52988227903113561</v>
      </c>
    </row>
    <row r="1002" spans="1:29" s="63" customFormat="1" ht="19.5" hidden="1" x14ac:dyDescent="0.2">
      <c r="A1002" s="399"/>
      <c r="B1002" s="89" t="s">
        <v>616</v>
      </c>
      <c r="C1002" s="92" t="s">
        <v>1115</v>
      </c>
      <c r="D1002" s="347">
        <f>+D1003</f>
        <v>0</v>
      </c>
      <c r="E1002" s="187">
        <f>SUM('ADICIONES  2021'!C1002:I1002)</f>
        <v>0</v>
      </c>
      <c r="F1002" s="133">
        <f t="shared" ref="F1002:J1002" si="1174">+F1003</f>
        <v>0</v>
      </c>
      <c r="G1002" s="133">
        <f t="shared" si="1174"/>
        <v>0</v>
      </c>
      <c r="H1002" s="133">
        <f t="shared" si="1174"/>
        <v>0</v>
      </c>
      <c r="I1002" s="133">
        <f t="shared" si="1174"/>
        <v>0</v>
      </c>
      <c r="J1002" s="133">
        <f t="shared" si="1174"/>
        <v>0</v>
      </c>
      <c r="K1002" s="78">
        <f t="shared" si="1161"/>
        <v>0</v>
      </c>
      <c r="L1002" s="133">
        <f t="shared" ref="L1002:Q1002" si="1175">+L1003</f>
        <v>0</v>
      </c>
      <c r="M1002" s="133">
        <f t="shared" si="1175"/>
        <v>0</v>
      </c>
      <c r="N1002" s="133">
        <f t="shared" si="1175"/>
        <v>0</v>
      </c>
      <c r="O1002" s="133">
        <v>0</v>
      </c>
      <c r="P1002" s="133">
        <f t="shared" si="1175"/>
        <v>0</v>
      </c>
      <c r="Q1002" s="433">
        <f t="shared" si="1175"/>
        <v>0</v>
      </c>
      <c r="R1002" s="162">
        <f t="shared" si="1167"/>
        <v>0</v>
      </c>
      <c r="S1002" s="133">
        <f t="shared" ref="S1002:Z1002" si="1176">+S1003</f>
        <v>0</v>
      </c>
      <c r="T1002" s="133">
        <f t="shared" si="1176"/>
        <v>0</v>
      </c>
      <c r="U1002" s="133">
        <f t="shared" si="1176"/>
        <v>0</v>
      </c>
      <c r="V1002" s="133">
        <f t="shared" si="1176"/>
        <v>0</v>
      </c>
      <c r="W1002" s="133">
        <f t="shared" si="1176"/>
        <v>0</v>
      </c>
      <c r="X1002" s="133">
        <f t="shared" si="1176"/>
        <v>0</v>
      </c>
      <c r="Y1002" s="133">
        <f t="shared" si="1176"/>
        <v>0</v>
      </c>
      <c r="Z1002" s="133">
        <f t="shared" si="1176"/>
        <v>0</v>
      </c>
      <c r="AA1002" s="162">
        <f t="shared" si="1169"/>
        <v>0</v>
      </c>
      <c r="AB1002" s="162">
        <f t="shared" si="1170"/>
        <v>0</v>
      </c>
      <c r="AC1002" s="174" t="e">
        <f t="shared" si="1164"/>
        <v>#DIV/0!</v>
      </c>
    </row>
    <row r="1003" spans="1:29" s="19" customFormat="1" ht="19.5" hidden="1" x14ac:dyDescent="0.2">
      <c r="A1003" s="71"/>
      <c r="B1003" s="90" t="s">
        <v>1116</v>
      </c>
      <c r="C1003" s="91" t="s">
        <v>1117</v>
      </c>
      <c r="D1003" s="348">
        <v>0</v>
      </c>
      <c r="E1003" s="188">
        <f>SUM('ADICIONES  2021'!C1003:I1003)</f>
        <v>0</v>
      </c>
      <c r="F1003" s="134"/>
      <c r="G1003" s="134"/>
      <c r="H1003" s="134"/>
      <c r="I1003" s="134"/>
      <c r="J1003" s="134"/>
      <c r="K1003" s="128">
        <f t="shared" si="1161"/>
        <v>0</v>
      </c>
      <c r="L1003" s="134">
        <v>0</v>
      </c>
      <c r="M1003" s="134"/>
      <c r="N1003" s="134"/>
      <c r="O1003" s="134"/>
      <c r="P1003" s="134"/>
      <c r="Q1003" s="434"/>
      <c r="R1003" s="162">
        <f t="shared" si="1167"/>
        <v>0</v>
      </c>
      <c r="S1003" s="134"/>
      <c r="T1003" s="134"/>
      <c r="U1003" s="134"/>
      <c r="V1003" s="134"/>
      <c r="W1003" s="134"/>
      <c r="X1003" s="134"/>
      <c r="Y1003" s="134"/>
      <c r="Z1003" s="134"/>
      <c r="AA1003" s="162">
        <f t="shared" si="1169"/>
        <v>0</v>
      </c>
      <c r="AB1003" s="162">
        <f t="shared" si="1170"/>
        <v>0</v>
      </c>
      <c r="AC1003" s="175" t="e">
        <f t="shared" si="1164"/>
        <v>#DIV/0!</v>
      </c>
    </row>
    <row r="1004" spans="1:29" s="142" customFormat="1" ht="19.5" x14ac:dyDescent="0.2">
      <c r="A1004" s="141">
        <v>1</v>
      </c>
      <c r="B1004" s="166" t="s">
        <v>698</v>
      </c>
      <c r="C1004" s="167" t="s">
        <v>1118</v>
      </c>
      <c r="D1004" s="347">
        <f>+D1005+D1009+D1014</f>
        <v>650000000</v>
      </c>
      <c r="E1004" s="187">
        <f>SUM('ADICIONES  2021'!C1004:I1004)</f>
        <v>0</v>
      </c>
      <c r="F1004" s="133">
        <f t="shared" ref="F1004:J1004" si="1177">+F1005+F1009+F1014</f>
        <v>0</v>
      </c>
      <c r="G1004" s="133">
        <f t="shared" si="1177"/>
        <v>0</v>
      </c>
      <c r="H1004" s="133">
        <f t="shared" si="1177"/>
        <v>0</v>
      </c>
      <c r="I1004" s="133">
        <f t="shared" si="1177"/>
        <v>0</v>
      </c>
      <c r="J1004" s="133">
        <f t="shared" si="1177"/>
        <v>0</v>
      </c>
      <c r="K1004" s="162">
        <f t="shared" si="1161"/>
        <v>650000000</v>
      </c>
      <c r="L1004" s="168">
        <f t="shared" ref="L1004:Q1004" si="1178">+L1005+L1009+L1014</f>
        <v>27855795</v>
      </c>
      <c r="M1004" s="168">
        <f t="shared" si="1178"/>
        <v>7530770</v>
      </c>
      <c r="N1004" s="168">
        <f t="shared" si="1178"/>
        <v>3404870</v>
      </c>
      <c r="O1004" s="168">
        <f t="shared" si="1178"/>
        <v>323210938</v>
      </c>
      <c r="P1004" s="168">
        <f t="shared" si="1178"/>
        <v>437858130.92000002</v>
      </c>
      <c r="Q1004" s="168">
        <f t="shared" si="1178"/>
        <v>816399142</v>
      </c>
      <c r="R1004" s="162">
        <f t="shared" si="1167"/>
        <v>1616259645.9200001</v>
      </c>
      <c r="S1004" s="168">
        <f t="shared" ref="S1004:Z1004" si="1179">+S1005+S1009+S1014</f>
        <v>17840197</v>
      </c>
      <c r="T1004" s="133">
        <f t="shared" si="1179"/>
        <v>0</v>
      </c>
      <c r="U1004" s="133">
        <f t="shared" si="1179"/>
        <v>0</v>
      </c>
      <c r="V1004" s="133">
        <f t="shared" si="1179"/>
        <v>0</v>
      </c>
      <c r="W1004" s="133">
        <f t="shared" si="1179"/>
        <v>0</v>
      </c>
      <c r="X1004" s="133">
        <f t="shared" si="1179"/>
        <v>0</v>
      </c>
      <c r="Y1004" s="168">
        <f t="shared" si="1179"/>
        <v>0</v>
      </c>
      <c r="Z1004" s="133">
        <f t="shared" si="1179"/>
        <v>0</v>
      </c>
      <c r="AA1004" s="162">
        <f t="shared" si="1169"/>
        <v>17840197</v>
      </c>
      <c r="AB1004" s="162">
        <f t="shared" si="1170"/>
        <v>1634099842.9200001</v>
      </c>
      <c r="AC1004" s="173">
        <f t="shared" si="1164"/>
        <v>2.5139997583384615</v>
      </c>
    </row>
    <row r="1005" spans="1:29" s="19" customFormat="1" ht="19.5" x14ac:dyDescent="0.2">
      <c r="A1005" s="71">
        <v>1</v>
      </c>
      <c r="B1005" s="237" t="s">
        <v>1084</v>
      </c>
      <c r="C1005" s="238" t="s">
        <v>709</v>
      </c>
      <c r="D1005" s="347">
        <f>+D1006</f>
        <v>150000000</v>
      </c>
      <c r="E1005" s="187">
        <f>SUM('ADICIONES  2021'!C1005:I1005)</f>
        <v>0</v>
      </c>
      <c r="F1005" s="133">
        <f t="shared" ref="F1005:J1007" si="1180">+F1006</f>
        <v>0</v>
      </c>
      <c r="G1005" s="133">
        <f t="shared" si="1180"/>
        <v>0</v>
      </c>
      <c r="H1005" s="133">
        <f t="shared" si="1180"/>
        <v>0</v>
      </c>
      <c r="I1005" s="133">
        <f t="shared" si="1180"/>
        <v>0</v>
      </c>
      <c r="J1005" s="133">
        <f t="shared" si="1180"/>
        <v>0</v>
      </c>
      <c r="K1005" s="126">
        <f t="shared" si="1161"/>
        <v>150000000</v>
      </c>
      <c r="L1005" s="134">
        <f t="shared" ref="L1005:Q1007" si="1181">+L1006</f>
        <v>2114931</v>
      </c>
      <c r="M1005" s="134">
        <f t="shared" si="1181"/>
        <v>1866768</v>
      </c>
      <c r="N1005" s="134">
        <f t="shared" si="1181"/>
        <v>1992190</v>
      </c>
      <c r="O1005" s="134">
        <f t="shared" si="1181"/>
        <v>2674646</v>
      </c>
      <c r="P1005" s="134">
        <f t="shared" si="1181"/>
        <v>2835042</v>
      </c>
      <c r="Q1005" s="134">
        <f t="shared" si="1181"/>
        <v>3014069</v>
      </c>
      <c r="R1005" s="162">
        <f t="shared" si="1167"/>
        <v>14497646</v>
      </c>
      <c r="S1005" s="134">
        <f t="shared" ref="S1005:Z1007" si="1182">+S1006</f>
        <v>3728474</v>
      </c>
      <c r="T1005" s="133">
        <f t="shared" si="1182"/>
        <v>0</v>
      </c>
      <c r="U1005" s="133">
        <f t="shared" si="1182"/>
        <v>0</v>
      </c>
      <c r="V1005" s="133">
        <f t="shared" si="1182"/>
        <v>0</v>
      </c>
      <c r="W1005" s="133">
        <f t="shared" si="1182"/>
        <v>0</v>
      </c>
      <c r="X1005" s="133">
        <f t="shared" si="1182"/>
        <v>0</v>
      </c>
      <c r="Y1005" s="134">
        <f t="shared" si="1182"/>
        <v>0</v>
      </c>
      <c r="Z1005" s="133">
        <f t="shared" si="1182"/>
        <v>0</v>
      </c>
      <c r="AA1005" s="162">
        <f t="shared" si="1169"/>
        <v>3728474</v>
      </c>
      <c r="AB1005" s="126">
        <f t="shared" si="1170"/>
        <v>18226120</v>
      </c>
      <c r="AC1005" s="180">
        <f t="shared" si="1164"/>
        <v>0.12150746666666666</v>
      </c>
    </row>
    <row r="1006" spans="1:29" s="63" customFormat="1" ht="19.5" hidden="1" x14ac:dyDescent="0.2">
      <c r="A1006" s="399"/>
      <c r="B1006" s="89" t="s">
        <v>710</v>
      </c>
      <c r="C1006" s="92" t="s">
        <v>1086</v>
      </c>
      <c r="D1006" s="347">
        <f>+D1007</f>
        <v>150000000</v>
      </c>
      <c r="E1006" s="187">
        <f>SUM('ADICIONES  2021'!C1006:I1006)</f>
        <v>0</v>
      </c>
      <c r="F1006" s="133">
        <f t="shared" si="1180"/>
        <v>0</v>
      </c>
      <c r="G1006" s="133">
        <f t="shared" si="1180"/>
        <v>0</v>
      </c>
      <c r="H1006" s="133">
        <f t="shared" si="1180"/>
        <v>0</v>
      </c>
      <c r="I1006" s="133">
        <f t="shared" si="1180"/>
        <v>0</v>
      </c>
      <c r="J1006" s="133">
        <f t="shared" si="1180"/>
        <v>0</v>
      </c>
      <c r="K1006" s="78">
        <f t="shared" si="1161"/>
        <v>150000000</v>
      </c>
      <c r="L1006" s="133">
        <f t="shared" si="1181"/>
        <v>2114931</v>
      </c>
      <c r="M1006" s="133">
        <f t="shared" si="1181"/>
        <v>1866768</v>
      </c>
      <c r="N1006" s="133">
        <f t="shared" si="1181"/>
        <v>1992190</v>
      </c>
      <c r="O1006" s="133">
        <f t="shared" si="1181"/>
        <v>2674646</v>
      </c>
      <c r="P1006" s="133">
        <f t="shared" si="1181"/>
        <v>2835042</v>
      </c>
      <c r="Q1006" s="134">
        <f t="shared" si="1181"/>
        <v>3014069</v>
      </c>
      <c r="R1006" s="162">
        <f t="shared" si="1167"/>
        <v>14497646</v>
      </c>
      <c r="S1006" s="133">
        <f t="shared" si="1182"/>
        <v>3728474</v>
      </c>
      <c r="T1006" s="133">
        <f t="shared" si="1182"/>
        <v>0</v>
      </c>
      <c r="U1006" s="133">
        <f t="shared" si="1182"/>
        <v>0</v>
      </c>
      <c r="V1006" s="133">
        <f t="shared" si="1182"/>
        <v>0</v>
      </c>
      <c r="W1006" s="133">
        <f t="shared" si="1182"/>
        <v>0</v>
      </c>
      <c r="X1006" s="133">
        <f t="shared" si="1182"/>
        <v>0</v>
      </c>
      <c r="Y1006" s="133">
        <f t="shared" si="1182"/>
        <v>0</v>
      </c>
      <c r="Z1006" s="133">
        <f t="shared" si="1182"/>
        <v>0</v>
      </c>
      <c r="AA1006" s="162">
        <f t="shared" si="1169"/>
        <v>3728474</v>
      </c>
      <c r="AB1006" s="162">
        <f t="shared" si="1170"/>
        <v>18226120</v>
      </c>
      <c r="AC1006" s="174">
        <f t="shared" si="1164"/>
        <v>0.12150746666666666</v>
      </c>
    </row>
    <row r="1007" spans="1:29" s="63" customFormat="1" ht="19.5" hidden="1" x14ac:dyDescent="0.2">
      <c r="A1007" s="399"/>
      <c r="B1007" s="89" t="s">
        <v>712</v>
      </c>
      <c r="C1007" s="92" t="s">
        <v>611</v>
      </c>
      <c r="D1007" s="347">
        <f>+D1008</f>
        <v>150000000</v>
      </c>
      <c r="E1007" s="187">
        <f>SUM('ADICIONES  2021'!C1007:I1007)</f>
        <v>0</v>
      </c>
      <c r="F1007" s="133">
        <f t="shared" si="1180"/>
        <v>0</v>
      </c>
      <c r="G1007" s="133">
        <f t="shared" si="1180"/>
        <v>0</v>
      </c>
      <c r="H1007" s="133">
        <f t="shared" si="1180"/>
        <v>0</v>
      </c>
      <c r="I1007" s="133">
        <f t="shared" si="1180"/>
        <v>0</v>
      </c>
      <c r="J1007" s="133">
        <f t="shared" si="1180"/>
        <v>0</v>
      </c>
      <c r="K1007" s="78">
        <f t="shared" si="1161"/>
        <v>150000000</v>
      </c>
      <c r="L1007" s="133">
        <f t="shared" si="1181"/>
        <v>2114931</v>
      </c>
      <c r="M1007" s="133">
        <f t="shared" si="1181"/>
        <v>1866768</v>
      </c>
      <c r="N1007" s="133">
        <f t="shared" si="1181"/>
        <v>1992190</v>
      </c>
      <c r="O1007" s="133">
        <f t="shared" si="1181"/>
        <v>2674646</v>
      </c>
      <c r="P1007" s="133">
        <f t="shared" si="1181"/>
        <v>2835042</v>
      </c>
      <c r="Q1007" s="134">
        <f t="shared" si="1181"/>
        <v>3014069</v>
      </c>
      <c r="R1007" s="162">
        <f t="shared" si="1167"/>
        <v>14497646</v>
      </c>
      <c r="S1007" s="133">
        <f t="shared" si="1182"/>
        <v>3728474</v>
      </c>
      <c r="T1007" s="133">
        <f t="shared" si="1182"/>
        <v>0</v>
      </c>
      <c r="U1007" s="133">
        <f t="shared" si="1182"/>
        <v>0</v>
      </c>
      <c r="V1007" s="133">
        <f t="shared" si="1182"/>
        <v>0</v>
      </c>
      <c r="W1007" s="133">
        <f t="shared" si="1182"/>
        <v>0</v>
      </c>
      <c r="X1007" s="133">
        <f t="shared" si="1182"/>
        <v>0</v>
      </c>
      <c r="Y1007" s="133">
        <f t="shared" si="1182"/>
        <v>0</v>
      </c>
      <c r="Z1007" s="133">
        <f t="shared" si="1182"/>
        <v>0</v>
      </c>
      <c r="AA1007" s="162">
        <f t="shared" si="1169"/>
        <v>3728474</v>
      </c>
      <c r="AB1007" s="162">
        <f t="shared" si="1170"/>
        <v>18226120</v>
      </c>
      <c r="AC1007" s="174">
        <f t="shared" si="1164"/>
        <v>0.12150746666666666</v>
      </c>
    </row>
    <row r="1008" spans="1:29" s="19" customFormat="1" ht="19.5" hidden="1" x14ac:dyDescent="0.2">
      <c r="A1008" s="71"/>
      <c r="B1008" s="237" t="s">
        <v>1088</v>
      </c>
      <c r="C1008" s="238" t="s">
        <v>1114</v>
      </c>
      <c r="D1008" s="348">
        <v>150000000</v>
      </c>
      <c r="E1008" s="188">
        <f>SUM('ADICIONES  2021'!C1008:I1008)</f>
        <v>0</v>
      </c>
      <c r="F1008" s="134"/>
      <c r="G1008" s="134"/>
      <c r="H1008" s="134"/>
      <c r="I1008" s="134"/>
      <c r="J1008" s="134"/>
      <c r="K1008" s="126">
        <f t="shared" si="1161"/>
        <v>150000000</v>
      </c>
      <c r="L1008" s="134">
        <v>2114931</v>
      </c>
      <c r="M1008" s="134">
        <v>1866768</v>
      </c>
      <c r="N1008" s="134">
        <v>1992190</v>
      </c>
      <c r="O1008" s="134">
        <v>2674646</v>
      </c>
      <c r="P1008" s="134">
        <v>2835042</v>
      </c>
      <c r="Q1008" s="134">
        <v>3014069</v>
      </c>
      <c r="R1008" s="162">
        <f t="shared" si="1167"/>
        <v>14497646</v>
      </c>
      <c r="S1008" s="134">
        <v>3728474</v>
      </c>
      <c r="T1008" s="134"/>
      <c r="U1008" s="134"/>
      <c r="V1008" s="134"/>
      <c r="W1008" s="134"/>
      <c r="X1008" s="134"/>
      <c r="Y1008" s="134"/>
      <c r="Z1008" s="134"/>
      <c r="AA1008" s="162">
        <f t="shared" si="1169"/>
        <v>3728474</v>
      </c>
      <c r="AB1008" s="162">
        <f t="shared" si="1170"/>
        <v>18226120</v>
      </c>
      <c r="AC1008" s="180">
        <f t="shared" si="1164"/>
        <v>0.12150746666666666</v>
      </c>
    </row>
    <row r="1009" spans="1:29" s="19" customFormat="1" ht="19.5" hidden="1" x14ac:dyDescent="0.2">
      <c r="A1009" s="71"/>
      <c r="B1009" s="237" t="s">
        <v>822</v>
      </c>
      <c r="C1009" s="238" t="s">
        <v>1119</v>
      </c>
      <c r="D1009" s="347">
        <f>+D1010+D1011</f>
        <v>0</v>
      </c>
      <c r="E1009" s="187">
        <f>SUM('ADICIONES  2021'!C1009:I1009)</f>
        <v>0</v>
      </c>
      <c r="F1009" s="133">
        <f t="shared" ref="F1009:J1009" si="1183">+F1010+F1011</f>
        <v>0</v>
      </c>
      <c r="G1009" s="133">
        <f t="shared" si="1183"/>
        <v>0</v>
      </c>
      <c r="H1009" s="133">
        <f t="shared" si="1183"/>
        <v>0</v>
      </c>
      <c r="I1009" s="133">
        <f t="shared" si="1183"/>
        <v>0</v>
      </c>
      <c r="J1009" s="133">
        <f t="shared" si="1183"/>
        <v>0</v>
      </c>
      <c r="K1009" s="126">
        <f t="shared" si="1161"/>
        <v>0</v>
      </c>
      <c r="L1009" s="134">
        <f t="shared" ref="L1009:Q1009" si="1184">+L1010+L1011</f>
        <v>0</v>
      </c>
      <c r="M1009" s="134">
        <f t="shared" si="1184"/>
        <v>0</v>
      </c>
      <c r="N1009" s="134">
        <f t="shared" si="1184"/>
        <v>0</v>
      </c>
      <c r="O1009" s="134">
        <f t="shared" si="1184"/>
        <v>0</v>
      </c>
      <c r="P1009" s="134">
        <f t="shared" si="1184"/>
        <v>0</v>
      </c>
      <c r="Q1009" s="134">
        <f t="shared" si="1184"/>
        <v>0</v>
      </c>
      <c r="R1009" s="162">
        <f t="shared" si="1167"/>
        <v>0</v>
      </c>
      <c r="S1009" s="134">
        <f t="shared" ref="S1009:Z1009" si="1185">+S1010+S1011</f>
        <v>0</v>
      </c>
      <c r="T1009" s="133">
        <f t="shared" si="1185"/>
        <v>0</v>
      </c>
      <c r="U1009" s="133">
        <f t="shared" si="1185"/>
        <v>0</v>
      </c>
      <c r="V1009" s="133">
        <f t="shared" si="1185"/>
        <v>0</v>
      </c>
      <c r="W1009" s="133">
        <f t="shared" si="1185"/>
        <v>0</v>
      </c>
      <c r="X1009" s="133">
        <f t="shared" si="1185"/>
        <v>0</v>
      </c>
      <c r="Y1009" s="134">
        <f t="shared" si="1185"/>
        <v>0</v>
      </c>
      <c r="Z1009" s="133">
        <f t="shared" si="1185"/>
        <v>0</v>
      </c>
      <c r="AA1009" s="162">
        <f t="shared" si="1169"/>
        <v>0</v>
      </c>
      <c r="AB1009" s="206">
        <f t="shared" si="1170"/>
        <v>0</v>
      </c>
      <c r="AC1009" s="180" t="e">
        <f t="shared" si="1164"/>
        <v>#DIV/0!</v>
      </c>
    </row>
    <row r="1010" spans="1:29" s="19" customFormat="1" ht="19.5" hidden="1" x14ac:dyDescent="0.2">
      <c r="A1010" s="71"/>
      <c r="B1010" s="237" t="s">
        <v>1120</v>
      </c>
      <c r="C1010" s="238" t="s">
        <v>1121</v>
      </c>
      <c r="D1010" s="348">
        <v>0</v>
      </c>
      <c r="E1010" s="188">
        <f>SUM('ADICIONES  2021'!C1010:I1010)</f>
        <v>0</v>
      </c>
      <c r="F1010" s="134"/>
      <c r="G1010" s="134"/>
      <c r="H1010" s="134"/>
      <c r="I1010" s="134"/>
      <c r="J1010" s="134"/>
      <c r="K1010" s="126">
        <f t="shared" si="1161"/>
        <v>0</v>
      </c>
      <c r="L1010" s="134"/>
      <c r="M1010" s="134"/>
      <c r="N1010" s="134"/>
      <c r="O1010" s="134"/>
      <c r="P1010" s="134"/>
      <c r="Q1010" s="134"/>
      <c r="R1010" s="162">
        <f t="shared" si="1167"/>
        <v>0</v>
      </c>
      <c r="S1010" s="134"/>
      <c r="T1010" s="134"/>
      <c r="U1010" s="134"/>
      <c r="V1010" s="134"/>
      <c r="W1010" s="134"/>
      <c r="X1010" s="134"/>
      <c r="Y1010" s="134"/>
      <c r="Z1010" s="134"/>
      <c r="AA1010" s="162">
        <f t="shared" si="1169"/>
        <v>0</v>
      </c>
      <c r="AB1010" s="162">
        <f t="shared" si="1170"/>
        <v>0</v>
      </c>
      <c r="AC1010" s="180" t="e">
        <f t="shared" si="1164"/>
        <v>#DIV/0!</v>
      </c>
    </row>
    <row r="1011" spans="1:29" s="63" customFormat="1" ht="19.5" hidden="1" x14ac:dyDescent="0.2">
      <c r="A1011" s="399"/>
      <c r="B1011" s="89" t="s">
        <v>823</v>
      </c>
      <c r="C1011" s="92" t="s">
        <v>1122</v>
      </c>
      <c r="D1011" s="347">
        <f>SUM(D1012:D1013)</f>
        <v>0</v>
      </c>
      <c r="E1011" s="187">
        <f>SUM('ADICIONES  2021'!C1011:I1011)</f>
        <v>0</v>
      </c>
      <c r="F1011" s="133">
        <f t="shared" ref="F1011:J1011" si="1186">SUM(F1012:F1013)</f>
        <v>0</v>
      </c>
      <c r="G1011" s="133">
        <f t="shared" si="1186"/>
        <v>0</v>
      </c>
      <c r="H1011" s="133">
        <f t="shared" si="1186"/>
        <v>0</v>
      </c>
      <c r="I1011" s="133">
        <f t="shared" si="1186"/>
        <v>0</v>
      </c>
      <c r="J1011" s="133">
        <f t="shared" si="1186"/>
        <v>0</v>
      </c>
      <c r="K1011" s="78">
        <f t="shared" si="1161"/>
        <v>0</v>
      </c>
      <c r="L1011" s="133">
        <f t="shared" ref="L1011:Q1011" si="1187">SUM(L1012:L1013)</f>
        <v>0</v>
      </c>
      <c r="M1011" s="133">
        <f t="shared" si="1187"/>
        <v>0</v>
      </c>
      <c r="N1011" s="133">
        <f t="shared" si="1187"/>
        <v>0</v>
      </c>
      <c r="O1011" s="133">
        <f t="shared" si="1187"/>
        <v>0</v>
      </c>
      <c r="P1011" s="133">
        <f t="shared" si="1187"/>
        <v>0</v>
      </c>
      <c r="Q1011" s="134">
        <f t="shared" si="1187"/>
        <v>0</v>
      </c>
      <c r="R1011" s="162">
        <f t="shared" si="1167"/>
        <v>0</v>
      </c>
      <c r="S1011" s="133">
        <f t="shared" ref="S1011:Z1011" si="1188">SUM(S1012:S1013)</f>
        <v>0</v>
      </c>
      <c r="T1011" s="133">
        <f t="shared" si="1188"/>
        <v>0</v>
      </c>
      <c r="U1011" s="133">
        <f t="shared" si="1188"/>
        <v>0</v>
      </c>
      <c r="V1011" s="133">
        <f t="shared" si="1188"/>
        <v>0</v>
      </c>
      <c r="W1011" s="133">
        <f t="shared" si="1188"/>
        <v>0</v>
      </c>
      <c r="X1011" s="133">
        <f t="shared" si="1188"/>
        <v>0</v>
      </c>
      <c r="Y1011" s="133">
        <f t="shared" si="1188"/>
        <v>0</v>
      </c>
      <c r="Z1011" s="133">
        <f t="shared" si="1188"/>
        <v>0</v>
      </c>
      <c r="AA1011" s="162">
        <f t="shared" si="1169"/>
        <v>0</v>
      </c>
      <c r="AB1011" s="162">
        <f t="shared" si="1170"/>
        <v>0</v>
      </c>
      <c r="AC1011" s="174" t="e">
        <f t="shared" si="1164"/>
        <v>#DIV/0!</v>
      </c>
    </row>
    <row r="1012" spans="1:29" s="19" customFormat="1" ht="19.5" hidden="1" x14ac:dyDescent="0.2">
      <c r="A1012" s="71"/>
      <c r="B1012" s="237" t="s">
        <v>1123</v>
      </c>
      <c r="C1012" s="238" t="s">
        <v>611</v>
      </c>
      <c r="D1012" s="348">
        <v>0</v>
      </c>
      <c r="E1012" s="188">
        <f>SUM('ADICIONES  2021'!C1012:I1012)</f>
        <v>0</v>
      </c>
      <c r="F1012" s="134"/>
      <c r="G1012" s="134"/>
      <c r="H1012" s="134"/>
      <c r="I1012" s="134"/>
      <c r="J1012" s="134"/>
      <c r="K1012" s="126">
        <f t="shared" si="1161"/>
        <v>0</v>
      </c>
      <c r="L1012" s="134"/>
      <c r="M1012" s="134"/>
      <c r="N1012" s="134"/>
      <c r="O1012" s="134"/>
      <c r="P1012" s="134"/>
      <c r="Q1012" s="134"/>
      <c r="R1012" s="162">
        <f t="shared" si="1167"/>
        <v>0</v>
      </c>
      <c r="S1012" s="134"/>
      <c r="T1012" s="134"/>
      <c r="U1012" s="134"/>
      <c r="V1012" s="134"/>
      <c r="W1012" s="134"/>
      <c r="X1012" s="134"/>
      <c r="Y1012" s="134"/>
      <c r="Z1012" s="134"/>
      <c r="AA1012" s="162">
        <f t="shared" si="1169"/>
        <v>0</v>
      </c>
      <c r="AB1012" s="162">
        <f t="shared" si="1170"/>
        <v>0</v>
      </c>
      <c r="AC1012" s="180" t="e">
        <f t="shared" si="1164"/>
        <v>#DIV/0!</v>
      </c>
    </row>
    <row r="1013" spans="1:29" s="19" customFormat="1" ht="19.5" hidden="1" x14ac:dyDescent="0.2">
      <c r="A1013" s="71"/>
      <c r="B1013" s="237" t="s">
        <v>1124</v>
      </c>
      <c r="C1013" s="238" t="s">
        <v>1125</v>
      </c>
      <c r="D1013" s="348">
        <v>0</v>
      </c>
      <c r="E1013" s="188">
        <f>SUM('ADICIONES  2021'!C1013:I1013)</f>
        <v>0</v>
      </c>
      <c r="F1013" s="134"/>
      <c r="G1013" s="134"/>
      <c r="H1013" s="134"/>
      <c r="I1013" s="134"/>
      <c r="J1013" s="134"/>
      <c r="K1013" s="126">
        <f t="shared" si="1161"/>
        <v>0</v>
      </c>
      <c r="L1013" s="134"/>
      <c r="M1013" s="134"/>
      <c r="N1013" s="134"/>
      <c r="O1013" s="134"/>
      <c r="P1013" s="134"/>
      <c r="Q1013" s="134"/>
      <c r="R1013" s="162">
        <f t="shared" si="1167"/>
        <v>0</v>
      </c>
      <c r="S1013" s="134"/>
      <c r="T1013" s="134"/>
      <c r="U1013" s="134"/>
      <c r="V1013" s="134"/>
      <c r="W1013" s="134"/>
      <c r="X1013" s="134"/>
      <c r="Y1013" s="134"/>
      <c r="Z1013" s="134"/>
      <c r="AA1013" s="162">
        <f t="shared" si="1169"/>
        <v>0</v>
      </c>
      <c r="AB1013" s="162">
        <f t="shared" si="1170"/>
        <v>0</v>
      </c>
      <c r="AC1013" s="180" t="e">
        <f t="shared" si="1164"/>
        <v>#DIV/0!</v>
      </c>
    </row>
    <row r="1014" spans="1:29" s="19" customFormat="1" ht="20.25" thickBot="1" x14ac:dyDescent="0.25">
      <c r="A1014" s="71">
        <v>1</v>
      </c>
      <c r="B1014" s="237" t="s">
        <v>850</v>
      </c>
      <c r="C1014" s="238" t="s">
        <v>851</v>
      </c>
      <c r="D1014" s="347">
        <f>+D1015+D1016</f>
        <v>500000000</v>
      </c>
      <c r="E1014" s="187">
        <f>SUM('ADICIONES  2021'!C1014:I1014)</f>
        <v>0</v>
      </c>
      <c r="F1014" s="133">
        <f t="shared" ref="F1014:J1014" si="1189">+F1015+F1016</f>
        <v>0</v>
      </c>
      <c r="G1014" s="133">
        <f t="shared" si="1189"/>
        <v>0</v>
      </c>
      <c r="H1014" s="133">
        <f t="shared" si="1189"/>
        <v>0</v>
      </c>
      <c r="I1014" s="133">
        <f t="shared" si="1189"/>
        <v>0</v>
      </c>
      <c r="J1014" s="133">
        <f t="shared" si="1189"/>
        <v>0</v>
      </c>
      <c r="K1014" s="126">
        <f t="shared" si="1161"/>
        <v>500000000</v>
      </c>
      <c r="L1014" s="134">
        <f t="shared" ref="L1014:Q1014" si="1190">+L1015+L1016</f>
        <v>25740864</v>
      </c>
      <c r="M1014" s="134">
        <f t="shared" si="1190"/>
        <v>5664002</v>
      </c>
      <c r="N1014" s="134">
        <f t="shared" si="1190"/>
        <v>1412680</v>
      </c>
      <c r="O1014" s="134">
        <f t="shared" si="1190"/>
        <v>320536292</v>
      </c>
      <c r="P1014" s="134">
        <f t="shared" si="1190"/>
        <v>435023088.92000002</v>
      </c>
      <c r="Q1014" s="134">
        <f t="shared" si="1190"/>
        <v>813385073</v>
      </c>
      <c r="R1014" s="162">
        <f>SUM(L1014:Q1014)</f>
        <v>1601761999.9200001</v>
      </c>
      <c r="S1014" s="134">
        <f t="shared" ref="S1014:Z1014" si="1191">+S1015+S1016</f>
        <v>14111723</v>
      </c>
      <c r="T1014" s="133">
        <f t="shared" si="1191"/>
        <v>0</v>
      </c>
      <c r="U1014" s="133">
        <f t="shared" si="1191"/>
        <v>0</v>
      </c>
      <c r="V1014" s="133">
        <f t="shared" si="1191"/>
        <v>0</v>
      </c>
      <c r="W1014" s="133">
        <f t="shared" si="1191"/>
        <v>0</v>
      </c>
      <c r="X1014" s="133">
        <f t="shared" si="1191"/>
        <v>0</v>
      </c>
      <c r="Y1014" s="134">
        <f t="shared" si="1191"/>
        <v>0</v>
      </c>
      <c r="Z1014" s="133">
        <f t="shared" si="1191"/>
        <v>0</v>
      </c>
      <c r="AA1014" s="162">
        <f t="shared" si="1169"/>
        <v>14111723</v>
      </c>
      <c r="AB1014" s="126">
        <f t="shared" si="1170"/>
        <v>1615873722.9200001</v>
      </c>
      <c r="AC1014" s="180">
        <f t="shared" si="1164"/>
        <v>3.23174744584</v>
      </c>
    </row>
    <row r="1015" spans="1:29" hidden="1" thickBot="1" x14ac:dyDescent="0.25">
      <c r="B1015" s="90" t="s">
        <v>852</v>
      </c>
      <c r="C1015" s="91" t="s">
        <v>853</v>
      </c>
      <c r="D1015" s="349">
        <v>500000000</v>
      </c>
      <c r="E1015" s="188">
        <f>SUM('ADICIONES  2021'!C1015:I1015)</f>
        <v>0</v>
      </c>
      <c r="F1015" s="135"/>
      <c r="G1015" s="135"/>
      <c r="H1015" s="135"/>
      <c r="I1015" s="135"/>
      <c r="J1015" s="135"/>
      <c r="K1015" s="128">
        <f t="shared" si="1161"/>
        <v>500000000</v>
      </c>
      <c r="L1015" s="135">
        <v>25740864</v>
      </c>
      <c r="M1015" s="135">
        <v>5664002</v>
      </c>
      <c r="N1015" s="135">
        <v>1412680</v>
      </c>
      <c r="O1015" s="135">
        <v>320536292</v>
      </c>
      <c r="P1015" s="135">
        <v>435023088.92000002</v>
      </c>
      <c r="Q1015" s="434">
        <v>813385073</v>
      </c>
      <c r="R1015" s="128">
        <f t="shared" si="1167"/>
        <v>1601761999.9200001</v>
      </c>
      <c r="S1015" s="135">
        <v>14111723</v>
      </c>
      <c r="T1015" s="135"/>
      <c r="U1015" s="135"/>
      <c r="V1015" s="135"/>
      <c r="W1015" s="135"/>
      <c r="X1015" s="135"/>
      <c r="Y1015" s="135"/>
      <c r="Z1015" s="135"/>
      <c r="AA1015" s="128">
        <f t="shared" si="1169"/>
        <v>14111723</v>
      </c>
      <c r="AB1015" s="128">
        <f t="shared" si="1170"/>
        <v>1615873722.9200001</v>
      </c>
      <c r="AC1015" s="175">
        <f t="shared" si="1164"/>
        <v>3.23174744584</v>
      </c>
    </row>
    <row r="1016" spans="1:29" hidden="1" thickBot="1" x14ac:dyDescent="0.25">
      <c r="B1016" s="256" t="s">
        <v>1126</v>
      </c>
      <c r="C1016" s="257" t="s">
        <v>1127</v>
      </c>
      <c r="D1016" s="350">
        <v>0</v>
      </c>
      <c r="E1016" s="188">
        <f>SUM('ADICIONES  2021'!C1016:I1016)</f>
        <v>0</v>
      </c>
      <c r="F1016" s="258"/>
      <c r="G1016" s="258"/>
      <c r="H1016" s="258"/>
      <c r="I1016" s="258"/>
      <c r="J1016" s="258"/>
      <c r="K1016" s="129">
        <f t="shared" si="1161"/>
        <v>0</v>
      </c>
      <c r="L1016" s="258">
        <v>0</v>
      </c>
      <c r="M1016" s="258">
        <v>0</v>
      </c>
      <c r="N1016" s="258"/>
      <c r="O1016" s="258"/>
      <c r="P1016" s="258"/>
      <c r="Q1016" s="435"/>
      <c r="R1016" s="129">
        <f t="shared" si="1167"/>
        <v>0</v>
      </c>
      <c r="S1016" s="258"/>
      <c r="T1016" s="258"/>
      <c r="U1016" s="258"/>
      <c r="V1016" s="258"/>
      <c r="W1016" s="258"/>
      <c r="X1016" s="258"/>
      <c r="Y1016" s="258"/>
      <c r="Z1016" s="258"/>
      <c r="AA1016" s="129">
        <f t="shared" si="1169"/>
        <v>0</v>
      </c>
      <c r="AB1016" s="129">
        <f t="shared" si="1170"/>
        <v>0</v>
      </c>
      <c r="AC1016" s="259" t="e">
        <f t="shared" si="1164"/>
        <v>#DIV/0!</v>
      </c>
    </row>
    <row r="1017" spans="1:29" s="142" customFormat="1" ht="20.25" thickBot="1" x14ac:dyDescent="0.25">
      <c r="A1017" s="141">
        <v>1</v>
      </c>
      <c r="B1017" s="454" t="s">
        <v>25</v>
      </c>
      <c r="C1017" s="455"/>
      <c r="D1017" s="351">
        <f t="shared" ref="D1017:AB1017" si="1192">+D995</f>
        <v>629043594392</v>
      </c>
      <c r="E1017" s="204">
        <f t="shared" si="1192"/>
        <v>0</v>
      </c>
      <c r="F1017" s="280">
        <f t="shared" si="1192"/>
        <v>0</v>
      </c>
      <c r="G1017" s="280">
        <f t="shared" si="1192"/>
        <v>0</v>
      </c>
      <c r="H1017" s="280">
        <f t="shared" si="1192"/>
        <v>0</v>
      </c>
      <c r="I1017" s="280">
        <f t="shared" si="1192"/>
        <v>193347367060</v>
      </c>
      <c r="J1017" s="280">
        <f t="shared" si="1192"/>
        <v>0</v>
      </c>
      <c r="K1017" s="203">
        <f t="shared" si="1192"/>
        <v>629043594392</v>
      </c>
      <c r="L1017" s="203">
        <f t="shared" si="1192"/>
        <v>54948368576</v>
      </c>
      <c r="M1017" s="203">
        <f t="shared" si="1192"/>
        <v>44277029266</v>
      </c>
      <c r="N1017" s="203">
        <f t="shared" si="1192"/>
        <v>43852207389</v>
      </c>
      <c r="O1017" s="203">
        <f t="shared" si="1192"/>
        <v>42768251549</v>
      </c>
      <c r="P1017" s="203">
        <f t="shared" si="1192"/>
        <v>43417649059.919998</v>
      </c>
      <c r="Q1017" s="203">
        <f t="shared" si="1192"/>
        <v>43638832675</v>
      </c>
      <c r="R1017" s="280">
        <f t="shared" si="1192"/>
        <v>272902338514.91998</v>
      </c>
      <c r="S1017" s="203">
        <f t="shared" si="1192"/>
        <v>61706391253</v>
      </c>
      <c r="T1017" s="280">
        <f t="shared" si="1192"/>
        <v>0</v>
      </c>
      <c r="U1017" s="280">
        <f t="shared" si="1192"/>
        <v>0</v>
      </c>
      <c r="V1017" s="280">
        <f t="shared" si="1192"/>
        <v>0</v>
      </c>
      <c r="W1017" s="280">
        <f t="shared" si="1192"/>
        <v>0</v>
      </c>
      <c r="X1017" s="280">
        <f t="shared" si="1192"/>
        <v>0</v>
      </c>
      <c r="Y1017" s="203">
        <f t="shared" si="1192"/>
        <v>0</v>
      </c>
      <c r="Z1017" s="280">
        <f t="shared" si="1192"/>
        <v>0</v>
      </c>
      <c r="AA1017" s="280">
        <f t="shared" si="1192"/>
        <v>61706391253</v>
      </c>
      <c r="AB1017" s="203">
        <f t="shared" si="1192"/>
        <v>334608729767.91998</v>
      </c>
      <c r="AC1017" s="205">
        <f t="shared" ref="AC1017" si="1193">AB1017/K1017</f>
        <v>0.53193249681102772</v>
      </c>
    </row>
    <row r="1018" spans="1:29" s="170" customFormat="1" ht="20.25" thickBot="1" x14ac:dyDescent="0.25">
      <c r="A1018" s="171">
        <v>1</v>
      </c>
      <c r="B1018" s="454" t="s">
        <v>48</v>
      </c>
      <c r="C1018" s="455"/>
      <c r="D1018" s="336">
        <f t="shared" ref="D1018:AB1018" si="1194">+D765+D988+D1017</f>
        <v>1466251362966.8999</v>
      </c>
      <c r="E1018" s="204">
        <f t="shared" si="1194"/>
        <v>537285602348.12988</v>
      </c>
      <c r="F1018" s="203">
        <f t="shared" si="1194"/>
        <v>2634273900</v>
      </c>
      <c r="G1018" s="203">
        <f t="shared" si="1194"/>
        <v>2850000000</v>
      </c>
      <c r="H1018" s="203">
        <f t="shared" si="1194"/>
        <v>2850000000</v>
      </c>
      <c r="I1018" s="203">
        <f t="shared" si="1194"/>
        <v>193347367060</v>
      </c>
      <c r="J1018" s="203">
        <f t="shared" si="1194"/>
        <v>0</v>
      </c>
      <c r="K1018" s="203">
        <f t="shared" si="1194"/>
        <v>2000902691415.0298</v>
      </c>
      <c r="L1018" s="203">
        <f t="shared" si="1194"/>
        <v>132147037229.61</v>
      </c>
      <c r="M1018" s="203">
        <f t="shared" si="1194"/>
        <v>111894893942.41</v>
      </c>
      <c r="N1018" s="203">
        <f t="shared" si="1194"/>
        <v>129577056909.12999</v>
      </c>
      <c r="O1018" s="203">
        <f t="shared" si="1194"/>
        <v>107801406488.88</v>
      </c>
      <c r="P1018" s="203">
        <f t="shared" si="1194"/>
        <v>303117694443.79999</v>
      </c>
      <c r="Q1018" s="203">
        <f t="shared" si="1194"/>
        <v>121865854546.29999</v>
      </c>
      <c r="R1018" s="203">
        <f t="shared" si="1194"/>
        <v>906403943560.12988</v>
      </c>
      <c r="S1018" s="203">
        <f t="shared" si="1194"/>
        <v>205740158385.61002</v>
      </c>
      <c r="T1018" s="203">
        <f t="shared" si="1194"/>
        <v>0</v>
      </c>
      <c r="U1018" s="203">
        <f t="shared" si="1194"/>
        <v>0</v>
      </c>
      <c r="V1018" s="203">
        <f t="shared" si="1194"/>
        <v>0</v>
      </c>
      <c r="W1018" s="203">
        <f t="shared" si="1194"/>
        <v>0</v>
      </c>
      <c r="X1018" s="203">
        <f t="shared" si="1194"/>
        <v>0</v>
      </c>
      <c r="Y1018" s="203">
        <f t="shared" si="1194"/>
        <v>-526413195</v>
      </c>
      <c r="Z1018" s="203">
        <f t="shared" si="1194"/>
        <v>0</v>
      </c>
      <c r="AA1018" s="203">
        <f t="shared" si="1194"/>
        <v>205213745190.61002</v>
      </c>
      <c r="AB1018" s="203">
        <f t="shared" si="1194"/>
        <v>1111617688750.74</v>
      </c>
      <c r="AC1018" s="178">
        <f>AB1018/K1018</f>
        <v>0.55555809561363967</v>
      </c>
    </row>
    <row r="1019" spans="1:29" x14ac:dyDescent="0.2">
      <c r="A1019" s="100">
        <v>1</v>
      </c>
      <c r="B1019" s="465" t="s">
        <v>1881</v>
      </c>
      <c r="C1019" s="465"/>
      <c r="D1019" s="465"/>
      <c r="E1019" s="465"/>
      <c r="F1019" s="465"/>
      <c r="G1019" s="465"/>
      <c r="H1019" s="465"/>
      <c r="I1019" s="465"/>
      <c r="J1019" s="465"/>
      <c r="K1019" s="465"/>
      <c r="L1019" s="465"/>
      <c r="M1019" s="465"/>
      <c r="N1019" s="465"/>
      <c r="O1019" s="465"/>
      <c r="P1019" s="465"/>
      <c r="Q1019" s="490"/>
      <c r="R1019" s="465"/>
      <c r="S1019" s="465"/>
      <c r="T1019" s="465"/>
      <c r="U1019" s="465"/>
      <c r="V1019" s="465"/>
      <c r="W1019" s="465"/>
      <c r="X1019" s="465"/>
      <c r="Y1019" s="465"/>
      <c r="Z1019" s="465"/>
      <c r="AA1019" s="465"/>
      <c r="AB1019" s="465"/>
      <c r="AC1019" s="465"/>
    </row>
    <row r="1020" spans="1:29" x14ac:dyDescent="0.2">
      <c r="A1020" s="100">
        <v>1</v>
      </c>
      <c r="B1020" s="240"/>
      <c r="C1020" s="116"/>
      <c r="D1020" s="352"/>
      <c r="E1020" s="116"/>
      <c r="F1020" s="116"/>
      <c r="G1020" s="116"/>
      <c r="H1020" s="116"/>
      <c r="I1020" s="116"/>
      <c r="J1020" s="116"/>
      <c r="K1020" s="116"/>
      <c r="L1020" s="116"/>
      <c r="M1020" s="116"/>
      <c r="N1020" s="116"/>
      <c r="O1020" s="116"/>
      <c r="P1020" s="116"/>
      <c r="Q1020" s="393"/>
      <c r="R1020" s="116"/>
      <c r="S1020" s="116"/>
      <c r="T1020" s="116"/>
      <c r="U1020" s="116"/>
      <c r="V1020" s="116"/>
      <c r="W1020" s="116"/>
      <c r="X1020" s="116"/>
      <c r="Y1020" s="116"/>
      <c r="Z1020" s="116"/>
      <c r="AA1020" s="116"/>
      <c r="AB1020" s="116"/>
      <c r="AC1020" s="116"/>
    </row>
    <row r="1021" spans="1:29" x14ac:dyDescent="0.2">
      <c r="A1021" s="100">
        <v>1</v>
      </c>
      <c r="B1021" s="233"/>
      <c r="C1021" s="234"/>
      <c r="D1021" s="353"/>
      <c r="E1021" s="353"/>
      <c r="F1021" s="353"/>
      <c r="G1021" s="353"/>
      <c r="H1021" s="353"/>
      <c r="I1021" s="353"/>
      <c r="J1021" s="353"/>
      <c r="K1021" s="353"/>
      <c r="L1021" s="144"/>
      <c r="M1021" s="144"/>
      <c r="N1021" s="144"/>
      <c r="O1021" s="144"/>
      <c r="P1021" s="144"/>
      <c r="Q1021" s="447"/>
      <c r="R1021" s="144"/>
      <c r="S1021" s="144"/>
      <c r="T1021" s="144"/>
      <c r="U1021" s="144"/>
      <c r="V1021" s="144"/>
      <c r="W1021" s="144"/>
      <c r="X1021" s="144"/>
      <c r="Y1021" s="144"/>
      <c r="Z1021" s="144"/>
      <c r="AA1021" s="144"/>
      <c r="AB1021" s="144"/>
      <c r="AC1021" s="179"/>
    </row>
    <row r="1022" spans="1:29" x14ac:dyDescent="0.2">
      <c r="A1022" s="100">
        <v>1</v>
      </c>
      <c r="B1022" s="233"/>
      <c r="C1022" s="234"/>
      <c r="D1022" s="354"/>
      <c r="E1022" s="354"/>
      <c r="F1022" s="354"/>
      <c r="G1022" s="354"/>
      <c r="H1022" s="354"/>
      <c r="I1022" s="354"/>
      <c r="J1022" s="354"/>
      <c r="K1022" s="354"/>
      <c r="L1022" s="144"/>
      <c r="M1022" s="144"/>
      <c r="N1022" s="144"/>
      <c r="O1022" s="144"/>
      <c r="P1022" s="144"/>
      <c r="Q1022" s="447"/>
      <c r="R1022" s="144"/>
      <c r="S1022" s="144"/>
      <c r="T1022" s="144"/>
      <c r="U1022" s="144"/>
      <c r="V1022" s="144"/>
      <c r="W1022" s="144"/>
      <c r="X1022" s="144"/>
      <c r="Y1022" s="144"/>
      <c r="Z1022" s="144"/>
      <c r="AA1022" s="144"/>
      <c r="AB1022" s="144"/>
      <c r="AC1022" s="179"/>
    </row>
    <row r="1023" spans="1:29" x14ac:dyDescent="0.2">
      <c r="A1023" s="100">
        <v>1</v>
      </c>
      <c r="C1023" s="40"/>
      <c r="E1023" s="148"/>
      <c r="F1023" s="148"/>
      <c r="G1023" s="148"/>
      <c r="H1023" s="148"/>
      <c r="I1023" s="148"/>
      <c r="J1023" s="148"/>
      <c r="K1023" s="148"/>
    </row>
    <row r="1024" spans="1:29" ht="15.75" x14ac:dyDescent="0.2">
      <c r="A1024" s="100">
        <v>1</v>
      </c>
      <c r="B1024" s="466" t="s">
        <v>53</v>
      </c>
      <c r="C1024" s="466"/>
      <c r="D1024" s="466"/>
      <c r="E1024" s="466"/>
      <c r="F1024" s="466"/>
      <c r="G1024" s="466"/>
      <c r="H1024" s="466"/>
      <c r="I1024" s="466"/>
      <c r="J1024" s="466"/>
      <c r="K1024" s="466"/>
      <c r="L1024" s="466"/>
      <c r="M1024" s="466"/>
      <c r="N1024" s="466"/>
      <c r="O1024" s="466"/>
      <c r="P1024" s="466"/>
      <c r="Q1024" s="466"/>
      <c r="R1024" s="466"/>
      <c r="S1024" s="466"/>
      <c r="T1024" s="466"/>
      <c r="U1024" s="466"/>
      <c r="V1024" s="466"/>
      <c r="W1024" s="466"/>
      <c r="X1024" s="466"/>
      <c r="Y1024" s="466"/>
      <c r="Z1024" s="466"/>
      <c r="AA1024" s="466"/>
      <c r="AB1024" s="466"/>
      <c r="AC1024" s="466"/>
    </row>
    <row r="1025" spans="1:29" x14ac:dyDescent="0.2">
      <c r="A1025" s="100">
        <v>1</v>
      </c>
      <c r="B1025" s="456" t="s">
        <v>83</v>
      </c>
      <c r="C1025" s="456"/>
      <c r="D1025" s="456"/>
      <c r="E1025" s="456"/>
      <c r="F1025" s="456"/>
      <c r="G1025" s="456"/>
      <c r="H1025" s="456"/>
      <c r="I1025" s="456"/>
      <c r="J1025" s="456"/>
      <c r="K1025" s="456"/>
      <c r="L1025" s="456"/>
      <c r="M1025" s="456"/>
      <c r="N1025" s="456"/>
      <c r="O1025" s="456"/>
      <c r="P1025" s="456"/>
      <c r="Q1025" s="487"/>
      <c r="R1025" s="456"/>
      <c r="S1025" s="456"/>
      <c r="T1025" s="456"/>
      <c r="U1025" s="456"/>
      <c r="V1025" s="456"/>
      <c r="W1025" s="456"/>
      <c r="X1025" s="456"/>
      <c r="Y1025" s="456"/>
      <c r="Z1025" s="456"/>
      <c r="AA1025" s="456"/>
      <c r="AB1025" s="456"/>
      <c r="AC1025" s="456"/>
    </row>
    <row r="1026" spans="1:29" x14ac:dyDescent="0.2">
      <c r="E1026" s="191"/>
      <c r="F1026" s="148"/>
      <c r="G1026" s="148"/>
      <c r="H1026" s="148"/>
    </row>
    <row r="1027" spans="1:29" x14ac:dyDescent="0.2">
      <c r="E1027" s="191"/>
      <c r="F1027" s="148"/>
      <c r="G1027" s="148"/>
      <c r="H1027" s="148"/>
    </row>
    <row r="1028" spans="1:29" x14ac:dyDescent="0.2">
      <c r="E1028" s="191"/>
      <c r="F1028" s="148"/>
      <c r="G1028" s="148"/>
      <c r="H1028" s="148"/>
      <c r="I1028" s="148"/>
      <c r="J1028" s="148"/>
      <c r="K1028" s="148"/>
      <c r="L1028" s="148"/>
      <c r="M1028" s="148"/>
      <c r="N1028" s="148"/>
      <c r="O1028" s="148"/>
      <c r="P1028" s="148"/>
      <c r="R1028" s="148"/>
    </row>
    <row r="1029" spans="1:29" x14ac:dyDescent="0.2">
      <c r="E1029" s="191"/>
      <c r="F1029" s="148"/>
      <c r="G1029" s="148"/>
      <c r="H1029" s="148"/>
    </row>
    <row r="1030" spans="1:29" x14ac:dyDescent="0.2">
      <c r="E1030" s="148"/>
      <c r="F1030" s="148"/>
      <c r="G1030" s="148"/>
      <c r="H1030" s="148"/>
      <c r="I1030" s="148"/>
      <c r="J1030" s="148"/>
      <c r="K1030" s="148"/>
    </row>
    <row r="1035" spans="1:29" s="124" customFormat="1" x14ac:dyDescent="0.2">
      <c r="A1035" s="398"/>
      <c r="B1035" s="22"/>
      <c r="C1035" s="1"/>
      <c r="D1035" s="326"/>
      <c r="E1035" s="186"/>
      <c r="F1035" s="125"/>
      <c r="G1035" s="136"/>
      <c r="H1035" s="136"/>
      <c r="I1035" s="125"/>
      <c r="J1035" s="125"/>
      <c r="K1035" s="125"/>
      <c r="L1035" s="125"/>
      <c r="M1035" s="125"/>
      <c r="N1035" s="125"/>
      <c r="O1035" s="125"/>
      <c r="P1035" s="125"/>
      <c r="Q1035" s="148"/>
      <c r="R1035" s="125"/>
      <c r="S1035" s="125"/>
      <c r="T1035" s="125"/>
      <c r="U1035" s="125"/>
      <c r="V1035" s="125"/>
      <c r="W1035" s="125"/>
      <c r="X1035" s="125"/>
      <c r="Y1035" s="125"/>
      <c r="Z1035" s="125"/>
      <c r="AA1035" s="125"/>
      <c r="AB1035" s="125"/>
      <c r="AC1035" s="172"/>
    </row>
  </sheetData>
  <sheetProtection algorithmName="SHA-512" hashValue="St/RWdaCch6m6+z496JN/JlV6oGLPpeoadm6PxR2+apDUHEvrnWrNivtdfq5RPSq14rTMz0taGdySu/q/4rc7g==" saltValue="2wJX1Lj/PO7ULwOEneVejw==" spinCount="100000" sheet="1" objects="1" scenarios="1"/>
  <autoFilter ref="A8:AC1025">
    <filterColumn colId="0">
      <customFilters>
        <customFilter operator="notEqual" val=" "/>
      </customFilters>
    </filterColumn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</autoFilter>
  <mergeCells count="40">
    <mergeCell ref="Q9:Q10"/>
    <mergeCell ref="R9:R10"/>
    <mergeCell ref="S9:S10"/>
    <mergeCell ref="B994:C994"/>
    <mergeCell ref="B1017:C1017"/>
    <mergeCell ref="N9:N10"/>
    <mergeCell ref="O9:O10"/>
    <mergeCell ref="P9:P10"/>
    <mergeCell ref="B1025:AC1025"/>
    <mergeCell ref="AC9:AC10"/>
    <mergeCell ref="B765:C765"/>
    <mergeCell ref="C767:D767"/>
    <mergeCell ref="B988:C988"/>
    <mergeCell ref="B990:C990"/>
    <mergeCell ref="B992:C992"/>
    <mergeCell ref="W9:W10"/>
    <mergeCell ref="X9:X10"/>
    <mergeCell ref="Y9:Y10"/>
    <mergeCell ref="Z9:Z10"/>
    <mergeCell ref="AA9:AA10"/>
    <mergeCell ref="AB9:AB10"/>
    <mergeCell ref="B1018:C1018"/>
    <mergeCell ref="B1019:AC1019"/>
    <mergeCell ref="B1024:AC1024"/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T9:T10"/>
    <mergeCell ref="U9:U10"/>
    <mergeCell ref="V9:V10"/>
    <mergeCell ref="K9:K10"/>
    <mergeCell ref="L9:L10"/>
    <mergeCell ref="M9:M10"/>
  </mergeCells>
  <printOptions gridLines="1"/>
  <pageMargins left="1.2598425196850394" right="0" top="0.59055118110236227" bottom="1.2598425196850394" header="0.51181102362204722" footer="0.78740157480314965"/>
  <pageSetup paperSize="5" scale="49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JULIO  2021 - ELABORO: JOSE LUNA DURAN.
                                       FUENTE: DIRECCION TECNICA DE CONTABILIDAD &amp;C&amp;P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3"/>
  <sheetViews>
    <sheetView zoomScaleNormal="100" workbookViewId="0">
      <pane xSplit="1" ySplit="3" topLeftCell="F4" activePane="bottomRight" state="frozen"/>
      <selection activeCell="Z167" sqref="Z167"/>
      <selection pane="topRight" activeCell="Z167" sqref="Z167"/>
      <selection pane="bottomLeft" activeCell="Z167" sqref="Z167"/>
      <selection pane="bottomRight" activeCell="AA78" sqref="AA78"/>
    </sheetView>
  </sheetViews>
  <sheetFormatPr baseColWidth="10" defaultColWidth="11.42578125" defaultRowHeight="14.25" x14ac:dyDescent="0.2"/>
  <cols>
    <col min="1" max="1" width="56.42578125" style="1" customWidth="1"/>
    <col min="2" max="2" width="17.28515625" style="1" bestFit="1" customWidth="1"/>
    <col min="3" max="3" width="10.85546875" style="1" hidden="1" customWidth="1"/>
    <col min="4" max="4" width="20.140625" style="1" hidden="1" customWidth="1"/>
    <col min="5" max="5" width="12.7109375" style="30" hidden="1" customWidth="1"/>
    <col min="6" max="6" width="19.85546875" style="1" customWidth="1"/>
    <col min="7" max="7" width="17.42578125" style="1" hidden="1" customWidth="1"/>
    <col min="8" max="8" width="14.140625" style="1" hidden="1" customWidth="1"/>
    <col min="9" max="9" width="18.5703125" style="1" customWidth="1"/>
    <col min="10" max="10" width="8.7109375" style="1" bestFit="1" customWidth="1"/>
    <col min="11" max="11" width="17.28515625" style="1" bestFit="1" customWidth="1"/>
    <col min="12" max="12" width="15.85546875" style="1" bestFit="1" customWidth="1"/>
    <col min="13" max="14" width="7.28515625" style="1" bestFit="1" customWidth="1"/>
    <col min="15" max="15" width="7.5703125" style="1" bestFit="1" customWidth="1"/>
    <col min="16" max="16" width="21.85546875" style="1" hidden="1" customWidth="1"/>
    <col min="17" max="17" width="16.7109375" style="1" bestFit="1" customWidth="1"/>
    <col min="18" max="18" width="7.5703125" style="1" hidden="1" customWidth="1"/>
    <col min="19" max="19" width="9" style="1" hidden="1" customWidth="1"/>
    <col min="20" max="20" width="7.140625" style="1" hidden="1" customWidth="1"/>
    <col min="21" max="21" width="7.7109375" style="1" hidden="1" customWidth="1"/>
    <col min="22" max="22" width="17.28515625" style="1" hidden="1" customWidth="1"/>
    <col min="23" max="23" width="13" style="1" hidden="1" customWidth="1"/>
    <col min="24" max="24" width="21.42578125" style="1" hidden="1" customWidth="1"/>
    <col min="25" max="25" width="16.5703125" style="1" hidden="1" customWidth="1"/>
    <col min="26" max="26" width="17.28515625" style="1" bestFit="1" customWidth="1"/>
    <col min="27" max="27" width="8.5703125" style="36" bestFit="1" customWidth="1"/>
    <col min="28" max="16384" width="11.42578125" style="1"/>
  </cols>
  <sheetData>
    <row r="1" spans="1:27" ht="21" thickBot="1" x14ac:dyDescent="0.25">
      <c r="A1" s="491" t="s">
        <v>1892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</row>
    <row r="2" spans="1:27" s="16" customFormat="1" ht="15" x14ac:dyDescent="0.2">
      <c r="A2" s="400" t="s">
        <v>0</v>
      </c>
      <c r="B2" s="400" t="s">
        <v>1</v>
      </c>
      <c r="C2" s="493" t="s">
        <v>27</v>
      </c>
      <c r="D2" s="493" t="s">
        <v>28</v>
      </c>
      <c r="E2" s="495" t="s">
        <v>2</v>
      </c>
      <c r="F2" s="493" t="s">
        <v>381</v>
      </c>
      <c r="G2" s="493" t="s">
        <v>38</v>
      </c>
      <c r="H2" s="493" t="s">
        <v>52</v>
      </c>
      <c r="I2" s="400" t="s">
        <v>3</v>
      </c>
      <c r="J2" s="493" t="s">
        <v>4</v>
      </c>
      <c r="K2" s="493" t="s">
        <v>5</v>
      </c>
      <c r="L2" s="493" t="s">
        <v>6</v>
      </c>
      <c r="M2" s="493" t="s">
        <v>7</v>
      </c>
      <c r="N2" s="493" t="s">
        <v>8</v>
      </c>
      <c r="O2" s="493" t="s">
        <v>39</v>
      </c>
      <c r="P2" s="400" t="s">
        <v>10</v>
      </c>
      <c r="Q2" s="493" t="s">
        <v>11</v>
      </c>
      <c r="R2" s="493" t="s">
        <v>12</v>
      </c>
      <c r="S2" s="493" t="s">
        <v>13</v>
      </c>
      <c r="T2" s="493" t="s">
        <v>14</v>
      </c>
      <c r="U2" s="493" t="s">
        <v>15</v>
      </c>
      <c r="V2" s="493" t="s">
        <v>16</v>
      </c>
      <c r="W2" s="493" t="s">
        <v>50</v>
      </c>
      <c r="X2" s="493" t="s">
        <v>51</v>
      </c>
      <c r="Y2" s="400" t="s">
        <v>10</v>
      </c>
      <c r="Z2" s="400" t="s">
        <v>17</v>
      </c>
      <c r="AA2" s="31" t="s">
        <v>18</v>
      </c>
    </row>
    <row r="3" spans="1:27" s="16" customFormat="1" ht="15.75" thickBot="1" x14ac:dyDescent="0.25">
      <c r="A3" s="401" t="s">
        <v>24</v>
      </c>
      <c r="B3" s="401" t="s">
        <v>19</v>
      </c>
      <c r="C3" s="494"/>
      <c r="D3" s="494"/>
      <c r="E3" s="496"/>
      <c r="F3" s="494"/>
      <c r="G3" s="494"/>
      <c r="H3" s="494"/>
      <c r="I3" s="401" t="s">
        <v>20</v>
      </c>
      <c r="J3" s="494"/>
      <c r="K3" s="494"/>
      <c r="L3" s="494"/>
      <c r="M3" s="494"/>
      <c r="N3" s="494"/>
      <c r="O3" s="494"/>
      <c r="P3" s="401" t="s">
        <v>29</v>
      </c>
      <c r="Q3" s="494"/>
      <c r="R3" s="494"/>
      <c r="S3" s="494"/>
      <c r="T3" s="494"/>
      <c r="U3" s="494"/>
      <c r="V3" s="494"/>
      <c r="W3" s="494"/>
      <c r="X3" s="494"/>
      <c r="Y3" s="401" t="s">
        <v>30</v>
      </c>
      <c r="Z3" s="401" t="s">
        <v>26</v>
      </c>
      <c r="AA3" s="32" t="s">
        <v>23</v>
      </c>
    </row>
    <row r="4" spans="1:27" ht="30" x14ac:dyDescent="0.2">
      <c r="A4" s="85" t="s">
        <v>80</v>
      </c>
      <c r="B4" s="12"/>
      <c r="C4" s="12"/>
      <c r="D4" s="12"/>
      <c r="E4" s="27"/>
      <c r="F4" s="12"/>
      <c r="G4" s="13"/>
      <c r="H4" s="13"/>
      <c r="I4" s="12"/>
      <c r="J4" s="28"/>
      <c r="K4" s="13"/>
      <c r="L4" s="13"/>
      <c r="M4" s="13"/>
      <c r="N4" s="13"/>
      <c r="O4" s="13"/>
      <c r="P4" s="13"/>
      <c r="Q4" s="17"/>
      <c r="R4" s="13"/>
      <c r="S4" s="13"/>
      <c r="T4" s="13"/>
      <c r="U4" s="13"/>
      <c r="V4" s="13"/>
      <c r="W4" s="13"/>
      <c r="X4" s="13"/>
      <c r="Y4" s="13"/>
      <c r="Z4" s="3"/>
      <c r="AA4" s="35"/>
    </row>
    <row r="5" spans="1:27" s="5" customFormat="1" ht="30" x14ac:dyDescent="0.2">
      <c r="A5" s="184" t="s">
        <v>41</v>
      </c>
      <c r="B5" s="23">
        <f>+B6</f>
        <v>58764935113.12999</v>
      </c>
      <c r="C5" s="23">
        <f t="shared" ref="C5:H5" si="0">+C6</f>
        <v>0</v>
      </c>
      <c r="D5" s="23">
        <f t="shared" si="0"/>
        <v>0</v>
      </c>
      <c r="E5" s="23">
        <f t="shared" si="0"/>
        <v>0</v>
      </c>
      <c r="F5" s="23">
        <f t="shared" si="0"/>
        <v>2645652911.5499992</v>
      </c>
      <c r="G5" s="23">
        <f t="shared" si="0"/>
        <v>0</v>
      </c>
      <c r="H5" s="23">
        <f t="shared" si="0"/>
        <v>0</v>
      </c>
      <c r="I5" s="23">
        <f>+B5+C5-D5+E5-F5</f>
        <v>56119282201.579987</v>
      </c>
      <c r="J5" s="23">
        <f t="shared" ref="J5:O5" si="1">+J6</f>
        <v>0</v>
      </c>
      <c r="K5" s="23">
        <f>+K6</f>
        <v>47611800420.929993</v>
      </c>
      <c r="L5" s="23">
        <f t="shared" si="1"/>
        <v>2000000000</v>
      </c>
      <c r="M5" s="23">
        <f t="shared" si="1"/>
        <v>0</v>
      </c>
      <c r="N5" s="23">
        <f t="shared" si="1"/>
        <v>0</v>
      </c>
      <c r="O5" s="23">
        <f t="shared" si="1"/>
        <v>0</v>
      </c>
      <c r="P5" s="23">
        <f>SUM(J5:O5)</f>
        <v>49611800420.929993</v>
      </c>
      <c r="Q5" s="23">
        <f t="shared" ref="Q5:X5" si="2">+Q6</f>
        <v>-2645652911.5499992</v>
      </c>
      <c r="R5" s="23">
        <f t="shared" si="2"/>
        <v>0</v>
      </c>
      <c r="S5" s="23">
        <f t="shared" si="2"/>
        <v>0</v>
      </c>
      <c r="T5" s="23">
        <f t="shared" si="2"/>
        <v>0</v>
      </c>
      <c r="U5" s="23">
        <f t="shared" si="2"/>
        <v>0</v>
      </c>
      <c r="V5" s="23">
        <f t="shared" si="2"/>
        <v>0</v>
      </c>
      <c r="W5" s="23">
        <f t="shared" si="2"/>
        <v>0</v>
      </c>
      <c r="X5" s="23">
        <f t="shared" si="2"/>
        <v>0</v>
      </c>
      <c r="Y5" s="23">
        <f t="shared" ref="Y5:Y8" si="3">SUM(Q5:X5)</f>
        <v>-2645652911.5499992</v>
      </c>
      <c r="Z5" s="23">
        <f>+P5+Y5</f>
        <v>46966147509.37999</v>
      </c>
      <c r="AA5" s="33">
        <f>+Z5/I5</f>
        <v>0.83689857865034667</v>
      </c>
    </row>
    <row r="6" spans="1:27" s="5" customFormat="1" ht="30" x14ac:dyDescent="0.2">
      <c r="A6" s="184" t="s">
        <v>42</v>
      </c>
      <c r="B6" s="23">
        <f>SUM(B8:B118)</f>
        <v>58764935113.12999</v>
      </c>
      <c r="C6" s="23">
        <f t="shared" ref="C6:H6" si="4">SUM(C8:C118)</f>
        <v>0</v>
      </c>
      <c r="D6" s="23">
        <f t="shared" si="4"/>
        <v>0</v>
      </c>
      <c r="E6" s="23">
        <f t="shared" si="4"/>
        <v>0</v>
      </c>
      <c r="F6" s="23">
        <f t="shared" si="4"/>
        <v>2645652911.5499992</v>
      </c>
      <c r="G6" s="23">
        <f t="shared" si="4"/>
        <v>0</v>
      </c>
      <c r="H6" s="23">
        <f t="shared" si="4"/>
        <v>0</v>
      </c>
      <c r="I6" s="23">
        <f>+B6+C6-D6+E6-F6</f>
        <v>56119282201.579987</v>
      </c>
      <c r="J6" s="23">
        <f t="shared" ref="J6:O6" si="5">SUM(J8:J118)</f>
        <v>0</v>
      </c>
      <c r="K6" s="23">
        <f t="shared" si="5"/>
        <v>47611800420.929993</v>
      </c>
      <c r="L6" s="23">
        <f t="shared" si="5"/>
        <v>2000000000</v>
      </c>
      <c r="M6" s="23">
        <f t="shared" si="5"/>
        <v>0</v>
      </c>
      <c r="N6" s="23">
        <f t="shared" si="5"/>
        <v>0</v>
      </c>
      <c r="O6" s="23">
        <f t="shared" si="5"/>
        <v>0</v>
      </c>
      <c r="P6" s="23">
        <f t="shared" ref="P6:P87" si="6">SUM(J6:O6)</f>
        <v>49611800420.929993</v>
      </c>
      <c r="Q6" s="23">
        <f t="shared" ref="Q6:X6" si="7">SUM(Q8:Q118)</f>
        <v>-2645652911.5499992</v>
      </c>
      <c r="R6" s="23">
        <f t="shared" si="7"/>
        <v>0</v>
      </c>
      <c r="S6" s="23">
        <f t="shared" si="7"/>
        <v>0</v>
      </c>
      <c r="T6" s="23">
        <f t="shared" si="7"/>
        <v>0</v>
      </c>
      <c r="U6" s="23">
        <f t="shared" si="7"/>
        <v>0</v>
      </c>
      <c r="V6" s="23">
        <f t="shared" si="7"/>
        <v>0</v>
      </c>
      <c r="W6" s="23">
        <f t="shared" si="7"/>
        <v>0</v>
      </c>
      <c r="X6" s="23">
        <f t="shared" si="7"/>
        <v>0</v>
      </c>
      <c r="Y6" s="23">
        <f t="shared" si="3"/>
        <v>-2645652911.5499992</v>
      </c>
      <c r="Z6" s="23">
        <f>+P6+Y6</f>
        <v>46966147509.37999</v>
      </c>
      <c r="AA6" s="33">
        <f>+Z6/I6</f>
        <v>0.83689857865034667</v>
      </c>
    </row>
    <row r="7" spans="1:27" s="5" customFormat="1" ht="15" x14ac:dyDescent="0.2">
      <c r="A7" s="56" t="s">
        <v>43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>
        <f t="shared" si="6"/>
        <v>0</v>
      </c>
      <c r="Q7" s="23"/>
      <c r="R7" s="23"/>
      <c r="S7" s="23"/>
      <c r="T7" s="23"/>
      <c r="U7" s="23"/>
      <c r="V7" s="23"/>
      <c r="W7" s="23"/>
      <c r="X7" s="23"/>
      <c r="Y7" s="23">
        <f t="shared" si="3"/>
        <v>0</v>
      </c>
      <c r="Z7" s="23"/>
      <c r="AA7" s="33"/>
    </row>
    <row r="8" spans="1:27" x14ac:dyDescent="0.2">
      <c r="A8" s="57" t="s">
        <v>55</v>
      </c>
      <c r="B8" s="14">
        <v>11997014515.1</v>
      </c>
      <c r="C8" s="14"/>
      <c r="D8" s="14"/>
      <c r="E8" s="25"/>
      <c r="F8" s="14">
        <v>1081098244.53</v>
      </c>
      <c r="G8" s="14"/>
      <c r="H8" s="14"/>
      <c r="I8" s="25">
        <f>+B8+C8-D8+E8-F8</f>
        <v>10915916270.57</v>
      </c>
      <c r="J8" s="14"/>
      <c r="K8" s="14">
        <v>11997014515.1</v>
      </c>
      <c r="L8" s="14"/>
      <c r="M8" s="14"/>
      <c r="N8" s="14"/>
      <c r="O8" s="14"/>
      <c r="P8" s="25">
        <f t="shared" si="6"/>
        <v>11997014515.1</v>
      </c>
      <c r="Q8" s="14">
        <v>-1081098244.53</v>
      </c>
      <c r="R8" s="14"/>
      <c r="S8" s="14"/>
      <c r="T8" s="14"/>
      <c r="U8" s="14"/>
      <c r="V8" s="14"/>
      <c r="W8" s="14"/>
      <c r="X8" s="14"/>
      <c r="Y8" s="25">
        <f t="shared" si="3"/>
        <v>-1081098244.53</v>
      </c>
      <c r="Z8" s="25">
        <f>+P8+Y8</f>
        <v>10915916270.57</v>
      </c>
      <c r="AA8" s="34">
        <f t="shared" ref="AA8:AA71" si="8">+Z8/I8</f>
        <v>1</v>
      </c>
    </row>
    <row r="9" spans="1:27" x14ac:dyDescent="0.2">
      <c r="A9" s="57" t="s">
        <v>347</v>
      </c>
      <c r="B9" s="14">
        <v>79512300</v>
      </c>
      <c r="C9" s="14"/>
      <c r="D9" s="14"/>
      <c r="E9" s="25"/>
      <c r="F9" s="14"/>
      <c r="G9" s="14"/>
      <c r="H9" s="14"/>
      <c r="I9" s="25">
        <f t="shared" ref="I9:I72" si="9">+B9+C9-D9+E9-F9</f>
        <v>79512300</v>
      </c>
      <c r="J9" s="14"/>
      <c r="K9" s="14">
        <v>79512300</v>
      </c>
      <c r="L9" s="14"/>
      <c r="M9" s="14"/>
      <c r="N9" s="14"/>
      <c r="O9" s="14"/>
      <c r="P9" s="25">
        <f t="shared" si="6"/>
        <v>79512300</v>
      </c>
      <c r="Q9" s="14"/>
      <c r="R9" s="14"/>
      <c r="S9" s="14"/>
      <c r="T9" s="14"/>
      <c r="U9" s="14"/>
      <c r="V9" s="14"/>
      <c r="W9" s="14"/>
      <c r="X9" s="14"/>
      <c r="Y9" s="25">
        <f t="shared" ref="Y9:Y72" si="10">SUM(Q9:X9)</f>
        <v>0</v>
      </c>
      <c r="Z9" s="25">
        <f t="shared" ref="Z9:Z72" si="11">+P9+Y9</f>
        <v>79512300</v>
      </c>
      <c r="AA9" s="34">
        <f t="shared" si="8"/>
        <v>1</v>
      </c>
    </row>
    <row r="10" spans="1:27" x14ac:dyDescent="0.2">
      <c r="A10" s="57" t="s">
        <v>1180</v>
      </c>
      <c r="B10" s="14">
        <v>10800000</v>
      </c>
      <c r="C10" s="14"/>
      <c r="D10" s="14"/>
      <c r="E10" s="25"/>
      <c r="F10" s="14">
        <v>1050000</v>
      </c>
      <c r="G10" s="14"/>
      <c r="H10" s="14"/>
      <c r="I10" s="25">
        <f t="shared" si="9"/>
        <v>9750000</v>
      </c>
      <c r="J10" s="14"/>
      <c r="K10" s="14">
        <v>10800000</v>
      </c>
      <c r="L10" s="14"/>
      <c r="M10" s="14"/>
      <c r="N10" s="14"/>
      <c r="O10" s="14"/>
      <c r="P10" s="25">
        <f t="shared" si="6"/>
        <v>10800000</v>
      </c>
      <c r="Q10" s="14">
        <v>-1050000</v>
      </c>
      <c r="R10" s="14"/>
      <c r="S10" s="14"/>
      <c r="T10" s="14"/>
      <c r="U10" s="14"/>
      <c r="V10" s="14"/>
      <c r="W10" s="14"/>
      <c r="X10" s="14"/>
      <c r="Y10" s="25">
        <f t="shared" si="10"/>
        <v>-1050000</v>
      </c>
      <c r="Z10" s="25">
        <f t="shared" si="11"/>
        <v>9750000</v>
      </c>
      <c r="AA10" s="34">
        <f t="shared" si="8"/>
        <v>1</v>
      </c>
    </row>
    <row r="11" spans="1:27" s="124" customFormat="1" x14ac:dyDescent="0.2">
      <c r="A11" s="182" t="s">
        <v>273</v>
      </c>
      <c r="B11" s="169">
        <v>1535363846</v>
      </c>
      <c r="C11" s="169"/>
      <c r="D11" s="169"/>
      <c r="E11" s="128"/>
      <c r="F11" s="169"/>
      <c r="G11" s="169"/>
      <c r="H11" s="169"/>
      <c r="I11" s="25">
        <f t="shared" si="9"/>
        <v>1535363846</v>
      </c>
      <c r="J11" s="169"/>
      <c r="K11" s="128">
        <v>1535363846</v>
      </c>
      <c r="L11" s="169"/>
      <c r="M11" s="169"/>
      <c r="N11" s="169"/>
      <c r="O11" s="169"/>
      <c r="P11" s="25">
        <f t="shared" si="6"/>
        <v>1535363846</v>
      </c>
      <c r="Q11" s="169"/>
      <c r="R11" s="169"/>
      <c r="S11" s="169"/>
      <c r="T11" s="169"/>
      <c r="U11" s="169"/>
      <c r="V11" s="169"/>
      <c r="W11" s="169"/>
      <c r="X11" s="169"/>
      <c r="Y11" s="25">
        <f t="shared" si="10"/>
        <v>0</v>
      </c>
      <c r="Z11" s="25">
        <f t="shared" si="11"/>
        <v>1535363846</v>
      </c>
      <c r="AA11" s="34">
        <f t="shared" si="8"/>
        <v>1</v>
      </c>
    </row>
    <row r="12" spans="1:27" s="124" customFormat="1" x14ac:dyDescent="0.2">
      <c r="A12" s="182" t="s">
        <v>345</v>
      </c>
      <c r="B12" s="169">
        <v>14419924</v>
      </c>
      <c r="C12" s="169"/>
      <c r="D12" s="169"/>
      <c r="E12" s="128"/>
      <c r="F12" s="169"/>
      <c r="G12" s="169"/>
      <c r="H12" s="169"/>
      <c r="I12" s="25">
        <f t="shared" si="9"/>
        <v>14419924</v>
      </c>
      <c r="J12" s="169"/>
      <c r="K12" s="128">
        <v>14419924</v>
      </c>
      <c r="L12" s="169"/>
      <c r="M12" s="169"/>
      <c r="N12" s="169"/>
      <c r="O12" s="169"/>
      <c r="P12" s="25">
        <f t="shared" si="6"/>
        <v>14419924</v>
      </c>
      <c r="Q12" s="169"/>
      <c r="R12" s="169"/>
      <c r="S12" s="169"/>
      <c r="T12" s="169"/>
      <c r="U12" s="169"/>
      <c r="V12" s="169"/>
      <c r="W12" s="169"/>
      <c r="X12" s="169"/>
      <c r="Y12" s="25">
        <f t="shared" si="10"/>
        <v>0</v>
      </c>
      <c r="Z12" s="25">
        <f t="shared" si="11"/>
        <v>14419924</v>
      </c>
      <c r="AA12" s="34">
        <f t="shared" si="8"/>
        <v>1</v>
      </c>
    </row>
    <row r="13" spans="1:27" s="124" customFormat="1" ht="25.5" hidden="1" x14ac:dyDescent="0.2">
      <c r="A13" s="297" t="s">
        <v>346</v>
      </c>
      <c r="B13" s="290"/>
      <c r="C13" s="169"/>
      <c r="D13" s="169"/>
      <c r="E13" s="128"/>
      <c r="F13" s="169"/>
      <c r="G13" s="169"/>
      <c r="H13" s="169"/>
      <c r="I13" s="288">
        <f t="shared" si="9"/>
        <v>0</v>
      </c>
      <c r="J13" s="290"/>
      <c r="K13" s="298"/>
      <c r="L13" s="169"/>
      <c r="M13" s="169"/>
      <c r="N13" s="169"/>
      <c r="O13" s="169"/>
      <c r="P13" s="25">
        <f t="shared" si="6"/>
        <v>0</v>
      </c>
      <c r="Q13" s="169"/>
      <c r="R13" s="169"/>
      <c r="S13" s="169"/>
      <c r="T13" s="169"/>
      <c r="U13" s="169"/>
      <c r="V13" s="169"/>
      <c r="W13" s="169"/>
      <c r="X13" s="169"/>
      <c r="Y13" s="25">
        <f t="shared" si="10"/>
        <v>0</v>
      </c>
      <c r="Z13" s="288">
        <f t="shared" si="11"/>
        <v>0</v>
      </c>
      <c r="AA13" s="299" t="e">
        <f t="shared" si="8"/>
        <v>#DIV/0!</v>
      </c>
    </row>
    <row r="14" spans="1:27" s="124" customFormat="1" ht="38.25" x14ac:dyDescent="0.2">
      <c r="A14" s="182" t="s">
        <v>350</v>
      </c>
      <c r="B14" s="169">
        <v>771657563.26999998</v>
      </c>
      <c r="C14" s="169"/>
      <c r="D14" s="169"/>
      <c r="E14" s="128"/>
      <c r="F14" s="169">
        <v>2883</v>
      </c>
      <c r="G14" s="169"/>
      <c r="H14" s="169"/>
      <c r="I14" s="25">
        <f t="shared" si="9"/>
        <v>771654680.26999998</v>
      </c>
      <c r="J14" s="169"/>
      <c r="K14" s="128">
        <v>771657563.26999998</v>
      </c>
      <c r="L14" s="169"/>
      <c r="M14" s="169"/>
      <c r="N14" s="169"/>
      <c r="O14" s="169"/>
      <c r="P14" s="25">
        <f t="shared" si="6"/>
        <v>771657563.26999998</v>
      </c>
      <c r="Q14" s="169">
        <v>-2883</v>
      </c>
      <c r="R14" s="169"/>
      <c r="S14" s="169"/>
      <c r="T14" s="169"/>
      <c r="U14" s="169"/>
      <c r="V14" s="169"/>
      <c r="W14" s="169"/>
      <c r="X14" s="169"/>
      <c r="Y14" s="25">
        <f t="shared" si="10"/>
        <v>-2883</v>
      </c>
      <c r="Z14" s="25">
        <f t="shared" si="11"/>
        <v>771654680.26999998</v>
      </c>
      <c r="AA14" s="34">
        <f t="shared" si="8"/>
        <v>1</v>
      </c>
    </row>
    <row r="15" spans="1:27" ht="38.25" x14ac:dyDescent="0.2">
      <c r="A15" s="57" t="s">
        <v>1168</v>
      </c>
      <c r="B15" s="14">
        <v>404751201.12</v>
      </c>
      <c r="C15" s="14"/>
      <c r="D15" s="14"/>
      <c r="E15" s="25"/>
      <c r="F15" s="14">
        <v>8357.119999999999</v>
      </c>
      <c r="G15" s="14"/>
      <c r="H15" s="14"/>
      <c r="I15" s="25">
        <f t="shared" si="9"/>
        <v>404742844</v>
      </c>
      <c r="J15" s="14"/>
      <c r="K15" s="25">
        <v>404751201.12</v>
      </c>
      <c r="L15" s="14"/>
      <c r="M15" s="14"/>
      <c r="N15" s="14"/>
      <c r="O15" s="14"/>
      <c r="P15" s="25">
        <f t="shared" si="6"/>
        <v>404751201.12</v>
      </c>
      <c r="Q15" s="14">
        <v>-8357.1200000000008</v>
      </c>
      <c r="R15" s="14"/>
      <c r="S15" s="14"/>
      <c r="T15" s="14"/>
      <c r="U15" s="14"/>
      <c r="V15" s="14"/>
      <c r="W15" s="14"/>
      <c r="X15" s="14"/>
      <c r="Y15" s="25">
        <f t="shared" si="10"/>
        <v>-8357.1200000000008</v>
      </c>
      <c r="Z15" s="25">
        <f t="shared" si="11"/>
        <v>404742844</v>
      </c>
      <c r="AA15" s="34">
        <f t="shared" si="8"/>
        <v>1</v>
      </c>
    </row>
    <row r="16" spans="1:27" s="5" customFormat="1" ht="15" x14ac:dyDescent="0.2">
      <c r="A16" s="56" t="s">
        <v>36</v>
      </c>
      <c r="B16" s="23"/>
      <c r="C16" s="23"/>
      <c r="D16" s="23"/>
      <c r="E16" s="23"/>
      <c r="F16" s="23"/>
      <c r="G16" s="23"/>
      <c r="H16" s="23"/>
      <c r="I16" s="25"/>
      <c r="J16" s="23"/>
      <c r="K16" s="23"/>
      <c r="L16" s="23"/>
      <c r="M16" s="23"/>
      <c r="N16" s="23"/>
      <c r="O16" s="23"/>
      <c r="P16" s="25">
        <f t="shared" si="6"/>
        <v>0</v>
      </c>
      <c r="Q16" s="23"/>
      <c r="R16" s="23"/>
      <c r="S16" s="23"/>
      <c r="T16" s="23"/>
      <c r="U16" s="23"/>
      <c r="V16" s="23"/>
      <c r="W16" s="23"/>
      <c r="X16" s="23"/>
      <c r="Y16" s="25">
        <f t="shared" si="10"/>
        <v>0</v>
      </c>
      <c r="Z16" s="25"/>
      <c r="AA16" s="34"/>
    </row>
    <row r="17" spans="1:27" s="5" customFormat="1" ht="15" x14ac:dyDescent="0.2">
      <c r="A17" s="56" t="s">
        <v>32</v>
      </c>
      <c r="B17" s="23"/>
      <c r="C17" s="23"/>
      <c r="D17" s="23"/>
      <c r="E17" s="23"/>
      <c r="F17" s="23"/>
      <c r="G17" s="23"/>
      <c r="H17" s="23"/>
      <c r="I17" s="25"/>
      <c r="J17" s="23"/>
      <c r="K17" s="23"/>
      <c r="L17" s="23"/>
      <c r="M17" s="23"/>
      <c r="N17" s="23"/>
      <c r="O17" s="23"/>
      <c r="P17" s="25">
        <f t="shared" si="6"/>
        <v>0</v>
      </c>
      <c r="Q17" s="23"/>
      <c r="R17" s="23"/>
      <c r="S17" s="23"/>
      <c r="T17" s="23"/>
      <c r="U17" s="23"/>
      <c r="V17" s="23"/>
      <c r="W17" s="23"/>
      <c r="X17" s="23"/>
      <c r="Y17" s="25">
        <f t="shared" si="10"/>
        <v>0</v>
      </c>
      <c r="Z17" s="25"/>
      <c r="AA17" s="34"/>
    </row>
    <row r="18" spans="1:27" x14ac:dyDescent="0.2">
      <c r="A18" s="57" t="s">
        <v>56</v>
      </c>
      <c r="B18" s="25">
        <v>902783792</v>
      </c>
      <c r="C18" s="25"/>
      <c r="D18" s="25"/>
      <c r="E18" s="25"/>
      <c r="F18" s="25">
        <v>218000000</v>
      </c>
      <c r="G18" s="25"/>
      <c r="H18" s="25"/>
      <c r="I18" s="25">
        <f t="shared" si="9"/>
        <v>684783792</v>
      </c>
      <c r="J18" s="25"/>
      <c r="K18" s="25">
        <v>902783792</v>
      </c>
      <c r="L18" s="25"/>
      <c r="M18" s="25"/>
      <c r="N18" s="25"/>
      <c r="O18" s="25"/>
      <c r="P18" s="25">
        <f t="shared" si="6"/>
        <v>902783792</v>
      </c>
      <c r="Q18" s="25">
        <v>-218000000</v>
      </c>
      <c r="R18" s="25"/>
      <c r="S18" s="25"/>
      <c r="T18" s="25"/>
      <c r="U18" s="25"/>
      <c r="V18" s="25"/>
      <c r="W18" s="25"/>
      <c r="X18" s="25"/>
      <c r="Y18" s="25">
        <f t="shared" si="10"/>
        <v>-218000000</v>
      </c>
      <c r="Z18" s="25">
        <f t="shared" si="11"/>
        <v>684783792</v>
      </c>
      <c r="AA18" s="34">
        <f t="shared" si="8"/>
        <v>1</v>
      </c>
    </row>
    <row r="19" spans="1:27" ht="25.5" x14ac:dyDescent="0.2">
      <c r="A19" s="57" t="s">
        <v>1169</v>
      </c>
      <c r="B19" s="25">
        <v>681338650.94000006</v>
      </c>
      <c r="C19" s="25"/>
      <c r="D19" s="25"/>
      <c r="E19" s="25"/>
      <c r="F19" s="25"/>
      <c r="G19" s="25"/>
      <c r="H19" s="25"/>
      <c r="I19" s="25">
        <f t="shared" si="9"/>
        <v>681338650.94000006</v>
      </c>
      <c r="J19" s="25"/>
      <c r="K19" s="25">
        <v>681338650.94000006</v>
      </c>
      <c r="L19" s="25"/>
      <c r="M19" s="25"/>
      <c r="N19" s="25"/>
      <c r="O19" s="25"/>
      <c r="P19" s="25">
        <f t="shared" si="6"/>
        <v>681338650.94000006</v>
      </c>
      <c r="Q19" s="25"/>
      <c r="R19" s="25"/>
      <c r="S19" s="25"/>
      <c r="T19" s="25"/>
      <c r="U19" s="25"/>
      <c r="V19" s="25"/>
      <c r="W19" s="25"/>
      <c r="X19" s="25"/>
      <c r="Y19" s="25">
        <f t="shared" si="10"/>
        <v>0</v>
      </c>
      <c r="Z19" s="25">
        <f t="shared" si="11"/>
        <v>681338650.94000006</v>
      </c>
      <c r="AA19" s="34">
        <f t="shared" si="8"/>
        <v>1</v>
      </c>
    </row>
    <row r="20" spans="1:27" s="5" customFormat="1" ht="15" x14ac:dyDescent="0.2">
      <c r="A20" s="56" t="s">
        <v>37</v>
      </c>
      <c r="B20" s="23"/>
      <c r="C20" s="23"/>
      <c r="D20" s="23"/>
      <c r="E20" s="23"/>
      <c r="F20" s="23"/>
      <c r="G20" s="23"/>
      <c r="H20" s="23"/>
      <c r="I20" s="25"/>
      <c r="J20" s="23"/>
      <c r="K20" s="23"/>
      <c r="L20" s="23"/>
      <c r="M20" s="23"/>
      <c r="N20" s="23"/>
      <c r="O20" s="23"/>
      <c r="P20" s="25">
        <f t="shared" si="6"/>
        <v>0</v>
      </c>
      <c r="Q20" s="23"/>
      <c r="R20" s="23"/>
      <c r="S20" s="23"/>
      <c r="T20" s="23"/>
      <c r="U20" s="23"/>
      <c r="V20" s="23"/>
      <c r="W20" s="23"/>
      <c r="X20" s="23"/>
      <c r="Y20" s="25">
        <f t="shared" si="10"/>
        <v>0</v>
      </c>
      <c r="Z20" s="25"/>
      <c r="AA20" s="34"/>
    </row>
    <row r="21" spans="1:27" x14ac:dyDescent="0.2">
      <c r="A21" s="57" t="s">
        <v>57</v>
      </c>
      <c r="B21" s="14">
        <v>1409239905.22</v>
      </c>
      <c r="C21" s="14"/>
      <c r="D21" s="14"/>
      <c r="E21" s="25"/>
      <c r="F21" s="14"/>
      <c r="G21" s="14"/>
      <c r="H21" s="14"/>
      <c r="I21" s="25">
        <f t="shared" si="9"/>
        <v>1409239905.22</v>
      </c>
      <c r="J21" s="14"/>
      <c r="K21" s="25">
        <v>1409239905.22</v>
      </c>
      <c r="L21" s="14"/>
      <c r="M21" s="14"/>
      <c r="N21" s="14"/>
      <c r="O21" s="14"/>
      <c r="P21" s="25">
        <f t="shared" si="6"/>
        <v>1409239905.22</v>
      </c>
      <c r="Q21" s="14"/>
      <c r="R21" s="14"/>
      <c r="S21" s="14"/>
      <c r="T21" s="14"/>
      <c r="U21" s="14"/>
      <c r="V21" s="14"/>
      <c r="W21" s="14"/>
      <c r="X21" s="14"/>
      <c r="Y21" s="25">
        <f t="shared" si="10"/>
        <v>0</v>
      </c>
      <c r="Z21" s="25">
        <f t="shared" si="11"/>
        <v>1409239905.22</v>
      </c>
      <c r="AA21" s="34">
        <f t="shared" si="8"/>
        <v>1</v>
      </c>
    </row>
    <row r="22" spans="1:27" s="5" customFormat="1" ht="15" x14ac:dyDescent="0.2">
      <c r="A22" s="56" t="s">
        <v>33</v>
      </c>
      <c r="B22" s="23"/>
      <c r="C22" s="23"/>
      <c r="D22" s="23"/>
      <c r="E22" s="23"/>
      <c r="F22" s="23"/>
      <c r="G22" s="23"/>
      <c r="H22" s="23"/>
      <c r="I22" s="25">
        <f t="shared" si="9"/>
        <v>0</v>
      </c>
      <c r="J22" s="23"/>
      <c r="K22" s="23"/>
      <c r="L22" s="23"/>
      <c r="M22" s="23"/>
      <c r="N22" s="23"/>
      <c r="O22" s="23"/>
      <c r="P22" s="25">
        <f t="shared" si="6"/>
        <v>0</v>
      </c>
      <c r="Q22" s="23"/>
      <c r="R22" s="23"/>
      <c r="S22" s="23"/>
      <c r="T22" s="23"/>
      <c r="U22" s="23"/>
      <c r="V22" s="23"/>
      <c r="W22" s="23"/>
      <c r="X22" s="23"/>
      <c r="Y22" s="25">
        <f t="shared" si="10"/>
        <v>0</v>
      </c>
      <c r="Z22" s="25">
        <f t="shared" si="11"/>
        <v>0</v>
      </c>
      <c r="AA22" s="34"/>
    </row>
    <row r="23" spans="1:27" s="5" customFormat="1" ht="15" x14ac:dyDescent="0.2">
      <c r="A23" s="57" t="s">
        <v>58</v>
      </c>
      <c r="B23" s="14">
        <v>214623028.91</v>
      </c>
      <c r="C23" s="14"/>
      <c r="D23" s="14"/>
      <c r="E23" s="25"/>
      <c r="F23" s="14"/>
      <c r="G23" s="14"/>
      <c r="H23" s="14"/>
      <c r="I23" s="25">
        <f t="shared" si="9"/>
        <v>214623028.91</v>
      </c>
      <c r="J23" s="14"/>
      <c r="K23" s="25">
        <v>214623028.91</v>
      </c>
      <c r="L23" s="14"/>
      <c r="M23" s="14"/>
      <c r="N23" s="14"/>
      <c r="O23" s="14"/>
      <c r="P23" s="25">
        <f t="shared" si="6"/>
        <v>214623028.91</v>
      </c>
      <c r="Q23" s="14"/>
      <c r="R23" s="14"/>
      <c r="S23" s="14"/>
      <c r="T23" s="14"/>
      <c r="U23" s="14"/>
      <c r="V23" s="14"/>
      <c r="W23" s="14"/>
      <c r="X23" s="14"/>
      <c r="Y23" s="25">
        <f t="shared" si="10"/>
        <v>0</v>
      </c>
      <c r="Z23" s="25">
        <f t="shared" si="11"/>
        <v>214623028.91</v>
      </c>
      <c r="AA23" s="34">
        <f t="shared" si="8"/>
        <v>1</v>
      </c>
    </row>
    <row r="24" spans="1:27" x14ac:dyDescent="0.2">
      <c r="A24" s="57" t="s">
        <v>59</v>
      </c>
      <c r="B24" s="14">
        <v>457981176</v>
      </c>
      <c r="C24" s="14"/>
      <c r="D24" s="14"/>
      <c r="E24" s="25"/>
      <c r="F24" s="14"/>
      <c r="G24" s="14"/>
      <c r="H24" s="14"/>
      <c r="I24" s="25">
        <f t="shared" si="9"/>
        <v>457981176</v>
      </c>
      <c r="J24" s="14"/>
      <c r="K24" s="25">
        <v>457981176</v>
      </c>
      <c r="L24" s="14"/>
      <c r="M24" s="14"/>
      <c r="N24" s="14"/>
      <c r="O24" s="14"/>
      <c r="P24" s="25">
        <f t="shared" si="6"/>
        <v>457981176</v>
      </c>
      <c r="Q24" s="14"/>
      <c r="R24" s="14"/>
      <c r="S24" s="14"/>
      <c r="T24" s="14"/>
      <c r="U24" s="14"/>
      <c r="V24" s="14"/>
      <c r="W24" s="14"/>
      <c r="X24" s="14"/>
      <c r="Y24" s="25">
        <f t="shared" si="10"/>
        <v>0</v>
      </c>
      <c r="Z24" s="25">
        <f t="shared" si="11"/>
        <v>457981176</v>
      </c>
      <c r="AA24" s="34">
        <f t="shared" si="8"/>
        <v>1</v>
      </c>
    </row>
    <row r="25" spans="1:27" x14ac:dyDescent="0.2">
      <c r="A25" s="57" t="s">
        <v>60</v>
      </c>
      <c r="B25" s="14">
        <v>232993284</v>
      </c>
      <c r="C25" s="14"/>
      <c r="D25" s="14"/>
      <c r="E25" s="25"/>
      <c r="F25" s="14"/>
      <c r="G25" s="14"/>
      <c r="H25" s="14"/>
      <c r="I25" s="25">
        <f t="shared" si="9"/>
        <v>232993284</v>
      </c>
      <c r="J25" s="14"/>
      <c r="K25" s="25">
        <v>232993284</v>
      </c>
      <c r="L25" s="14"/>
      <c r="M25" s="14"/>
      <c r="N25" s="14"/>
      <c r="O25" s="14"/>
      <c r="P25" s="25">
        <f t="shared" si="6"/>
        <v>232993284</v>
      </c>
      <c r="Q25" s="14"/>
      <c r="R25" s="14"/>
      <c r="S25" s="14"/>
      <c r="T25" s="14"/>
      <c r="U25" s="14"/>
      <c r="V25" s="14"/>
      <c r="W25" s="14"/>
      <c r="X25" s="14"/>
      <c r="Y25" s="25">
        <f t="shared" si="10"/>
        <v>0</v>
      </c>
      <c r="Z25" s="25">
        <f t="shared" si="11"/>
        <v>232993284</v>
      </c>
      <c r="AA25" s="34">
        <f t="shared" si="8"/>
        <v>1</v>
      </c>
    </row>
    <row r="26" spans="1:27" s="5" customFormat="1" ht="15" x14ac:dyDescent="0.2">
      <c r="A26" s="56" t="s">
        <v>34</v>
      </c>
      <c r="B26" s="6"/>
      <c r="C26" s="6"/>
      <c r="D26" s="6"/>
      <c r="E26" s="6"/>
      <c r="F26" s="6"/>
      <c r="G26" s="6"/>
      <c r="H26" s="6"/>
      <c r="I26" s="25">
        <f t="shared" si="9"/>
        <v>0</v>
      </c>
      <c r="J26" s="6"/>
      <c r="K26" s="6"/>
      <c r="L26" s="6"/>
      <c r="M26" s="6"/>
      <c r="N26" s="6"/>
      <c r="O26" s="6"/>
      <c r="P26" s="25">
        <f t="shared" si="6"/>
        <v>0</v>
      </c>
      <c r="Q26" s="6"/>
      <c r="R26" s="6"/>
      <c r="S26" s="6"/>
      <c r="T26" s="6"/>
      <c r="U26" s="6"/>
      <c r="V26" s="6"/>
      <c r="W26" s="6"/>
      <c r="X26" s="6"/>
      <c r="Y26" s="25">
        <f t="shared" si="10"/>
        <v>0</v>
      </c>
      <c r="Z26" s="25">
        <f t="shared" si="11"/>
        <v>0</v>
      </c>
      <c r="AA26" s="34"/>
    </row>
    <row r="27" spans="1:27" x14ac:dyDescent="0.2">
      <c r="A27" s="57" t="s">
        <v>61</v>
      </c>
      <c r="B27" s="14">
        <v>2580129212.1599998</v>
      </c>
      <c r="C27" s="14"/>
      <c r="D27" s="14"/>
      <c r="E27" s="25"/>
      <c r="F27" s="14"/>
      <c r="G27" s="14"/>
      <c r="H27" s="14"/>
      <c r="I27" s="25">
        <f t="shared" si="9"/>
        <v>2580129212.1599998</v>
      </c>
      <c r="J27" s="14"/>
      <c r="K27" s="24">
        <v>2580129212.1599998</v>
      </c>
      <c r="L27" s="14"/>
      <c r="M27" s="14"/>
      <c r="N27" s="14"/>
      <c r="O27" s="14"/>
      <c r="P27" s="25">
        <f t="shared" si="6"/>
        <v>2580129212.1599998</v>
      </c>
      <c r="Q27" s="14"/>
      <c r="R27" s="14"/>
      <c r="S27" s="14"/>
      <c r="T27" s="14"/>
      <c r="U27" s="14"/>
      <c r="V27" s="14"/>
      <c r="W27" s="14"/>
      <c r="X27" s="14"/>
      <c r="Y27" s="25">
        <f t="shared" si="10"/>
        <v>0</v>
      </c>
      <c r="Z27" s="25">
        <f t="shared" si="11"/>
        <v>2580129212.1599998</v>
      </c>
      <c r="AA27" s="34">
        <f t="shared" si="8"/>
        <v>1</v>
      </c>
    </row>
    <row r="28" spans="1:27" s="5" customFormat="1" ht="15" hidden="1" x14ac:dyDescent="0.2">
      <c r="A28" s="300" t="s">
        <v>268</v>
      </c>
      <c r="B28" s="292"/>
      <c r="C28" s="6"/>
      <c r="D28" s="6"/>
      <c r="E28" s="6"/>
      <c r="F28" s="6"/>
      <c r="G28" s="6"/>
      <c r="H28" s="6"/>
      <c r="I28" s="288">
        <f t="shared" si="9"/>
        <v>0</v>
      </c>
      <c r="J28" s="292"/>
      <c r="K28" s="292"/>
      <c r="L28" s="6"/>
      <c r="M28" s="6"/>
      <c r="N28" s="6"/>
      <c r="O28" s="6"/>
      <c r="P28" s="25">
        <f t="shared" si="6"/>
        <v>0</v>
      </c>
      <c r="Q28" s="6"/>
      <c r="R28" s="6"/>
      <c r="S28" s="6"/>
      <c r="T28" s="6"/>
      <c r="U28" s="6"/>
      <c r="V28" s="6"/>
      <c r="W28" s="6"/>
      <c r="X28" s="6"/>
      <c r="Y28" s="25">
        <f t="shared" si="10"/>
        <v>0</v>
      </c>
      <c r="Z28" s="288">
        <f t="shared" si="11"/>
        <v>0</v>
      </c>
      <c r="AA28" s="299" t="e">
        <f t="shared" si="8"/>
        <v>#DIV/0!</v>
      </c>
    </row>
    <row r="29" spans="1:27" hidden="1" x14ac:dyDescent="0.2">
      <c r="A29" s="301" t="s">
        <v>268</v>
      </c>
      <c r="B29" s="289"/>
      <c r="C29" s="14"/>
      <c r="D29" s="14"/>
      <c r="E29" s="25"/>
      <c r="F29" s="14"/>
      <c r="G29" s="14"/>
      <c r="H29" s="14"/>
      <c r="I29" s="288">
        <f t="shared" si="9"/>
        <v>0</v>
      </c>
      <c r="J29" s="289"/>
      <c r="K29" s="287"/>
      <c r="L29" s="14"/>
      <c r="M29" s="14"/>
      <c r="N29" s="14"/>
      <c r="O29" s="14"/>
      <c r="P29" s="25">
        <f t="shared" si="6"/>
        <v>0</v>
      </c>
      <c r="Q29" s="14"/>
      <c r="R29" s="14"/>
      <c r="S29" s="14"/>
      <c r="T29" s="14"/>
      <c r="U29" s="14"/>
      <c r="V29" s="14"/>
      <c r="W29" s="14"/>
      <c r="X29" s="14"/>
      <c r="Y29" s="25">
        <f t="shared" si="10"/>
        <v>0</v>
      </c>
      <c r="Z29" s="288">
        <f t="shared" si="11"/>
        <v>0</v>
      </c>
      <c r="AA29" s="299" t="e">
        <f t="shared" si="8"/>
        <v>#DIV/0!</v>
      </c>
    </row>
    <row r="30" spans="1:27" s="5" customFormat="1" ht="15" x14ac:dyDescent="0.2">
      <c r="A30" s="56" t="s">
        <v>351</v>
      </c>
      <c r="B30" s="6"/>
      <c r="C30" s="6"/>
      <c r="D30" s="6"/>
      <c r="E30" s="6"/>
      <c r="F30" s="6"/>
      <c r="G30" s="6"/>
      <c r="H30" s="6"/>
      <c r="I30" s="25"/>
      <c r="J30" s="6"/>
      <c r="K30" s="6"/>
      <c r="L30" s="6"/>
      <c r="M30" s="6"/>
      <c r="N30" s="6"/>
      <c r="O30" s="6"/>
      <c r="P30" s="25">
        <f t="shared" si="6"/>
        <v>0</v>
      </c>
      <c r="Q30" s="6"/>
      <c r="R30" s="6"/>
      <c r="S30" s="6"/>
      <c r="T30" s="6"/>
      <c r="U30" s="6"/>
      <c r="V30" s="6"/>
      <c r="W30" s="6"/>
      <c r="X30" s="6"/>
      <c r="Y30" s="25">
        <f t="shared" si="10"/>
        <v>0</v>
      </c>
      <c r="Z30" s="25"/>
      <c r="AA30" s="34"/>
    </row>
    <row r="31" spans="1:27" x14ac:dyDescent="0.2">
      <c r="A31" s="57" t="s">
        <v>352</v>
      </c>
      <c r="B31" s="14">
        <v>100000</v>
      </c>
      <c r="C31" s="14"/>
      <c r="D31" s="14"/>
      <c r="E31" s="25"/>
      <c r="F31" s="14"/>
      <c r="G31" s="14"/>
      <c r="H31" s="14"/>
      <c r="I31" s="25">
        <f t="shared" si="9"/>
        <v>100000</v>
      </c>
      <c r="J31" s="14"/>
      <c r="K31" s="24">
        <v>100000</v>
      </c>
      <c r="L31" s="14"/>
      <c r="M31" s="14"/>
      <c r="N31" s="14"/>
      <c r="O31" s="14"/>
      <c r="P31" s="25">
        <f t="shared" si="6"/>
        <v>100000</v>
      </c>
      <c r="Q31" s="14"/>
      <c r="R31" s="14"/>
      <c r="S31" s="14"/>
      <c r="T31" s="14"/>
      <c r="U31" s="14"/>
      <c r="V31" s="14"/>
      <c r="W31" s="14"/>
      <c r="X31" s="14"/>
      <c r="Y31" s="25">
        <f t="shared" si="10"/>
        <v>0</v>
      </c>
      <c r="Z31" s="25">
        <f t="shared" si="11"/>
        <v>100000</v>
      </c>
      <c r="AA31" s="34">
        <f t="shared" si="8"/>
        <v>1</v>
      </c>
    </row>
    <row r="32" spans="1:27" ht="38.25" x14ac:dyDescent="0.2">
      <c r="A32" s="56" t="s">
        <v>364</v>
      </c>
      <c r="B32" s="23"/>
      <c r="C32" s="23"/>
      <c r="D32" s="23"/>
      <c r="E32" s="23"/>
      <c r="F32" s="23"/>
      <c r="G32" s="23"/>
      <c r="H32" s="23"/>
      <c r="I32" s="25"/>
      <c r="J32" s="23"/>
      <c r="K32" s="23"/>
      <c r="L32" s="23"/>
      <c r="M32" s="23"/>
      <c r="N32" s="23"/>
      <c r="O32" s="23"/>
      <c r="P32" s="25">
        <f t="shared" si="6"/>
        <v>0</v>
      </c>
      <c r="Q32" s="23"/>
      <c r="R32" s="23"/>
      <c r="S32" s="23"/>
      <c r="T32" s="23"/>
      <c r="U32" s="23"/>
      <c r="V32" s="23"/>
      <c r="W32" s="23"/>
      <c r="X32" s="23"/>
      <c r="Y32" s="25">
        <f t="shared" si="10"/>
        <v>0</v>
      </c>
      <c r="Z32" s="25"/>
      <c r="AA32" s="34"/>
    </row>
    <row r="33" spans="1:27" ht="38.25" x14ac:dyDescent="0.2">
      <c r="A33" s="57" t="s">
        <v>364</v>
      </c>
      <c r="B33" s="14">
        <v>1206455166</v>
      </c>
      <c r="C33" s="14"/>
      <c r="D33" s="14"/>
      <c r="E33" s="25"/>
      <c r="F33" s="14"/>
      <c r="G33" s="14"/>
      <c r="H33" s="14"/>
      <c r="I33" s="25">
        <f t="shared" si="9"/>
        <v>1206455166</v>
      </c>
      <c r="J33" s="14"/>
      <c r="K33" s="24">
        <v>1206455166</v>
      </c>
      <c r="L33" s="14"/>
      <c r="M33" s="14"/>
      <c r="N33" s="14"/>
      <c r="O33" s="14"/>
      <c r="P33" s="25">
        <f t="shared" si="6"/>
        <v>1206455166</v>
      </c>
      <c r="Q33" s="14"/>
      <c r="R33" s="14"/>
      <c r="S33" s="14"/>
      <c r="T33" s="14"/>
      <c r="U33" s="14"/>
      <c r="V33" s="14"/>
      <c r="W33" s="14"/>
      <c r="X33" s="14"/>
      <c r="Y33" s="25">
        <f t="shared" si="10"/>
        <v>0</v>
      </c>
      <c r="Z33" s="25">
        <f t="shared" si="11"/>
        <v>1206455166</v>
      </c>
      <c r="AA33" s="34">
        <f t="shared" si="8"/>
        <v>1</v>
      </c>
    </row>
    <row r="34" spans="1:27" s="5" customFormat="1" ht="15" x14ac:dyDescent="0.2">
      <c r="A34" s="56" t="s">
        <v>62</v>
      </c>
      <c r="B34" s="23"/>
      <c r="C34" s="23"/>
      <c r="D34" s="23"/>
      <c r="E34" s="23"/>
      <c r="F34" s="23"/>
      <c r="G34" s="23"/>
      <c r="H34" s="23"/>
      <c r="I34" s="25"/>
      <c r="J34" s="23"/>
      <c r="K34" s="23"/>
      <c r="L34" s="23"/>
      <c r="M34" s="23"/>
      <c r="N34" s="23"/>
      <c r="O34" s="23"/>
      <c r="P34" s="25">
        <f t="shared" si="6"/>
        <v>0</v>
      </c>
      <c r="Q34" s="23"/>
      <c r="R34" s="23"/>
      <c r="S34" s="23"/>
      <c r="T34" s="23"/>
      <c r="U34" s="23"/>
      <c r="V34" s="23"/>
      <c r="W34" s="23"/>
      <c r="X34" s="23"/>
      <c r="Y34" s="25">
        <f t="shared" si="10"/>
        <v>0</v>
      </c>
      <c r="Z34" s="25"/>
      <c r="AA34" s="34"/>
    </row>
    <row r="35" spans="1:27" s="5" customFormat="1" ht="25.5" x14ac:dyDescent="0.2">
      <c r="A35" s="282" t="s">
        <v>269</v>
      </c>
      <c r="B35" s="4">
        <v>449518058.80000001</v>
      </c>
      <c r="C35" s="4"/>
      <c r="D35" s="4"/>
      <c r="E35" s="25"/>
      <c r="F35" s="4"/>
      <c r="G35" s="4"/>
      <c r="H35" s="4"/>
      <c r="I35" s="25">
        <f t="shared" si="9"/>
        <v>449518058.80000001</v>
      </c>
      <c r="J35" s="4"/>
      <c r="K35" s="24">
        <v>449518058.80000001</v>
      </c>
      <c r="L35" s="4"/>
      <c r="M35" s="4"/>
      <c r="N35" s="4"/>
      <c r="O35" s="4"/>
      <c r="P35" s="25">
        <f t="shared" si="6"/>
        <v>449518058.80000001</v>
      </c>
      <c r="Q35" s="4"/>
      <c r="R35" s="4"/>
      <c r="S35" s="4"/>
      <c r="T35" s="4"/>
      <c r="U35" s="4"/>
      <c r="V35" s="4"/>
      <c r="W35" s="4"/>
      <c r="X35" s="4"/>
      <c r="Y35" s="25">
        <f t="shared" si="10"/>
        <v>0</v>
      </c>
      <c r="Z35" s="25">
        <f t="shared" si="11"/>
        <v>449518058.80000001</v>
      </c>
      <c r="AA35" s="34">
        <f t="shared" si="8"/>
        <v>1</v>
      </c>
    </row>
    <row r="36" spans="1:27" ht="25.5" x14ac:dyDescent="0.2">
      <c r="A36" s="282" t="s">
        <v>115</v>
      </c>
      <c r="B36" s="14">
        <v>1058391863.88</v>
      </c>
      <c r="C36" s="14"/>
      <c r="D36" s="14"/>
      <c r="E36" s="25"/>
      <c r="F36" s="14">
        <v>2885.55</v>
      </c>
      <c r="G36" s="14"/>
      <c r="H36" s="14"/>
      <c r="I36" s="25">
        <f t="shared" si="9"/>
        <v>1058388978.33</v>
      </c>
      <c r="J36" s="14"/>
      <c r="K36" s="24">
        <v>1058391863.88</v>
      </c>
      <c r="L36" s="14"/>
      <c r="M36" s="14"/>
      <c r="N36" s="14"/>
      <c r="O36" s="14"/>
      <c r="P36" s="25">
        <f t="shared" si="6"/>
        <v>1058391863.88</v>
      </c>
      <c r="Q36" s="14">
        <v>-2885.55</v>
      </c>
      <c r="R36" s="14"/>
      <c r="S36" s="14"/>
      <c r="T36" s="14"/>
      <c r="U36" s="14"/>
      <c r="V36" s="14"/>
      <c r="W36" s="14"/>
      <c r="X36" s="14"/>
      <c r="Y36" s="25">
        <f t="shared" si="10"/>
        <v>-2885.55</v>
      </c>
      <c r="Z36" s="25">
        <f t="shared" si="11"/>
        <v>1058388978.33</v>
      </c>
      <c r="AA36" s="34">
        <f t="shared" si="8"/>
        <v>1</v>
      </c>
    </row>
    <row r="37" spans="1:27" ht="25.5" x14ac:dyDescent="0.2">
      <c r="A37" s="282" t="s">
        <v>111</v>
      </c>
      <c r="B37" s="14">
        <v>272886677</v>
      </c>
      <c r="C37" s="14"/>
      <c r="D37" s="14"/>
      <c r="E37" s="25"/>
      <c r="F37" s="14"/>
      <c r="G37" s="14"/>
      <c r="H37" s="14"/>
      <c r="I37" s="25">
        <f t="shared" si="9"/>
        <v>272886677</v>
      </c>
      <c r="J37" s="14"/>
      <c r="K37" s="24">
        <v>272886677</v>
      </c>
      <c r="L37" s="14"/>
      <c r="M37" s="14"/>
      <c r="N37" s="14"/>
      <c r="O37" s="14"/>
      <c r="P37" s="25">
        <f t="shared" si="6"/>
        <v>272886677</v>
      </c>
      <c r="Q37" s="14"/>
      <c r="R37" s="14"/>
      <c r="S37" s="14"/>
      <c r="T37" s="14"/>
      <c r="U37" s="14"/>
      <c r="V37" s="14"/>
      <c r="W37" s="14"/>
      <c r="X37" s="14"/>
      <c r="Y37" s="25">
        <f t="shared" si="10"/>
        <v>0</v>
      </c>
      <c r="Z37" s="25">
        <f t="shared" si="11"/>
        <v>272886677</v>
      </c>
      <c r="AA37" s="34">
        <f t="shared" si="8"/>
        <v>1</v>
      </c>
    </row>
    <row r="38" spans="1:27" ht="25.5" hidden="1" x14ac:dyDescent="0.2">
      <c r="A38" s="302" t="s">
        <v>348</v>
      </c>
      <c r="B38" s="289"/>
      <c r="C38" s="14"/>
      <c r="D38" s="14"/>
      <c r="E38" s="25"/>
      <c r="F38" s="14"/>
      <c r="G38" s="14"/>
      <c r="H38" s="14"/>
      <c r="I38" s="288">
        <f t="shared" si="9"/>
        <v>0</v>
      </c>
      <c r="J38" s="289"/>
      <c r="K38" s="287"/>
      <c r="L38" s="14"/>
      <c r="M38" s="14"/>
      <c r="N38" s="14"/>
      <c r="O38" s="14"/>
      <c r="P38" s="25">
        <f t="shared" si="6"/>
        <v>0</v>
      </c>
      <c r="Q38" s="14"/>
      <c r="R38" s="14"/>
      <c r="S38" s="14"/>
      <c r="T38" s="14"/>
      <c r="U38" s="14"/>
      <c r="V38" s="14"/>
      <c r="W38" s="14"/>
      <c r="X38" s="14"/>
      <c r="Y38" s="25">
        <f t="shared" si="10"/>
        <v>0</v>
      </c>
      <c r="Z38" s="288">
        <f t="shared" si="11"/>
        <v>0</v>
      </c>
      <c r="AA38" s="299" t="e">
        <f t="shared" si="8"/>
        <v>#DIV/0!</v>
      </c>
    </row>
    <row r="39" spans="1:27" hidden="1" x14ac:dyDescent="0.2">
      <c r="A39" s="302" t="s">
        <v>270</v>
      </c>
      <c r="B39" s="289"/>
      <c r="C39" s="14"/>
      <c r="D39" s="14"/>
      <c r="E39" s="25"/>
      <c r="F39" s="14"/>
      <c r="G39" s="14"/>
      <c r="H39" s="14"/>
      <c r="I39" s="288">
        <f t="shared" si="9"/>
        <v>0</v>
      </c>
      <c r="J39" s="289"/>
      <c r="K39" s="287"/>
      <c r="L39" s="14"/>
      <c r="M39" s="14"/>
      <c r="N39" s="14"/>
      <c r="O39" s="14"/>
      <c r="P39" s="25">
        <f t="shared" si="6"/>
        <v>0</v>
      </c>
      <c r="Q39" s="14"/>
      <c r="R39" s="14"/>
      <c r="S39" s="14"/>
      <c r="T39" s="14"/>
      <c r="U39" s="14"/>
      <c r="V39" s="14"/>
      <c r="W39" s="14"/>
      <c r="X39" s="14"/>
      <c r="Y39" s="25">
        <f t="shared" si="10"/>
        <v>0</v>
      </c>
      <c r="Z39" s="288">
        <f t="shared" si="11"/>
        <v>0</v>
      </c>
      <c r="AA39" s="299" t="e">
        <f t="shared" si="8"/>
        <v>#DIV/0!</v>
      </c>
    </row>
    <row r="40" spans="1:27" ht="25.5" hidden="1" x14ac:dyDescent="0.2">
      <c r="A40" s="302" t="s">
        <v>119</v>
      </c>
      <c r="B40" s="289"/>
      <c r="C40" s="14"/>
      <c r="D40" s="14"/>
      <c r="E40" s="25"/>
      <c r="F40" s="14"/>
      <c r="G40" s="14"/>
      <c r="H40" s="14"/>
      <c r="I40" s="288">
        <f t="shared" si="9"/>
        <v>0</v>
      </c>
      <c r="J40" s="289"/>
      <c r="K40" s="287"/>
      <c r="L40" s="14"/>
      <c r="M40" s="14"/>
      <c r="N40" s="14"/>
      <c r="O40" s="14"/>
      <c r="P40" s="25">
        <f t="shared" si="6"/>
        <v>0</v>
      </c>
      <c r="Q40" s="14"/>
      <c r="R40" s="14"/>
      <c r="S40" s="14"/>
      <c r="T40" s="14"/>
      <c r="U40" s="14"/>
      <c r="V40" s="14"/>
      <c r="W40" s="14"/>
      <c r="X40" s="14"/>
      <c r="Y40" s="25">
        <f t="shared" si="10"/>
        <v>0</v>
      </c>
      <c r="Z40" s="288">
        <f t="shared" si="11"/>
        <v>0</v>
      </c>
      <c r="AA40" s="299" t="e">
        <f t="shared" si="8"/>
        <v>#DIV/0!</v>
      </c>
    </row>
    <row r="41" spans="1:27" s="5" customFormat="1" ht="15" x14ac:dyDescent="0.2">
      <c r="A41" s="56" t="s">
        <v>63</v>
      </c>
      <c r="B41" s="23"/>
      <c r="C41" s="23"/>
      <c r="D41" s="23"/>
      <c r="E41" s="23"/>
      <c r="F41" s="23"/>
      <c r="G41" s="23"/>
      <c r="H41" s="23"/>
      <c r="I41" s="25"/>
      <c r="J41" s="23"/>
      <c r="K41" s="23"/>
      <c r="L41" s="23"/>
      <c r="M41" s="23"/>
      <c r="N41" s="23"/>
      <c r="O41" s="23"/>
      <c r="P41" s="25">
        <f t="shared" si="6"/>
        <v>0</v>
      </c>
      <c r="Q41" s="23"/>
      <c r="R41" s="23"/>
      <c r="S41" s="23"/>
      <c r="T41" s="23"/>
      <c r="U41" s="23"/>
      <c r="V41" s="23"/>
      <c r="W41" s="23"/>
      <c r="X41" s="23"/>
      <c r="Y41" s="25">
        <f t="shared" si="10"/>
        <v>0</v>
      </c>
      <c r="Z41" s="25"/>
      <c r="AA41" s="34"/>
    </row>
    <row r="42" spans="1:27" x14ac:dyDescent="0.2">
      <c r="A42" s="57" t="s">
        <v>64</v>
      </c>
      <c r="B42" s="14">
        <v>11733333</v>
      </c>
      <c r="C42" s="14"/>
      <c r="D42" s="14"/>
      <c r="E42" s="25"/>
      <c r="F42" s="14"/>
      <c r="G42" s="14"/>
      <c r="H42" s="14"/>
      <c r="I42" s="25">
        <f t="shared" si="9"/>
        <v>11733333</v>
      </c>
      <c r="J42" s="14"/>
      <c r="K42" s="24">
        <v>11733333</v>
      </c>
      <c r="L42" s="14"/>
      <c r="M42" s="14"/>
      <c r="N42" s="14"/>
      <c r="O42" s="14"/>
      <c r="P42" s="25">
        <f t="shared" si="6"/>
        <v>11733333</v>
      </c>
      <c r="Q42" s="14"/>
      <c r="R42" s="14"/>
      <c r="S42" s="14"/>
      <c r="T42" s="14"/>
      <c r="U42" s="14"/>
      <c r="V42" s="14"/>
      <c r="W42" s="14"/>
      <c r="X42" s="14"/>
      <c r="Y42" s="25">
        <f t="shared" si="10"/>
        <v>0</v>
      </c>
      <c r="Z42" s="25">
        <f t="shared" si="11"/>
        <v>11733333</v>
      </c>
      <c r="AA42" s="34">
        <f t="shared" si="8"/>
        <v>1</v>
      </c>
    </row>
    <row r="43" spans="1:27" s="5" customFormat="1" ht="15" x14ac:dyDescent="0.2">
      <c r="A43" s="56" t="s">
        <v>1179</v>
      </c>
      <c r="B43" s="23"/>
      <c r="C43" s="23"/>
      <c r="D43" s="23"/>
      <c r="E43" s="23"/>
      <c r="F43" s="23"/>
      <c r="G43" s="23"/>
      <c r="H43" s="23"/>
      <c r="I43" s="25"/>
      <c r="J43" s="23"/>
      <c r="K43" s="23"/>
      <c r="L43" s="23"/>
      <c r="M43" s="23"/>
      <c r="N43" s="23"/>
      <c r="O43" s="23"/>
      <c r="P43" s="25">
        <f t="shared" si="6"/>
        <v>0</v>
      </c>
      <c r="Q43" s="23"/>
      <c r="R43" s="23"/>
      <c r="S43" s="23"/>
      <c r="T43" s="23"/>
      <c r="U43" s="23"/>
      <c r="V43" s="23"/>
      <c r="W43" s="23"/>
      <c r="X43" s="23"/>
      <c r="Y43" s="25">
        <f t="shared" si="10"/>
        <v>0</v>
      </c>
      <c r="Z43" s="25"/>
      <c r="AA43" s="34"/>
    </row>
    <row r="44" spans="1:27" s="5" customFormat="1" ht="15" x14ac:dyDescent="0.2">
      <c r="A44" s="282" t="s">
        <v>1179</v>
      </c>
      <c r="B44" s="4">
        <v>2000000</v>
      </c>
      <c r="C44" s="4"/>
      <c r="D44" s="4"/>
      <c r="E44" s="25"/>
      <c r="F44" s="4"/>
      <c r="G44" s="4"/>
      <c r="H44" s="4"/>
      <c r="I44" s="25">
        <f t="shared" si="9"/>
        <v>2000000</v>
      </c>
      <c r="J44" s="4"/>
      <c r="K44" s="24">
        <v>2000000</v>
      </c>
      <c r="L44" s="4"/>
      <c r="M44" s="4"/>
      <c r="N44" s="4"/>
      <c r="O44" s="4"/>
      <c r="P44" s="25">
        <f t="shared" si="6"/>
        <v>2000000</v>
      </c>
      <c r="Q44" s="4"/>
      <c r="R44" s="4"/>
      <c r="S44" s="4"/>
      <c r="T44" s="4"/>
      <c r="U44" s="4"/>
      <c r="V44" s="4"/>
      <c r="W44" s="4"/>
      <c r="X44" s="4"/>
      <c r="Y44" s="25">
        <f t="shared" si="10"/>
        <v>0</v>
      </c>
      <c r="Z44" s="25">
        <f t="shared" si="11"/>
        <v>2000000</v>
      </c>
      <c r="AA44" s="34">
        <f t="shared" si="8"/>
        <v>1</v>
      </c>
    </row>
    <row r="45" spans="1:27" s="5" customFormat="1" ht="15" x14ac:dyDescent="0.2">
      <c r="A45" s="56" t="s">
        <v>65</v>
      </c>
      <c r="B45" s="23"/>
      <c r="C45" s="23"/>
      <c r="D45" s="23"/>
      <c r="E45" s="23"/>
      <c r="F45" s="23"/>
      <c r="G45" s="23"/>
      <c r="H45" s="23"/>
      <c r="I45" s="25"/>
      <c r="J45" s="23"/>
      <c r="K45" s="23"/>
      <c r="L45" s="23"/>
      <c r="M45" s="23"/>
      <c r="N45" s="23"/>
      <c r="O45" s="23"/>
      <c r="P45" s="25">
        <f t="shared" si="6"/>
        <v>0</v>
      </c>
      <c r="Q45" s="23"/>
      <c r="R45" s="23"/>
      <c r="S45" s="23"/>
      <c r="T45" s="23"/>
      <c r="U45" s="23"/>
      <c r="V45" s="23"/>
      <c r="W45" s="23"/>
      <c r="X45" s="23"/>
      <c r="Y45" s="25">
        <f t="shared" si="10"/>
        <v>0</v>
      </c>
      <c r="Z45" s="25"/>
      <c r="AA45" s="34"/>
    </row>
    <row r="46" spans="1:27" x14ac:dyDescent="0.2">
      <c r="A46" s="57" t="s">
        <v>349</v>
      </c>
      <c r="B46" s="14">
        <v>833333.33</v>
      </c>
      <c r="C46" s="14"/>
      <c r="D46" s="14"/>
      <c r="E46" s="25"/>
      <c r="F46" s="14"/>
      <c r="G46" s="14"/>
      <c r="H46" s="14"/>
      <c r="I46" s="25">
        <f t="shared" si="9"/>
        <v>833333.33</v>
      </c>
      <c r="J46" s="14"/>
      <c r="K46" s="24">
        <v>833333.33</v>
      </c>
      <c r="L46" s="14"/>
      <c r="M46" s="14"/>
      <c r="N46" s="14"/>
      <c r="O46" s="14"/>
      <c r="P46" s="25">
        <f t="shared" si="6"/>
        <v>833333.33</v>
      </c>
      <c r="Q46" s="14"/>
      <c r="R46" s="14"/>
      <c r="S46" s="14"/>
      <c r="T46" s="14"/>
      <c r="U46" s="14"/>
      <c r="V46" s="14"/>
      <c r="W46" s="14"/>
      <c r="X46" s="14"/>
      <c r="Y46" s="25">
        <f t="shared" si="10"/>
        <v>0</v>
      </c>
      <c r="Z46" s="25">
        <f t="shared" si="11"/>
        <v>833333.33</v>
      </c>
      <c r="AA46" s="34">
        <f t="shared" si="8"/>
        <v>1</v>
      </c>
    </row>
    <row r="47" spans="1:27" ht="25.5" x14ac:dyDescent="0.2">
      <c r="A47" s="57" t="s">
        <v>266</v>
      </c>
      <c r="B47" s="14"/>
      <c r="C47" s="14"/>
      <c r="D47" s="14"/>
      <c r="E47" s="25"/>
      <c r="F47" s="14"/>
      <c r="G47" s="14"/>
      <c r="H47" s="14"/>
      <c r="I47" s="25"/>
      <c r="J47" s="14"/>
      <c r="K47" s="24"/>
      <c r="L47" s="14"/>
      <c r="M47" s="14"/>
      <c r="N47" s="14"/>
      <c r="O47" s="14"/>
      <c r="P47" s="25">
        <f t="shared" si="6"/>
        <v>0</v>
      </c>
      <c r="Q47" s="14"/>
      <c r="R47" s="14"/>
      <c r="S47" s="14"/>
      <c r="T47" s="14"/>
      <c r="U47" s="14"/>
      <c r="V47" s="14"/>
      <c r="W47" s="14"/>
      <c r="X47" s="14"/>
      <c r="Y47" s="25">
        <f t="shared" si="10"/>
        <v>0</v>
      </c>
      <c r="Z47" s="25"/>
      <c r="AA47" s="34"/>
    </row>
    <row r="48" spans="1:27" x14ac:dyDescent="0.2">
      <c r="A48" s="57" t="s">
        <v>121</v>
      </c>
      <c r="B48" s="14">
        <v>88144000</v>
      </c>
      <c r="C48" s="14"/>
      <c r="D48" s="14"/>
      <c r="E48" s="25"/>
      <c r="F48" s="14"/>
      <c r="G48" s="14"/>
      <c r="H48" s="14"/>
      <c r="I48" s="25">
        <f t="shared" si="9"/>
        <v>88144000</v>
      </c>
      <c r="J48" s="14"/>
      <c r="K48" s="24">
        <v>88144000</v>
      </c>
      <c r="L48" s="14"/>
      <c r="M48" s="14"/>
      <c r="N48" s="14"/>
      <c r="O48" s="14"/>
      <c r="P48" s="25">
        <f t="shared" si="6"/>
        <v>88144000</v>
      </c>
      <c r="Q48" s="14"/>
      <c r="R48" s="14"/>
      <c r="S48" s="14"/>
      <c r="T48" s="14"/>
      <c r="U48" s="14"/>
      <c r="V48" s="14"/>
      <c r="W48" s="14"/>
      <c r="X48" s="14"/>
      <c r="Y48" s="25">
        <f t="shared" si="10"/>
        <v>0</v>
      </c>
      <c r="Z48" s="25">
        <f t="shared" si="11"/>
        <v>88144000</v>
      </c>
      <c r="AA48" s="34">
        <f t="shared" si="8"/>
        <v>1</v>
      </c>
    </row>
    <row r="49" spans="1:27" s="5" customFormat="1" ht="25.5" x14ac:dyDescent="0.2">
      <c r="A49" s="58" t="s">
        <v>355</v>
      </c>
      <c r="B49" s="23"/>
      <c r="C49" s="23"/>
      <c r="D49" s="23"/>
      <c r="E49" s="23"/>
      <c r="F49" s="23"/>
      <c r="G49" s="23"/>
      <c r="H49" s="23"/>
      <c r="I49" s="25"/>
      <c r="J49" s="23"/>
      <c r="K49" s="23"/>
      <c r="L49" s="23"/>
      <c r="M49" s="23"/>
      <c r="N49" s="23"/>
      <c r="O49" s="23"/>
      <c r="P49" s="25">
        <f t="shared" si="6"/>
        <v>0</v>
      </c>
      <c r="Q49" s="23"/>
      <c r="R49" s="23"/>
      <c r="S49" s="23"/>
      <c r="T49" s="23"/>
      <c r="U49" s="23"/>
      <c r="V49" s="23"/>
      <c r="W49" s="23"/>
      <c r="X49" s="23"/>
      <c r="Y49" s="25">
        <f t="shared" si="10"/>
        <v>0</v>
      </c>
      <c r="Z49" s="25"/>
      <c r="AA49" s="34"/>
    </row>
    <row r="50" spans="1:27" ht="38.25" x14ac:dyDescent="0.2">
      <c r="A50" s="55" t="s">
        <v>354</v>
      </c>
      <c r="B50" s="14">
        <v>7271325.2400000002</v>
      </c>
      <c r="C50" s="14"/>
      <c r="D50" s="14"/>
      <c r="E50" s="25"/>
      <c r="F50" s="14"/>
      <c r="G50" s="14"/>
      <c r="H50" s="14"/>
      <c r="I50" s="25">
        <f t="shared" si="9"/>
        <v>7271325.2400000002</v>
      </c>
      <c r="J50" s="14"/>
      <c r="K50" s="24">
        <v>7271325.2400000002</v>
      </c>
      <c r="L50" s="14"/>
      <c r="M50" s="14"/>
      <c r="N50" s="14"/>
      <c r="O50" s="14"/>
      <c r="P50" s="25">
        <f t="shared" si="6"/>
        <v>7271325.2400000002</v>
      </c>
      <c r="Q50" s="14"/>
      <c r="R50" s="14"/>
      <c r="S50" s="14"/>
      <c r="T50" s="14"/>
      <c r="U50" s="14"/>
      <c r="V50" s="14"/>
      <c r="W50" s="14"/>
      <c r="X50" s="14"/>
      <c r="Y50" s="25">
        <f t="shared" si="10"/>
        <v>0</v>
      </c>
      <c r="Z50" s="25">
        <f t="shared" si="11"/>
        <v>7271325.2400000002</v>
      </c>
      <c r="AA50" s="34">
        <f t="shared" si="8"/>
        <v>1</v>
      </c>
    </row>
    <row r="51" spans="1:27" ht="38.25" x14ac:dyDescent="0.2">
      <c r="A51" s="55" t="s">
        <v>356</v>
      </c>
      <c r="B51" s="14">
        <v>6133218.3700000001</v>
      </c>
      <c r="C51" s="14"/>
      <c r="D51" s="14"/>
      <c r="E51" s="25"/>
      <c r="F51" s="14"/>
      <c r="G51" s="14"/>
      <c r="H51" s="14"/>
      <c r="I51" s="25">
        <f t="shared" si="9"/>
        <v>6133218.3700000001</v>
      </c>
      <c r="J51" s="14"/>
      <c r="K51" s="14">
        <v>6133218.3700000001</v>
      </c>
      <c r="L51" s="14"/>
      <c r="M51" s="14"/>
      <c r="N51" s="14"/>
      <c r="O51" s="14"/>
      <c r="P51" s="25">
        <f t="shared" si="6"/>
        <v>6133218.3700000001</v>
      </c>
      <c r="Q51" s="14"/>
      <c r="R51" s="14"/>
      <c r="S51" s="14"/>
      <c r="T51" s="14"/>
      <c r="U51" s="14"/>
      <c r="V51" s="14"/>
      <c r="W51" s="14"/>
      <c r="X51" s="14"/>
      <c r="Y51" s="25">
        <f t="shared" si="10"/>
        <v>0</v>
      </c>
      <c r="Z51" s="25">
        <f t="shared" si="11"/>
        <v>6133218.3700000001</v>
      </c>
      <c r="AA51" s="34">
        <f t="shared" si="8"/>
        <v>1</v>
      </c>
    </row>
    <row r="52" spans="1:27" ht="25.5" x14ac:dyDescent="0.2">
      <c r="A52" s="55" t="s">
        <v>357</v>
      </c>
      <c r="B52" s="14">
        <v>12724819.17</v>
      </c>
      <c r="C52" s="14"/>
      <c r="D52" s="14"/>
      <c r="E52" s="25"/>
      <c r="F52" s="14"/>
      <c r="G52" s="14"/>
      <c r="H52" s="14"/>
      <c r="I52" s="25">
        <f t="shared" si="9"/>
        <v>12724819.17</v>
      </c>
      <c r="J52" s="14"/>
      <c r="K52" s="24">
        <v>12724819.17</v>
      </c>
      <c r="L52" s="14"/>
      <c r="M52" s="14"/>
      <c r="N52" s="14"/>
      <c r="O52" s="14"/>
      <c r="P52" s="25">
        <f t="shared" si="6"/>
        <v>12724819.17</v>
      </c>
      <c r="Q52" s="14"/>
      <c r="R52" s="14"/>
      <c r="S52" s="14"/>
      <c r="T52" s="14"/>
      <c r="U52" s="14"/>
      <c r="V52" s="14"/>
      <c r="W52" s="14"/>
      <c r="X52" s="14"/>
      <c r="Y52" s="25">
        <f t="shared" si="10"/>
        <v>0</v>
      </c>
      <c r="Z52" s="25">
        <f t="shared" si="11"/>
        <v>12724819.17</v>
      </c>
      <c r="AA52" s="34">
        <f t="shared" si="8"/>
        <v>1</v>
      </c>
    </row>
    <row r="53" spans="1:27" ht="38.25" x14ac:dyDescent="0.2">
      <c r="A53" s="55" t="s">
        <v>1170</v>
      </c>
      <c r="B53" s="14">
        <v>27267469.66</v>
      </c>
      <c r="C53" s="14"/>
      <c r="D53" s="14"/>
      <c r="E53" s="25"/>
      <c r="F53" s="14"/>
      <c r="G53" s="14"/>
      <c r="H53" s="14"/>
      <c r="I53" s="25">
        <f t="shared" si="9"/>
        <v>27267469.66</v>
      </c>
      <c r="J53" s="14"/>
      <c r="K53" s="24">
        <v>27267469.66</v>
      </c>
      <c r="L53" s="14"/>
      <c r="M53" s="14"/>
      <c r="N53" s="14"/>
      <c r="O53" s="14"/>
      <c r="P53" s="25">
        <f t="shared" si="6"/>
        <v>27267469.66</v>
      </c>
      <c r="Q53" s="14"/>
      <c r="R53" s="14"/>
      <c r="S53" s="14"/>
      <c r="T53" s="14"/>
      <c r="U53" s="14"/>
      <c r="V53" s="14"/>
      <c r="W53" s="14"/>
      <c r="X53" s="14"/>
      <c r="Y53" s="25">
        <f t="shared" si="10"/>
        <v>0</v>
      </c>
      <c r="Z53" s="25">
        <f t="shared" si="11"/>
        <v>27267469.66</v>
      </c>
      <c r="AA53" s="34">
        <f t="shared" si="8"/>
        <v>1</v>
      </c>
    </row>
    <row r="54" spans="1:27" s="5" customFormat="1" ht="15" x14ac:dyDescent="0.2">
      <c r="A54" s="58" t="s">
        <v>251</v>
      </c>
      <c r="B54" s="6"/>
      <c r="C54" s="6"/>
      <c r="D54" s="6"/>
      <c r="E54" s="6"/>
      <c r="F54" s="6"/>
      <c r="G54" s="6"/>
      <c r="H54" s="6"/>
      <c r="I54" s="25"/>
      <c r="J54" s="6"/>
      <c r="K54" s="6"/>
      <c r="L54" s="6"/>
      <c r="M54" s="6"/>
      <c r="N54" s="6"/>
      <c r="O54" s="6"/>
      <c r="P54" s="25">
        <f t="shared" si="6"/>
        <v>0</v>
      </c>
      <c r="Q54" s="6"/>
      <c r="R54" s="6"/>
      <c r="S54" s="6"/>
      <c r="T54" s="6"/>
      <c r="U54" s="6"/>
      <c r="V54" s="6"/>
      <c r="W54" s="6"/>
      <c r="X54" s="6"/>
      <c r="Y54" s="25">
        <f t="shared" si="10"/>
        <v>0</v>
      </c>
      <c r="Z54" s="25"/>
      <c r="AA54" s="34"/>
    </row>
    <row r="55" spans="1:27" x14ac:dyDescent="0.2">
      <c r="A55" s="57" t="s">
        <v>251</v>
      </c>
      <c r="B55" s="14">
        <v>8750000</v>
      </c>
      <c r="C55" s="14"/>
      <c r="D55" s="14"/>
      <c r="E55" s="25"/>
      <c r="F55" s="14"/>
      <c r="G55" s="14"/>
      <c r="H55" s="14"/>
      <c r="I55" s="25">
        <f t="shared" si="9"/>
        <v>8750000</v>
      </c>
      <c r="J55" s="14"/>
      <c r="K55" s="9">
        <v>8750000</v>
      </c>
      <c r="L55" s="14"/>
      <c r="M55" s="14"/>
      <c r="N55" s="14"/>
      <c r="O55" s="14"/>
      <c r="P55" s="25">
        <f t="shared" si="6"/>
        <v>8750000</v>
      </c>
      <c r="Q55" s="14"/>
      <c r="R55" s="14"/>
      <c r="S55" s="14"/>
      <c r="T55" s="14"/>
      <c r="U55" s="14"/>
      <c r="V55" s="14"/>
      <c r="W55" s="14"/>
      <c r="X55" s="14"/>
      <c r="Y55" s="25">
        <f t="shared" si="10"/>
        <v>0</v>
      </c>
      <c r="Z55" s="25">
        <f t="shared" si="11"/>
        <v>8750000</v>
      </c>
      <c r="AA55" s="34">
        <f t="shared" si="8"/>
        <v>1</v>
      </c>
    </row>
    <row r="56" spans="1:27" s="5" customFormat="1" ht="15" x14ac:dyDescent="0.2">
      <c r="A56" s="56" t="s">
        <v>66</v>
      </c>
      <c r="B56" s="23"/>
      <c r="C56" s="23"/>
      <c r="D56" s="23"/>
      <c r="E56" s="23"/>
      <c r="F56" s="23"/>
      <c r="G56" s="23"/>
      <c r="H56" s="23"/>
      <c r="I56" s="25"/>
      <c r="J56" s="23"/>
      <c r="K56" s="23"/>
      <c r="L56" s="23"/>
      <c r="M56" s="23"/>
      <c r="N56" s="23"/>
      <c r="O56" s="23"/>
      <c r="P56" s="25">
        <f t="shared" si="6"/>
        <v>0</v>
      </c>
      <c r="Q56" s="23"/>
      <c r="R56" s="23"/>
      <c r="S56" s="23"/>
      <c r="T56" s="23"/>
      <c r="U56" s="23"/>
      <c r="V56" s="23"/>
      <c r="W56" s="23"/>
      <c r="X56" s="23"/>
      <c r="Y56" s="25">
        <f t="shared" si="10"/>
        <v>0</v>
      </c>
      <c r="Z56" s="25"/>
      <c r="AA56" s="34"/>
    </row>
    <row r="57" spans="1:27" hidden="1" x14ac:dyDescent="0.2">
      <c r="A57" s="301" t="s">
        <v>67</v>
      </c>
      <c r="B57" s="289"/>
      <c r="C57" s="14"/>
      <c r="D57" s="14"/>
      <c r="E57" s="25"/>
      <c r="F57" s="14"/>
      <c r="G57" s="14"/>
      <c r="H57" s="14"/>
      <c r="I57" s="288">
        <f t="shared" si="9"/>
        <v>0</v>
      </c>
      <c r="J57" s="289"/>
      <c r="K57" s="288"/>
      <c r="L57" s="14"/>
      <c r="M57" s="14"/>
      <c r="N57" s="14"/>
      <c r="O57" s="14"/>
      <c r="P57" s="25">
        <f t="shared" si="6"/>
        <v>0</v>
      </c>
      <c r="Q57" s="14"/>
      <c r="R57" s="14"/>
      <c r="S57" s="14"/>
      <c r="T57" s="14"/>
      <c r="U57" s="14"/>
      <c r="V57" s="14"/>
      <c r="W57" s="14"/>
      <c r="X57" s="14"/>
      <c r="Y57" s="25">
        <f t="shared" si="10"/>
        <v>0</v>
      </c>
      <c r="Z57" s="288">
        <f t="shared" si="11"/>
        <v>0</v>
      </c>
      <c r="AA57" s="299" t="e">
        <f t="shared" si="8"/>
        <v>#DIV/0!</v>
      </c>
    </row>
    <row r="58" spans="1:27" hidden="1" x14ac:dyDescent="0.2">
      <c r="A58" s="301" t="s">
        <v>68</v>
      </c>
      <c r="B58" s="289"/>
      <c r="C58" s="14"/>
      <c r="D58" s="14"/>
      <c r="E58" s="25"/>
      <c r="F58" s="14"/>
      <c r="G58" s="14"/>
      <c r="H58" s="14"/>
      <c r="I58" s="288">
        <f t="shared" si="9"/>
        <v>0</v>
      </c>
      <c r="J58" s="289"/>
      <c r="K58" s="288"/>
      <c r="L58" s="14"/>
      <c r="M58" s="14"/>
      <c r="N58" s="14"/>
      <c r="O58" s="14"/>
      <c r="P58" s="25">
        <f t="shared" si="6"/>
        <v>0</v>
      </c>
      <c r="Q58" s="14"/>
      <c r="R58" s="14"/>
      <c r="S58" s="14"/>
      <c r="T58" s="14"/>
      <c r="U58" s="14"/>
      <c r="V58" s="14"/>
      <c r="W58" s="14"/>
      <c r="X58" s="14"/>
      <c r="Y58" s="25">
        <f t="shared" si="10"/>
        <v>0</v>
      </c>
      <c r="Z58" s="288">
        <f t="shared" si="11"/>
        <v>0</v>
      </c>
      <c r="AA58" s="299" t="e">
        <f t="shared" si="8"/>
        <v>#DIV/0!</v>
      </c>
    </row>
    <row r="59" spans="1:27" ht="25.5" x14ac:dyDescent="0.2">
      <c r="A59" s="57" t="s">
        <v>110</v>
      </c>
      <c r="B59" s="14">
        <v>156000000</v>
      </c>
      <c r="C59" s="14"/>
      <c r="D59" s="14"/>
      <c r="E59" s="25"/>
      <c r="F59" s="14"/>
      <c r="G59" s="14"/>
      <c r="H59" s="14"/>
      <c r="I59" s="25">
        <f t="shared" si="9"/>
        <v>156000000</v>
      </c>
      <c r="J59" s="14"/>
      <c r="K59" s="25">
        <v>156000000</v>
      </c>
      <c r="L59" s="14"/>
      <c r="M59" s="14"/>
      <c r="N59" s="14"/>
      <c r="O59" s="14"/>
      <c r="P59" s="25">
        <f t="shared" si="6"/>
        <v>156000000</v>
      </c>
      <c r="Q59" s="14"/>
      <c r="R59" s="14"/>
      <c r="S59" s="14"/>
      <c r="T59" s="14"/>
      <c r="U59" s="14"/>
      <c r="V59" s="14"/>
      <c r="W59" s="14"/>
      <c r="X59" s="14"/>
      <c r="Y59" s="25">
        <f t="shared" si="10"/>
        <v>0</v>
      </c>
      <c r="Z59" s="25">
        <f t="shared" si="11"/>
        <v>156000000</v>
      </c>
      <c r="AA59" s="34">
        <f t="shared" si="8"/>
        <v>1</v>
      </c>
    </row>
    <row r="60" spans="1:27" hidden="1" x14ac:dyDescent="0.2">
      <c r="A60" s="301" t="s">
        <v>117</v>
      </c>
      <c r="B60" s="289"/>
      <c r="C60" s="14"/>
      <c r="D60" s="14"/>
      <c r="E60" s="25"/>
      <c r="F60" s="14"/>
      <c r="G60" s="14"/>
      <c r="H60" s="14"/>
      <c r="I60" s="288">
        <f t="shared" si="9"/>
        <v>0</v>
      </c>
      <c r="J60" s="289"/>
      <c r="K60" s="288"/>
      <c r="L60" s="14"/>
      <c r="M60" s="14"/>
      <c r="N60" s="14"/>
      <c r="O60" s="14"/>
      <c r="P60" s="25">
        <f t="shared" si="6"/>
        <v>0</v>
      </c>
      <c r="Q60" s="14"/>
      <c r="R60" s="14"/>
      <c r="S60" s="14"/>
      <c r="T60" s="14"/>
      <c r="U60" s="14"/>
      <c r="V60" s="14"/>
      <c r="W60" s="14"/>
      <c r="X60" s="14"/>
      <c r="Y60" s="25">
        <f t="shared" si="10"/>
        <v>0</v>
      </c>
      <c r="Z60" s="288">
        <f t="shared" si="11"/>
        <v>0</v>
      </c>
      <c r="AA60" s="299" t="e">
        <f t="shared" si="8"/>
        <v>#DIV/0!</v>
      </c>
    </row>
    <row r="61" spans="1:27" hidden="1" x14ac:dyDescent="0.2">
      <c r="A61" s="301" t="s">
        <v>358</v>
      </c>
      <c r="B61" s="289"/>
      <c r="C61" s="14"/>
      <c r="D61" s="14"/>
      <c r="E61" s="25"/>
      <c r="F61" s="14"/>
      <c r="G61" s="14"/>
      <c r="H61" s="14"/>
      <c r="I61" s="288">
        <f t="shared" si="9"/>
        <v>0</v>
      </c>
      <c r="J61" s="289"/>
      <c r="K61" s="288"/>
      <c r="L61" s="14"/>
      <c r="M61" s="14"/>
      <c r="N61" s="14"/>
      <c r="O61" s="14"/>
      <c r="P61" s="25">
        <f t="shared" si="6"/>
        <v>0</v>
      </c>
      <c r="Q61" s="14"/>
      <c r="R61" s="14"/>
      <c r="S61" s="14"/>
      <c r="T61" s="14"/>
      <c r="U61" s="14"/>
      <c r="V61" s="14"/>
      <c r="W61" s="14"/>
      <c r="X61" s="14"/>
      <c r="Y61" s="25">
        <f t="shared" si="10"/>
        <v>0</v>
      </c>
      <c r="Z61" s="288">
        <f t="shared" si="11"/>
        <v>0</v>
      </c>
      <c r="AA61" s="299" t="e">
        <f t="shared" si="8"/>
        <v>#DIV/0!</v>
      </c>
    </row>
    <row r="62" spans="1:27" ht="25.5" x14ac:dyDescent="0.2">
      <c r="A62" s="57" t="s">
        <v>359</v>
      </c>
      <c r="B62" s="14">
        <v>55637862</v>
      </c>
      <c r="C62" s="14"/>
      <c r="D62" s="14"/>
      <c r="E62" s="25"/>
      <c r="F62" s="14"/>
      <c r="G62" s="14"/>
      <c r="H62" s="14"/>
      <c r="I62" s="25">
        <f t="shared" si="9"/>
        <v>55637862</v>
      </c>
      <c r="J62" s="14"/>
      <c r="K62" s="25">
        <v>55637862</v>
      </c>
      <c r="L62" s="14"/>
      <c r="M62" s="14"/>
      <c r="N62" s="14"/>
      <c r="O62" s="14"/>
      <c r="P62" s="25">
        <f t="shared" si="6"/>
        <v>55637862</v>
      </c>
      <c r="Q62" s="14"/>
      <c r="R62" s="14"/>
      <c r="S62" s="14"/>
      <c r="T62" s="14"/>
      <c r="U62" s="14"/>
      <c r="V62" s="14"/>
      <c r="W62" s="14"/>
      <c r="X62" s="14"/>
      <c r="Y62" s="25">
        <f t="shared" si="10"/>
        <v>0</v>
      </c>
      <c r="Z62" s="25">
        <f t="shared" si="11"/>
        <v>55637862</v>
      </c>
      <c r="AA62" s="34">
        <f t="shared" si="8"/>
        <v>1</v>
      </c>
    </row>
    <row r="63" spans="1:27" x14ac:dyDescent="0.2">
      <c r="A63" s="57" t="s">
        <v>267</v>
      </c>
      <c r="B63" s="14">
        <v>45401100.68</v>
      </c>
      <c r="C63" s="14"/>
      <c r="D63" s="14"/>
      <c r="E63" s="25"/>
      <c r="F63" s="14"/>
      <c r="G63" s="14"/>
      <c r="H63" s="14"/>
      <c r="I63" s="25">
        <f t="shared" si="9"/>
        <v>45401100.68</v>
      </c>
      <c r="J63" s="14"/>
      <c r="K63" s="25">
        <v>45401100.68</v>
      </c>
      <c r="L63" s="14"/>
      <c r="M63" s="14"/>
      <c r="N63" s="14"/>
      <c r="O63" s="14"/>
      <c r="P63" s="25">
        <f t="shared" si="6"/>
        <v>45401100.68</v>
      </c>
      <c r="Q63" s="14"/>
      <c r="R63" s="14"/>
      <c r="S63" s="14"/>
      <c r="T63" s="14"/>
      <c r="U63" s="14"/>
      <c r="V63" s="14"/>
      <c r="W63" s="14"/>
      <c r="X63" s="14"/>
      <c r="Y63" s="25">
        <f t="shared" si="10"/>
        <v>0</v>
      </c>
      <c r="Z63" s="25">
        <f t="shared" si="11"/>
        <v>45401100.68</v>
      </c>
      <c r="AA63" s="34">
        <f t="shared" si="8"/>
        <v>1</v>
      </c>
    </row>
    <row r="64" spans="1:27" s="5" customFormat="1" ht="15" x14ac:dyDescent="0.2">
      <c r="A64" s="56" t="s">
        <v>360</v>
      </c>
      <c r="B64" s="23"/>
      <c r="C64" s="23"/>
      <c r="D64" s="23"/>
      <c r="E64" s="23"/>
      <c r="F64" s="23"/>
      <c r="G64" s="23"/>
      <c r="H64" s="23"/>
      <c r="I64" s="25"/>
      <c r="J64" s="23"/>
      <c r="K64" s="23"/>
      <c r="L64" s="23"/>
      <c r="M64" s="23"/>
      <c r="N64" s="23"/>
      <c r="O64" s="23"/>
      <c r="P64" s="25">
        <f t="shared" si="6"/>
        <v>0</v>
      </c>
      <c r="Q64" s="23"/>
      <c r="R64" s="23"/>
      <c r="S64" s="23"/>
      <c r="T64" s="23"/>
      <c r="U64" s="23"/>
      <c r="V64" s="23"/>
      <c r="W64" s="23"/>
      <c r="X64" s="23"/>
      <c r="Y64" s="25">
        <f t="shared" si="10"/>
        <v>0</v>
      </c>
      <c r="Z64" s="25"/>
      <c r="AA64" s="34"/>
    </row>
    <row r="65" spans="1:27" ht="25.5" x14ac:dyDescent="0.2">
      <c r="A65" s="57" t="s">
        <v>1172</v>
      </c>
      <c r="B65" s="14">
        <v>52714186.079999998</v>
      </c>
      <c r="C65" s="14"/>
      <c r="D65" s="14"/>
      <c r="E65" s="25"/>
      <c r="F65" s="14">
        <v>1253.08</v>
      </c>
      <c r="G65" s="14"/>
      <c r="H65" s="14"/>
      <c r="I65" s="25">
        <f t="shared" si="9"/>
        <v>52712933</v>
      </c>
      <c r="J65" s="14"/>
      <c r="K65" s="9">
        <v>52714186.079999998</v>
      </c>
      <c r="L65" s="14"/>
      <c r="M65" s="14"/>
      <c r="N65" s="14"/>
      <c r="O65" s="14"/>
      <c r="P65" s="25">
        <f t="shared" si="6"/>
        <v>52714186.079999998</v>
      </c>
      <c r="Q65" s="14">
        <v>-1253.08</v>
      </c>
      <c r="R65" s="14"/>
      <c r="S65" s="14"/>
      <c r="T65" s="14"/>
      <c r="U65" s="14"/>
      <c r="V65" s="14"/>
      <c r="W65" s="14"/>
      <c r="X65" s="14"/>
      <c r="Y65" s="25">
        <f t="shared" si="10"/>
        <v>-1253.08</v>
      </c>
      <c r="Z65" s="25">
        <f t="shared" si="11"/>
        <v>52712933</v>
      </c>
      <c r="AA65" s="34">
        <f t="shared" si="8"/>
        <v>1</v>
      </c>
    </row>
    <row r="66" spans="1:27" s="5" customFormat="1" ht="25.5" x14ac:dyDescent="0.2">
      <c r="A66" s="56" t="s">
        <v>361</v>
      </c>
      <c r="B66" s="6"/>
      <c r="C66" s="6"/>
      <c r="D66" s="6"/>
      <c r="E66" s="23"/>
      <c r="F66" s="23"/>
      <c r="G66" s="23"/>
      <c r="H66" s="23"/>
      <c r="I66" s="25"/>
      <c r="J66" s="23"/>
      <c r="K66" s="23"/>
      <c r="L66" s="23"/>
      <c r="M66" s="23"/>
      <c r="N66" s="23"/>
      <c r="O66" s="23"/>
      <c r="P66" s="25">
        <f t="shared" si="6"/>
        <v>0</v>
      </c>
      <c r="Q66" s="23"/>
      <c r="R66" s="23"/>
      <c r="S66" s="23"/>
      <c r="T66" s="23"/>
      <c r="U66" s="23"/>
      <c r="V66" s="23"/>
      <c r="W66" s="23"/>
      <c r="X66" s="23"/>
      <c r="Y66" s="25">
        <f t="shared" si="10"/>
        <v>0</v>
      </c>
      <c r="Z66" s="25"/>
      <c r="AA66" s="34"/>
    </row>
    <row r="67" spans="1:27" ht="25.5" x14ac:dyDescent="0.2">
      <c r="A67" s="57" t="s">
        <v>361</v>
      </c>
      <c r="B67" s="14">
        <v>14399790.030000001</v>
      </c>
      <c r="C67" s="14"/>
      <c r="D67" s="14"/>
      <c r="E67" s="25"/>
      <c r="F67" s="14">
        <v>3105.03</v>
      </c>
      <c r="G67" s="14"/>
      <c r="H67" s="14"/>
      <c r="I67" s="25">
        <f t="shared" si="9"/>
        <v>14396685.000000002</v>
      </c>
      <c r="J67" s="14"/>
      <c r="K67" s="9">
        <v>14399790.030000001</v>
      </c>
      <c r="L67" s="14"/>
      <c r="M67" s="14"/>
      <c r="N67" s="14"/>
      <c r="O67" s="14"/>
      <c r="P67" s="25">
        <f t="shared" si="6"/>
        <v>14399790.030000001</v>
      </c>
      <c r="Q67" s="14">
        <v>-3105.03</v>
      </c>
      <c r="R67" s="14"/>
      <c r="S67" s="14"/>
      <c r="T67" s="14"/>
      <c r="U67" s="14"/>
      <c r="V67" s="14"/>
      <c r="W67" s="14"/>
      <c r="X67" s="14"/>
      <c r="Y67" s="25">
        <f t="shared" si="10"/>
        <v>-3105.03</v>
      </c>
      <c r="Z67" s="25">
        <f t="shared" si="11"/>
        <v>14396685.000000002</v>
      </c>
      <c r="AA67" s="34">
        <f t="shared" si="8"/>
        <v>1</v>
      </c>
    </row>
    <row r="68" spans="1:27" s="5" customFormat="1" ht="15" x14ac:dyDescent="0.2">
      <c r="A68" s="56" t="s">
        <v>69</v>
      </c>
      <c r="B68" s="23"/>
      <c r="C68" s="23"/>
      <c r="D68" s="23"/>
      <c r="E68" s="23"/>
      <c r="F68" s="23"/>
      <c r="G68" s="23"/>
      <c r="H68" s="23"/>
      <c r="I68" s="25"/>
      <c r="J68" s="23"/>
      <c r="K68" s="23"/>
      <c r="L68" s="23"/>
      <c r="M68" s="23"/>
      <c r="N68" s="23"/>
      <c r="O68" s="23"/>
      <c r="P68" s="25">
        <f t="shared" si="6"/>
        <v>0</v>
      </c>
      <c r="Q68" s="23"/>
      <c r="R68" s="23"/>
      <c r="S68" s="23"/>
      <c r="T68" s="23"/>
      <c r="U68" s="23"/>
      <c r="V68" s="23"/>
      <c r="W68" s="23"/>
      <c r="X68" s="23"/>
      <c r="Y68" s="25">
        <f t="shared" si="10"/>
        <v>0</v>
      </c>
      <c r="Z68" s="25"/>
      <c r="AA68" s="34"/>
    </row>
    <row r="69" spans="1:27" s="5" customFormat="1" ht="15" x14ac:dyDescent="0.2">
      <c r="A69" s="57" t="s">
        <v>70</v>
      </c>
      <c r="B69" s="14">
        <v>244106485.5</v>
      </c>
      <c r="C69" s="14"/>
      <c r="D69" s="14"/>
      <c r="E69" s="25"/>
      <c r="F69" s="14">
        <v>209499980</v>
      </c>
      <c r="G69" s="14"/>
      <c r="H69" s="14"/>
      <c r="I69" s="25">
        <f t="shared" si="9"/>
        <v>34606505.5</v>
      </c>
      <c r="J69" s="14"/>
      <c r="K69" s="9">
        <v>244106485.5</v>
      </c>
      <c r="L69" s="14"/>
      <c r="M69" s="14"/>
      <c r="N69" s="14"/>
      <c r="O69" s="14"/>
      <c r="P69" s="25">
        <f t="shared" si="6"/>
        <v>244106485.5</v>
      </c>
      <c r="Q69" s="14">
        <v>-209499980</v>
      </c>
      <c r="R69" s="14"/>
      <c r="S69" s="14"/>
      <c r="T69" s="14"/>
      <c r="U69" s="14"/>
      <c r="V69" s="14"/>
      <c r="W69" s="14"/>
      <c r="X69" s="14"/>
      <c r="Y69" s="25">
        <f t="shared" si="10"/>
        <v>-209499980</v>
      </c>
      <c r="Z69" s="25">
        <f t="shared" si="11"/>
        <v>34606505.5</v>
      </c>
      <c r="AA69" s="34">
        <f t="shared" si="8"/>
        <v>1</v>
      </c>
    </row>
    <row r="70" spans="1:27" s="5" customFormat="1" ht="15" hidden="1" x14ac:dyDescent="0.2">
      <c r="A70" s="300" t="s">
        <v>271</v>
      </c>
      <c r="B70" s="292"/>
      <c r="C70" s="6"/>
      <c r="D70" s="6"/>
      <c r="E70" s="6"/>
      <c r="F70" s="6"/>
      <c r="G70" s="6"/>
      <c r="H70" s="6"/>
      <c r="I70" s="288">
        <f t="shared" si="9"/>
        <v>0</v>
      </c>
      <c r="J70" s="292"/>
      <c r="K70" s="292"/>
      <c r="L70" s="6"/>
      <c r="M70" s="6"/>
      <c r="N70" s="6"/>
      <c r="O70" s="6"/>
      <c r="P70" s="25">
        <f t="shared" si="6"/>
        <v>0</v>
      </c>
      <c r="Q70" s="6"/>
      <c r="R70" s="6"/>
      <c r="S70" s="6"/>
      <c r="T70" s="6"/>
      <c r="U70" s="6"/>
      <c r="V70" s="6"/>
      <c r="W70" s="6"/>
      <c r="X70" s="6"/>
      <c r="Y70" s="25">
        <f t="shared" si="10"/>
        <v>0</v>
      </c>
      <c r="Z70" s="288">
        <f t="shared" si="11"/>
        <v>0</v>
      </c>
      <c r="AA70" s="299" t="e">
        <f t="shared" si="8"/>
        <v>#DIV/0!</v>
      </c>
    </row>
    <row r="71" spans="1:27" s="5" customFormat="1" ht="15" hidden="1" x14ac:dyDescent="0.2">
      <c r="A71" s="301" t="s">
        <v>272</v>
      </c>
      <c r="B71" s="289"/>
      <c r="C71" s="14"/>
      <c r="D71" s="14"/>
      <c r="E71" s="25"/>
      <c r="F71" s="14"/>
      <c r="G71" s="14"/>
      <c r="H71" s="14"/>
      <c r="I71" s="288">
        <f t="shared" si="9"/>
        <v>0</v>
      </c>
      <c r="J71" s="289"/>
      <c r="K71" s="303"/>
      <c r="L71" s="14"/>
      <c r="M71" s="14"/>
      <c r="N71" s="14"/>
      <c r="O71" s="14"/>
      <c r="P71" s="25">
        <f t="shared" si="6"/>
        <v>0</v>
      </c>
      <c r="Q71" s="14"/>
      <c r="R71" s="14"/>
      <c r="S71" s="14"/>
      <c r="T71" s="14"/>
      <c r="U71" s="14"/>
      <c r="V71" s="14"/>
      <c r="W71" s="14"/>
      <c r="X71" s="14"/>
      <c r="Y71" s="25">
        <f t="shared" si="10"/>
        <v>0</v>
      </c>
      <c r="Z71" s="288">
        <f t="shared" si="11"/>
        <v>0</v>
      </c>
      <c r="AA71" s="299" t="e">
        <f t="shared" si="8"/>
        <v>#DIV/0!</v>
      </c>
    </row>
    <row r="72" spans="1:27" s="5" customFormat="1" ht="15" hidden="1" x14ac:dyDescent="0.2">
      <c r="A72" s="300" t="s">
        <v>71</v>
      </c>
      <c r="B72" s="292"/>
      <c r="C72" s="6"/>
      <c r="D72" s="6"/>
      <c r="E72" s="6"/>
      <c r="F72" s="6"/>
      <c r="G72" s="6"/>
      <c r="H72" s="6"/>
      <c r="I72" s="288">
        <f t="shared" si="9"/>
        <v>0</v>
      </c>
      <c r="J72" s="292"/>
      <c r="K72" s="292"/>
      <c r="L72" s="6"/>
      <c r="M72" s="6"/>
      <c r="N72" s="6"/>
      <c r="O72" s="6"/>
      <c r="P72" s="25">
        <f t="shared" si="6"/>
        <v>0</v>
      </c>
      <c r="Q72" s="6"/>
      <c r="R72" s="6"/>
      <c r="S72" s="6"/>
      <c r="T72" s="6"/>
      <c r="U72" s="6"/>
      <c r="V72" s="6"/>
      <c r="W72" s="6"/>
      <c r="X72" s="6"/>
      <c r="Y72" s="25">
        <f t="shared" si="10"/>
        <v>0</v>
      </c>
      <c r="Z72" s="288">
        <f t="shared" si="11"/>
        <v>0</v>
      </c>
      <c r="AA72" s="299" t="e">
        <f t="shared" ref="AA72:AA118" si="12">+Z72/I72</f>
        <v>#DIV/0!</v>
      </c>
    </row>
    <row r="73" spans="1:27" hidden="1" x14ac:dyDescent="0.2">
      <c r="A73" s="301" t="s">
        <v>72</v>
      </c>
      <c r="B73" s="289"/>
      <c r="C73" s="14"/>
      <c r="D73" s="14"/>
      <c r="E73" s="25"/>
      <c r="F73" s="14"/>
      <c r="G73" s="14"/>
      <c r="H73" s="14"/>
      <c r="I73" s="288">
        <f t="shared" ref="I73:I118" si="13">+B73+C73-D73+E73-F73</f>
        <v>0</v>
      </c>
      <c r="J73" s="289"/>
      <c r="K73" s="303"/>
      <c r="L73" s="14"/>
      <c r="M73" s="14"/>
      <c r="N73" s="14"/>
      <c r="O73" s="14"/>
      <c r="P73" s="25">
        <f t="shared" si="6"/>
        <v>0</v>
      </c>
      <c r="Q73" s="14"/>
      <c r="R73" s="14"/>
      <c r="S73" s="14"/>
      <c r="T73" s="14"/>
      <c r="U73" s="14"/>
      <c r="V73" s="14"/>
      <c r="W73" s="14"/>
      <c r="X73" s="14"/>
      <c r="Y73" s="25">
        <f t="shared" ref="Y73:Y118" si="14">SUM(Q73:X73)</f>
        <v>0</v>
      </c>
      <c r="Z73" s="288">
        <f t="shared" ref="Z73:Z118" si="15">+P73+Y73</f>
        <v>0</v>
      </c>
      <c r="AA73" s="299" t="e">
        <f t="shared" si="12"/>
        <v>#DIV/0!</v>
      </c>
    </row>
    <row r="74" spans="1:27" s="5" customFormat="1" ht="15" x14ac:dyDescent="0.2">
      <c r="A74" s="284" t="s">
        <v>1173</v>
      </c>
      <c r="B74" s="6"/>
      <c r="C74" s="6"/>
      <c r="D74" s="6"/>
      <c r="E74" s="23"/>
      <c r="F74" s="23"/>
      <c r="G74" s="23"/>
      <c r="H74" s="23"/>
      <c r="I74" s="25"/>
      <c r="J74" s="23"/>
      <c r="K74" s="23"/>
      <c r="L74" s="23"/>
      <c r="M74" s="23"/>
      <c r="N74" s="23"/>
      <c r="O74" s="23"/>
      <c r="P74" s="25">
        <f t="shared" si="6"/>
        <v>0</v>
      </c>
      <c r="Q74" s="23"/>
      <c r="R74" s="23"/>
      <c r="S74" s="23"/>
      <c r="T74" s="23"/>
      <c r="U74" s="23"/>
      <c r="V74" s="23"/>
      <c r="W74" s="23"/>
      <c r="X74" s="23"/>
      <c r="Y74" s="25">
        <f t="shared" si="14"/>
        <v>0</v>
      </c>
      <c r="Z74" s="25"/>
      <c r="AA74" s="34"/>
    </row>
    <row r="75" spans="1:27" x14ac:dyDescent="0.2">
      <c r="A75" s="285" t="s">
        <v>1173</v>
      </c>
      <c r="B75" s="14">
        <v>4566666</v>
      </c>
      <c r="C75" s="14"/>
      <c r="D75" s="14"/>
      <c r="E75" s="25"/>
      <c r="F75" s="14"/>
      <c r="G75" s="14"/>
      <c r="H75" s="14"/>
      <c r="I75" s="25">
        <f t="shared" si="13"/>
        <v>4566666</v>
      </c>
      <c r="J75" s="14"/>
      <c r="K75" s="9">
        <v>4566666</v>
      </c>
      <c r="L75" s="14"/>
      <c r="M75" s="14"/>
      <c r="N75" s="14"/>
      <c r="O75" s="14"/>
      <c r="P75" s="25">
        <f t="shared" si="6"/>
        <v>4566666</v>
      </c>
      <c r="Q75" s="14"/>
      <c r="R75" s="14"/>
      <c r="S75" s="14"/>
      <c r="T75" s="14"/>
      <c r="U75" s="14"/>
      <c r="V75" s="14"/>
      <c r="W75" s="14"/>
      <c r="X75" s="14"/>
      <c r="Y75" s="25">
        <f t="shared" si="14"/>
        <v>0</v>
      </c>
      <c r="Z75" s="25">
        <f t="shared" si="15"/>
        <v>4566666</v>
      </c>
      <c r="AA75" s="34">
        <f t="shared" si="12"/>
        <v>1</v>
      </c>
    </row>
    <row r="76" spans="1:27" s="5" customFormat="1" ht="24" x14ac:dyDescent="0.2">
      <c r="A76" s="284" t="s">
        <v>1174</v>
      </c>
      <c r="B76" s="23"/>
      <c r="C76" s="23"/>
      <c r="D76" s="23"/>
      <c r="E76" s="23"/>
      <c r="F76" s="23"/>
      <c r="G76" s="23"/>
      <c r="H76" s="23"/>
      <c r="I76" s="25"/>
      <c r="J76" s="23"/>
      <c r="K76" s="23"/>
      <c r="L76" s="23"/>
      <c r="M76" s="23"/>
      <c r="N76" s="23"/>
      <c r="O76" s="23"/>
      <c r="P76" s="25">
        <f t="shared" si="6"/>
        <v>0</v>
      </c>
      <c r="Q76" s="23"/>
      <c r="R76" s="23"/>
      <c r="S76" s="23"/>
      <c r="T76" s="23"/>
      <c r="U76" s="23"/>
      <c r="V76" s="23"/>
      <c r="W76" s="23"/>
      <c r="X76" s="23"/>
      <c r="Y76" s="25">
        <f t="shared" si="14"/>
        <v>0</v>
      </c>
      <c r="Z76" s="25"/>
      <c r="AA76" s="34"/>
    </row>
    <row r="77" spans="1:27" ht="24" x14ac:dyDescent="0.2">
      <c r="A77" s="285" t="s">
        <v>1174</v>
      </c>
      <c r="B77" s="14">
        <v>70534.259999999995</v>
      </c>
      <c r="C77" s="14"/>
      <c r="D77" s="14"/>
      <c r="E77" s="25"/>
      <c r="F77" s="14">
        <v>70534.259999999995</v>
      </c>
      <c r="G77" s="14"/>
      <c r="H77" s="14"/>
      <c r="I77" s="25">
        <f t="shared" si="13"/>
        <v>0</v>
      </c>
      <c r="J77" s="14"/>
      <c r="K77" s="9">
        <v>70534.259999999995</v>
      </c>
      <c r="L77" s="14"/>
      <c r="M77" s="14"/>
      <c r="N77" s="14"/>
      <c r="O77" s="14"/>
      <c r="P77" s="25">
        <f t="shared" si="6"/>
        <v>70534.259999999995</v>
      </c>
      <c r="Q77" s="14">
        <v>-70534.259999999995</v>
      </c>
      <c r="R77" s="14"/>
      <c r="S77" s="14"/>
      <c r="T77" s="14"/>
      <c r="U77" s="14"/>
      <c r="V77" s="14"/>
      <c r="W77" s="14"/>
      <c r="X77" s="14"/>
      <c r="Y77" s="25">
        <f t="shared" si="14"/>
        <v>-70534.259999999995</v>
      </c>
      <c r="Z77" s="25">
        <f t="shared" si="15"/>
        <v>0</v>
      </c>
      <c r="AA77" s="34">
        <v>0</v>
      </c>
    </row>
    <row r="78" spans="1:27" s="5" customFormat="1" ht="15" x14ac:dyDescent="0.2">
      <c r="A78" s="56" t="s">
        <v>353</v>
      </c>
      <c r="B78" s="6"/>
      <c r="C78" s="6"/>
      <c r="D78" s="6"/>
      <c r="E78" s="6"/>
      <c r="F78" s="6"/>
      <c r="G78" s="6"/>
      <c r="H78" s="6"/>
      <c r="I78" s="25"/>
      <c r="J78" s="6"/>
      <c r="K78" s="6"/>
      <c r="L78" s="6"/>
      <c r="M78" s="6"/>
      <c r="N78" s="6"/>
      <c r="O78" s="6"/>
      <c r="P78" s="25">
        <f t="shared" si="6"/>
        <v>0</v>
      </c>
      <c r="Q78" s="6"/>
      <c r="R78" s="6"/>
      <c r="S78" s="6"/>
      <c r="T78" s="6"/>
      <c r="U78" s="6"/>
      <c r="V78" s="6"/>
      <c r="W78" s="6"/>
      <c r="X78" s="6"/>
      <c r="Y78" s="25">
        <f t="shared" si="14"/>
        <v>0</v>
      </c>
      <c r="Z78" s="25"/>
      <c r="AA78" s="34"/>
    </row>
    <row r="79" spans="1:27" x14ac:dyDescent="0.2">
      <c r="A79" s="282" t="s">
        <v>353</v>
      </c>
      <c r="B79" s="14">
        <v>483292373.25</v>
      </c>
      <c r="C79" s="14"/>
      <c r="D79" s="14"/>
      <c r="E79" s="25"/>
      <c r="F79" s="14">
        <v>43696.25</v>
      </c>
      <c r="G79" s="14"/>
      <c r="H79" s="14"/>
      <c r="I79" s="25">
        <f t="shared" si="13"/>
        <v>483248677</v>
      </c>
      <c r="J79" s="14"/>
      <c r="K79" s="24">
        <v>483292373.25</v>
      </c>
      <c r="L79" s="14"/>
      <c r="M79" s="14"/>
      <c r="N79" s="14"/>
      <c r="O79" s="14"/>
      <c r="P79" s="25">
        <f t="shared" si="6"/>
        <v>483292373.25</v>
      </c>
      <c r="Q79" s="14">
        <v>-43696.25</v>
      </c>
      <c r="R79" s="14"/>
      <c r="S79" s="14"/>
      <c r="T79" s="14"/>
      <c r="U79" s="14"/>
      <c r="V79" s="14"/>
      <c r="W79" s="14"/>
      <c r="X79" s="14"/>
      <c r="Y79" s="25">
        <f t="shared" si="14"/>
        <v>-43696.25</v>
      </c>
      <c r="Z79" s="25">
        <f t="shared" si="15"/>
        <v>483248677</v>
      </c>
      <c r="AA79" s="34">
        <f t="shared" si="12"/>
        <v>1</v>
      </c>
    </row>
    <row r="80" spans="1:27" s="5" customFormat="1" ht="24" x14ac:dyDescent="0.2">
      <c r="A80" s="284" t="s">
        <v>1175</v>
      </c>
      <c r="B80" s="23"/>
      <c r="C80" s="23"/>
      <c r="D80" s="23"/>
      <c r="E80" s="23"/>
      <c r="F80" s="23"/>
      <c r="G80" s="23"/>
      <c r="H80" s="23"/>
      <c r="I80" s="25"/>
      <c r="J80" s="23"/>
      <c r="K80" s="23"/>
      <c r="L80" s="23"/>
      <c r="M80" s="23"/>
      <c r="N80" s="23"/>
      <c r="O80" s="23"/>
      <c r="P80" s="25">
        <f t="shared" si="6"/>
        <v>0</v>
      </c>
      <c r="Q80" s="23"/>
      <c r="R80" s="23"/>
      <c r="S80" s="23"/>
      <c r="T80" s="23"/>
      <c r="U80" s="23"/>
      <c r="V80" s="23"/>
      <c r="W80" s="23"/>
      <c r="X80" s="23"/>
      <c r="Y80" s="25">
        <f t="shared" si="14"/>
        <v>0</v>
      </c>
      <c r="Z80" s="25"/>
      <c r="AA80" s="34"/>
    </row>
    <row r="81" spans="1:27" ht="24" x14ac:dyDescent="0.2">
      <c r="A81" s="286" t="s">
        <v>1175</v>
      </c>
      <c r="B81" s="14">
        <v>7562</v>
      </c>
      <c r="C81" s="14"/>
      <c r="D81" s="14"/>
      <c r="E81" s="25"/>
      <c r="F81" s="14">
        <v>7562</v>
      </c>
      <c r="G81" s="14"/>
      <c r="H81" s="14"/>
      <c r="I81" s="25">
        <f t="shared" si="13"/>
        <v>0</v>
      </c>
      <c r="J81" s="14"/>
      <c r="K81" s="14">
        <v>7562</v>
      </c>
      <c r="L81" s="14"/>
      <c r="M81" s="14"/>
      <c r="N81" s="14"/>
      <c r="O81" s="14"/>
      <c r="P81" s="25">
        <f t="shared" si="6"/>
        <v>7562</v>
      </c>
      <c r="Q81" s="14">
        <v>-7562</v>
      </c>
      <c r="R81" s="14"/>
      <c r="S81" s="14"/>
      <c r="T81" s="14"/>
      <c r="U81" s="14"/>
      <c r="V81" s="14"/>
      <c r="W81" s="14"/>
      <c r="X81" s="14"/>
      <c r="Y81" s="25">
        <f t="shared" si="14"/>
        <v>-7562</v>
      </c>
      <c r="Z81" s="25">
        <f t="shared" si="15"/>
        <v>0</v>
      </c>
      <c r="AA81" s="34">
        <v>0</v>
      </c>
    </row>
    <row r="82" spans="1:27" s="5" customFormat="1" ht="15" x14ac:dyDescent="0.2">
      <c r="A82" s="56" t="s">
        <v>1171</v>
      </c>
      <c r="B82" s="23"/>
      <c r="C82" s="23"/>
      <c r="D82" s="23"/>
      <c r="E82" s="23"/>
      <c r="F82" s="23"/>
      <c r="G82" s="23"/>
      <c r="H82" s="23"/>
      <c r="I82" s="25"/>
      <c r="J82" s="23"/>
      <c r="K82" s="23"/>
      <c r="L82" s="23"/>
      <c r="M82" s="23"/>
      <c r="N82" s="23"/>
      <c r="O82" s="23"/>
      <c r="P82" s="25">
        <f t="shared" si="6"/>
        <v>0</v>
      </c>
      <c r="Q82" s="23"/>
      <c r="R82" s="23"/>
      <c r="S82" s="23"/>
      <c r="T82" s="23"/>
      <c r="U82" s="23"/>
      <c r="V82" s="23"/>
      <c r="W82" s="23"/>
      <c r="X82" s="23"/>
      <c r="Y82" s="25">
        <f t="shared" si="14"/>
        <v>0</v>
      </c>
      <c r="Z82" s="25"/>
      <c r="AA82" s="34"/>
    </row>
    <row r="83" spans="1:27" x14ac:dyDescent="0.2">
      <c r="A83" s="57" t="s">
        <v>1171</v>
      </c>
      <c r="B83" s="14">
        <v>540704091</v>
      </c>
      <c r="C83" s="14"/>
      <c r="D83" s="14"/>
      <c r="E83" s="25"/>
      <c r="F83" s="14"/>
      <c r="G83" s="14"/>
      <c r="H83" s="14"/>
      <c r="I83" s="25">
        <f t="shared" si="13"/>
        <v>540704091</v>
      </c>
      <c r="J83" s="14"/>
      <c r="K83" s="24">
        <v>540704091</v>
      </c>
      <c r="L83" s="14"/>
      <c r="M83" s="14"/>
      <c r="N83" s="14"/>
      <c r="O83" s="14"/>
      <c r="P83" s="25">
        <f t="shared" si="6"/>
        <v>540704091</v>
      </c>
      <c r="Q83" s="14"/>
      <c r="R83" s="14"/>
      <c r="S83" s="14"/>
      <c r="T83" s="14"/>
      <c r="U83" s="14"/>
      <c r="V83" s="14"/>
      <c r="W83" s="14"/>
      <c r="X83" s="14"/>
      <c r="Y83" s="25">
        <f t="shared" si="14"/>
        <v>0</v>
      </c>
      <c r="Z83" s="25">
        <f t="shared" si="15"/>
        <v>540704091</v>
      </c>
      <c r="AA83" s="34">
        <f t="shared" si="12"/>
        <v>1</v>
      </c>
    </row>
    <row r="84" spans="1:27" s="5" customFormat="1" ht="15" x14ac:dyDescent="0.2">
      <c r="A84" s="56" t="s">
        <v>73</v>
      </c>
      <c r="B84" s="23"/>
      <c r="C84" s="23"/>
      <c r="D84" s="23"/>
      <c r="E84" s="23"/>
      <c r="F84" s="23"/>
      <c r="G84" s="23"/>
      <c r="H84" s="23"/>
      <c r="I84" s="25"/>
      <c r="J84" s="23"/>
      <c r="K84" s="23"/>
      <c r="L84" s="23"/>
      <c r="M84" s="23"/>
      <c r="N84" s="23"/>
      <c r="O84" s="23"/>
      <c r="P84" s="25">
        <f t="shared" si="6"/>
        <v>0</v>
      </c>
      <c r="Q84" s="23"/>
      <c r="R84" s="23"/>
      <c r="S84" s="23"/>
      <c r="T84" s="23"/>
      <c r="U84" s="23"/>
      <c r="V84" s="23"/>
      <c r="W84" s="23"/>
      <c r="X84" s="23"/>
      <c r="Y84" s="25">
        <f t="shared" si="14"/>
        <v>0</v>
      </c>
      <c r="Z84" s="25"/>
      <c r="AA84" s="34"/>
    </row>
    <row r="85" spans="1:27" x14ac:dyDescent="0.2">
      <c r="A85" s="57" t="s">
        <v>74</v>
      </c>
      <c r="B85" s="14">
        <v>3984116786</v>
      </c>
      <c r="C85" s="14"/>
      <c r="D85" s="14"/>
      <c r="E85" s="25"/>
      <c r="F85" s="14"/>
      <c r="G85" s="14"/>
      <c r="H85" s="14"/>
      <c r="I85" s="25">
        <f t="shared" si="13"/>
        <v>3984116786</v>
      </c>
      <c r="J85" s="14"/>
      <c r="K85" s="24">
        <v>3984116786</v>
      </c>
      <c r="L85" s="14"/>
      <c r="M85" s="14"/>
      <c r="N85" s="14"/>
      <c r="O85" s="14"/>
      <c r="P85" s="25">
        <f t="shared" si="6"/>
        <v>3984116786</v>
      </c>
      <c r="Q85" s="14"/>
      <c r="R85" s="14"/>
      <c r="S85" s="14"/>
      <c r="T85" s="14"/>
      <c r="U85" s="14"/>
      <c r="V85" s="14"/>
      <c r="W85" s="14"/>
      <c r="X85" s="14"/>
      <c r="Y85" s="25">
        <f t="shared" si="14"/>
        <v>0</v>
      </c>
      <c r="Z85" s="25">
        <f t="shared" si="15"/>
        <v>3984116786</v>
      </c>
      <c r="AA85" s="34">
        <f t="shared" si="12"/>
        <v>1</v>
      </c>
    </row>
    <row r="86" spans="1:27" s="5" customFormat="1" ht="15" x14ac:dyDescent="0.2">
      <c r="A86" s="56" t="s">
        <v>75</v>
      </c>
      <c r="B86" s="23"/>
      <c r="C86" s="23"/>
      <c r="D86" s="23"/>
      <c r="E86" s="23"/>
      <c r="F86" s="23"/>
      <c r="G86" s="23"/>
      <c r="H86" s="23"/>
      <c r="I86" s="25"/>
      <c r="J86" s="23"/>
      <c r="K86" s="23"/>
      <c r="L86" s="23"/>
      <c r="M86" s="23"/>
      <c r="N86" s="23"/>
      <c r="O86" s="23"/>
      <c r="P86" s="25">
        <f t="shared" si="6"/>
        <v>0</v>
      </c>
      <c r="Q86" s="23"/>
      <c r="R86" s="23"/>
      <c r="S86" s="23"/>
      <c r="T86" s="23"/>
      <c r="U86" s="23"/>
      <c r="V86" s="23"/>
      <c r="W86" s="23"/>
      <c r="X86" s="23"/>
      <c r="Y86" s="25">
        <f t="shared" si="14"/>
        <v>0</v>
      </c>
      <c r="Z86" s="25"/>
      <c r="AA86" s="34"/>
    </row>
    <row r="87" spans="1:27" s="5" customFormat="1" ht="25.5" hidden="1" x14ac:dyDescent="0.2">
      <c r="A87" s="301" t="s">
        <v>249</v>
      </c>
      <c r="B87" s="289"/>
      <c r="C87" s="14"/>
      <c r="D87" s="14"/>
      <c r="E87" s="25"/>
      <c r="F87" s="14"/>
      <c r="G87" s="14"/>
      <c r="H87" s="14"/>
      <c r="I87" s="288">
        <f t="shared" si="13"/>
        <v>0</v>
      </c>
      <c r="J87" s="289"/>
      <c r="K87" s="287"/>
      <c r="L87" s="14"/>
      <c r="M87" s="14"/>
      <c r="N87" s="14"/>
      <c r="O87" s="14"/>
      <c r="P87" s="25">
        <f t="shared" si="6"/>
        <v>0</v>
      </c>
      <c r="Q87" s="14"/>
      <c r="R87" s="14"/>
      <c r="S87" s="14"/>
      <c r="T87" s="14"/>
      <c r="U87" s="14"/>
      <c r="V87" s="14"/>
      <c r="W87" s="14"/>
      <c r="X87" s="14"/>
      <c r="Y87" s="25">
        <f t="shared" si="14"/>
        <v>0</v>
      </c>
      <c r="Z87" s="288">
        <f t="shared" si="15"/>
        <v>0</v>
      </c>
      <c r="AA87" s="299" t="e">
        <f t="shared" si="12"/>
        <v>#DIV/0!</v>
      </c>
    </row>
    <row r="88" spans="1:27" s="5" customFormat="1" ht="15" x14ac:dyDescent="0.2">
      <c r="A88" s="57" t="s">
        <v>116</v>
      </c>
      <c r="B88" s="14">
        <v>77725312.530000001</v>
      </c>
      <c r="C88" s="14"/>
      <c r="D88" s="14"/>
      <c r="E88" s="25"/>
      <c r="F88" s="14"/>
      <c r="G88" s="14"/>
      <c r="H88" s="14"/>
      <c r="I88" s="25">
        <f t="shared" si="13"/>
        <v>77725312.530000001</v>
      </c>
      <c r="J88" s="14"/>
      <c r="K88" s="24">
        <v>77725312.530000001</v>
      </c>
      <c r="L88" s="14"/>
      <c r="M88" s="14"/>
      <c r="N88" s="14"/>
      <c r="O88" s="14"/>
      <c r="P88" s="25">
        <f t="shared" ref="P88:P118" si="16">SUM(J88:O88)</f>
        <v>77725312.530000001</v>
      </c>
      <c r="Q88" s="14"/>
      <c r="R88" s="14"/>
      <c r="S88" s="14"/>
      <c r="T88" s="14"/>
      <c r="U88" s="14"/>
      <c r="V88" s="14"/>
      <c r="W88" s="14"/>
      <c r="X88" s="14"/>
      <c r="Y88" s="25">
        <f t="shared" si="14"/>
        <v>0</v>
      </c>
      <c r="Z88" s="25">
        <f t="shared" si="15"/>
        <v>77725312.530000001</v>
      </c>
      <c r="AA88" s="34">
        <f t="shared" si="12"/>
        <v>1</v>
      </c>
    </row>
    <row r="89" spans="1:27" s="5" customFormat="1" ht="15" hidden="1" x14ac:dyDescent="0.2">
      <c r="A89" s="300" t="s">
        <v>120</v>
      </c>
      <c r="B89" s="292"/>
      <c r="C89" s="6"/>
      <c r="D89" s="6"/>
      <c r="E89" s="6"/>
      <c r="F89" s="6"/>
      <c r="G89" s="6"/>
      <c r="H89" s="6"/>
      <c r="I89" s="288">
        <f t="shared" si="13"/>
        <v>0</v>
      </c>
      <c r="J89" s="292"/>
      <c r="K89" s="292"/>
      <c r="L89" s="6"/>
      <c r="M89" s="6"/>
      <c r="N89" s="6"/>
      <c r="O89" s="6"/>
      <c r="P89" s="25">
        <f t="shared" si="16"/>
        <v>0</v>
      </c>
      <c r="Q89" s="6"/>
      <c r="R89" s="6"/>
      <c r="S89" s="6"/>
      <c r="T89" s="6"/>
      <c r="U89" s="6"/>
      <c r="V89" s="6"/>
      <c r="W89" s="6"/>
      <c r="X89" s="6"/>
      <c r="Y89" s="25">
        <f t="shared" si="14"/>
        <v>0</v>
      </c>
      <c r="Z89" s="288">
        <f t="shared" si="15"/>
        <v>0</v>
      </c>
      <c r="AA89" s="299" t="e">
        <f t="shared" si="12"/>
        <v>#DIV/0!</v>
      </c>
    </row>
    <row r="90" spans="1:27" s="5" customFormat="1" ht="15" hidden="1" x14ac:dyDescent="0.2">
      <c r="A90" s="301" t="s">
        <v>250</v>
      </c>
      <c r="B90" s="289"/>
      <c r="C90" s="14"/>
      <c r="D90" s="14"/>
      <c r="E90" s="25"/>
      <c r="F90" s="14"/>
      <c r="G90" s="14"/>
      <c r="H90" s="14"/>
      <c r="I90" s="288">
        <f t="shared" si="13"/>
        <v>0</v>
      </c>
      <c r="J90" s="289"/>
      <c r="K90" s="287"/>
      <c r="L90" s="14"/>
      <c r="M90" s="14"/>
      <c r="N90" s="14"/>
      <c r="O90" s="14"/>
      <c r="P90" s="25">
        <f t="shared" si="16"/>
        <v>0</v>
      </c>
      <c r="Q90" s="14"/>
      <c r="R90" s="14"/>
      <c r="S90" s="14"/>
      <c r="T90" s="14"/>
      <c r="U90" s="14"/>
      <c r="V90" s="14"/>
      <c r="W90" s="14"/>
      <c r="X90" s="14"/>
      <c r="Y90" s="25">
        <f t="shared" si="14"/>
        <v>0</v>
      </c>
      <c r="Z90" s="288">
        <f t="shared" si="15"/>
        <v>0</v>
      </c>
      <c r="AA90" s="299" t="e">
        <f t="shared" si="12"/>
        <v>#DIV/0!</v>
      </c>
    </row>
    <row r="91" spans="1:27" s="5" customFormat="1" ht="15" x14ac:dyDescent="0.2">
      <c r="A91" s="56" t="s">
        <v>1194</v>
      </c>
      <c r="B91" s="6"/>
      <c r="C91" s="6"/>
      <c r="D91" s="6"/>
      <c r="E91" s="23"/>
      <c r="F91" s="6"/>
      <c r="G91" s="6"/>
      <c r="H91" s="6"/>
      <c r="I91" s="25"/>
      <c r="J91" s="6"/>
      <c r="K91" s="6"/>
      <c r="L91" s="6"/>
      <c r="M91" s="6"/>
      <c r="N91" s="6"/>
      <c r="O91" s="6"/>
      <c r="P91" s="25">
        <f t="shared" si="16"/>
        <v>0</v>
      </c>
      <c r="Q91" s="6"/>
      <c r="R91" s="6"/>
      <c r="S91" s="6"/>
      <c r="T91" s="6"/>
      <c r="U91" s="6"/>
      <c r="V91" s="6"/>
      <c r="W91" s="6"/>
      <c r="X91" s="6"/>
      <c r="Y91" s="25">
        <f t="shared" si="14"/>
        <v>0</v>
      </c>
      <c r="Z91" s="25"/>
      <c r="AA91" s="34"/>
    </row>
    <row r="92" spans="1:27" s="5" customFormat="1" ht="15" x14ac:dyDescent="0.2">
      <c r="A92" s="57" t="s">
        <v>1194</v>
      </c>
      <c r="B92" s="14">
        <v>10000000</v>
      </c>
      <c r="C92" s="14"/>
      <c r="D92" s="14"/>
      <c r="E92" s="25"/>
      <c r="F92" s="14"/>
      <c r="G92" s="14"/>
      <c r="H92" s="14"/>
      <c r="I92" s="25">
        <f t="shared" si="13"/>
        <v>10000000</v>
      </c>
      <c r="J92" s="14"/>
      <c r="K92" s="24">
        <v>10000000</v>
      </c>
      <c r="L92" s="14"/>
      <c r="M92" s="14"/>
      <c r="N92" s="14"/>
      <c r="O92" s="14"/>
      <c r="P92" s="25">
        <f t="shared" si="16"/>
        <v>10000000</v>
      </c>
      <c r="Q92" s="14"/>
      <c r="R92" s="14"/>
      <c r="S92" s="14"/>
      <c r="T92" s="14"/>
      <c r="U92" s="14"/>
      <c r="V92" s="14"/>
      <c r="W92" s="14"/>
      <c r="X92" s="14"/>
      <c r="Y92" s="25">
        <f t="shared" si="14"/>
        <v>0</v>
      </c>
      <c r="Z92" s="25">
        <f t="shared" si="15"/>
        <v>10000000</v>
      </c>
      <c r="AA92" s="34">
        <f t="shared" si="12"/>
        <v>1</v>
      </c>
    </row>
    <row r="93" spans="1:27" s="5" customFormat="1" ht="15" x14ac:dyDescent="0.2">
      <c r="A93" s="56" t="s">
        <v>1193</v>
      </c>
      <c r="B93" s="6"/>
      <c r="C93" s="6"/>
      <c r="D93" s="6"/>
      <c r="E93" s="6"/>
      <c r="F93" s="6"/>
      <c r="G93" s="6"/>
      <c r="H93" s="6"/>
      <c r="I93" s="25"/>
      <c r="J93" s="6"/>
      <c r="K93" s="6"/>
      <c r="L93" s="6"/>
      <c r="M93" s="6"/>
      <c r="N93" s="6"/>
      <c r="O93" s="6"/>
      <c r="P93" s="25">
        <f t="shared" si="16"/>
        <v>0</v>
      </c>
      <c r="Q93" s="6"/>
      <c r="R93" s="6"/>
      <c r="S93" s="6"/>
      <c r="T93" s="6"/>
      <c r="U93" s="6"/>
      <c r="V93" s="6"/>
      <c r="W93" s="6"/>
      <c r="X93" s="6"/>
      <c r="Y93" s="25">
        <f t="shared" si="14"/>
        <v>0</v>
      </c>
      <c r="Z93" s="25"/>
      <c r="AA93" s="34"/>
    </row>
    <row r="94" spans="1:27" s="5" customFormat="1" ht="15" x14ac:dyDescent="0.2">
      <c r="A94" s="57" t="s">
        <v>1193</v>
      </c>
      <c r="B94" s="14">
        <v>4140580</v>
      </c>
      <c r="C94" s="14"/>
      <c r="D94" s="14"/>
      <c r="E94" s="25"/>
      <c r="F94" s="14"/>
      <c r="G94" s="14"/>
      <c r="H94" s="14"/>
      <c r="I94" s="25">
        <f t="shared" si="13"/>
        <v>4140580</v>
      </c>
      <c r="J94" s="14"/>
      <c r="K94" s="24">
        <v>4140580</v>
      </c>
      <c r="L94" s="14"/>
      <c r="M94" s="14"/>
      <c r="N94" s="14"/>
      <c r="O94" s="14"/>
      <c r="P94" s="25">
        <f t="shared" si="16"/>
        <v>4140580</v>
      </c>
      <c r="Q94" s="14"/>
      <c r="R94" s="14"/>
      <c r="S94" s="14"/>
      <c r="T94" s="14"/>
      <c r="U94" s="14"/>
      <c r="V94" s="14"/>
      <c r="W94" s="14"/>
      <c r="X94" s="14"/>
      <c r="Y94" s="25">
        <f t="shared" si="14"/>
        <v>0</v>
      </c>
      <c r="Z94" s="25">
        <f t="shared" si="15"/>
        <v>4140580</v>
      </c>
      <c r="AA94" s="34">
        <f t="shared" si="12"/>
        <v>1</v>
      </c>
    </row>
    <row r="95" spans="1:27" s="5" customFormat="1" ht="15" x14ac:dyDescent="0.2">
      <c r="A95" s="56" t="s">
        <v>1192</v>
      </c>
      <c r="B95" s="6"/>
      <c r="C95" s="6"/>
      <c r="D95" s="6"/>
      <c r="E95" s="6"/>
      <c r="F95" s="6"/>
      <c r="G95" s="6"/>
      <c r="H95" s="6"/>
      <c r="I95" s="25"/>
      <c r="J95" s="6"/>
      <c r="K95" s="6"/>
      <c r="L95" s="6"/>
      <c r="M95" s="6"/>
      <c r="N95" s="6"/>
      <c r="O95" s="6"/>
      <c r="P95" s="25">
        <f t="shared" si="16"/>
        <v>0</v>
      </c>
      <c r="Q95" s="6"/>
      <c r="R95" s="6"/>
      <c r="S95" s="6"/>
      <c r="T95" s="6"/>
      <c r="U95" s="6"/>
      <c r="V95" s="6"/>
      <c r="W95" s="6"/>
      <c r="X95" s="6"/>
      <c r="Y95" s="25">
        <f t="shared" si="14"/>
        <v>0</v>
      </c>
      <c r="Z95" s="25"/>
      <c r="AA95" s="34"/>
    </row>
    <row r="96" spans="1:27" s="5" customFormat="1" ht="15" x14ac:dyDescent="0.2">
      <c r="A96" s="57" t="s">
        <v>1192</v>
      </c>
      <c r="B96" s="14">
        <v>19477469.82</v>
      </c>
      <c r="C96" s="14"/>
      <c r="D96" s="14"/>
      <c r="E96" s="25"/>
      <c r="F96" s="14"/>
      <c r="G96" s="14"/>
      <c r="H96" s="14"/>
      <c r="I96" s="25">
        <f t="shared" si="13"/>
        <v>19477469.82</v>
      </c>
      <c r="J96" s="14"/>
      <c r="K96" s="14">
        <v>19477469.82</v>
      </c>
      <c r="L96" s="14"/>
      <c r="M96" s="14"/>
      <c r="N96" s="14"/>
      <c r="O96" s="14"/>
      <c r="P96" s="25">
        <f t="shared" si="16"/>
        <v>19477469.82</v>
      </c>
      <c r="Q96" s="14"/>
      <c r="R96" s="14"/>
      <c r="S96" s="14"/>
      <c r="T96" s="14"/>
      <c r="U96" s="14"/>
      <c r="V96" s="14"/>
      <c r="W96" s="14"/>
      <c r="X96" s="14"/>
      <c r="Y96" s="25">
        <f t="shared" si="14"/>
        <v>0</v>
      </c>
      <c r="Z96" s="25">
        <f t="shared" si="15"/>
        <v>19477469.82</v>
      </c>
      <c r="AA96" s="34">
        <f t="shared" si="12"/>
        <v>1</v>
      </c>
    </row>
    <row r="97" spans="1:27" s="5" customFormat="1" ht="15" x14ac:dyDescent="0.2">
      <c r="A97" s="56" t="s">
        <v>54</v>
      </c>
      <c r="B97" s="23"/>
      <c r="C97" s="23"/>
      <c r="D97" s="23"/>
      <c r="E97" s="23"/>
      <c r="F97" s="23"/>
      <c r="G97" s="23"/>
      <c r="H97" s="23"/>
      <c r="I97" s="25"/>
      <c r="J97" s="23"/>
      <c r="K97" s="23"/>
      <c r="L97" s="23"/>
      <c r="M97" s="23"/>
      <c r="N97" s="23"/>
      <c r="O97" s="23"/>
      <c r="P97" s="25">
        <f t="shared" si="16"/>
        <v>0</v>
      </c>
      <c r="Q97" s="23"/>
      <c r="R97" s="23"/>
      <c r="S97" s="23"/>
      <c r="T97" s="23"/>
      <c r="U97" s="23"/>
      <c r="V97" s="23"/>
      <c r="W97" s="23"/>
      <c r="X97" s="23"/>
      <c r="Y97" s="25">
        <f t="shared" si="14"/>
        <v>0</v>
      </c>
      <c r="Z97" s="25"/>
      <c r="AA97" s="34"/>
    </row>
    <row r="98" spans="1:27" ht="45" x14ac:dyDescent="0.2">
      <c r="A98" s="283" t="s">
        <v>1176</v>
      </c>
      <c r="B98" s="25">
        <v>2000000000</v>
      </c>
      <c r="C98" s="25"/>
      <c r="D98" s="25"/>
      <c r="E98" s="25"/>
      <c r="F98" s="25"/>
      <c r="G98" s="25"/>
      <c r="H98" s="25"/>
      <c r="I98" s="25">
        <f t="shared" si="13"/>
        <v>2000000000</v>
      </c>
      <c r="J98" s="25"/>
      <c r="K98" s="25">
        <v>2000000000</v>
      </c>
      <c r="L98" s="25"/>
      <c r="M98" s="25"/>
      <c r="N98" s="25"/>
      <c r="O98" s="25"/>
      <c r="P98" s="25">
        <f t="shared" si="16"/>
        <v>2000000000</v>
      </c>
      <c r="Q98" s="25"/>
      <c r="R98" s="25"/>
      <c r="S98" s="25"/>
      <c r="T98" s="25"/>
      <c r="U98" s="25"/>
      <c r="V98" s="25"/>
      <c r="W98" s="25"/>
      <c r="X98" s="25"/>
      <c r="Y98" s="25">
        <f t="shared" si="14"/>
        <v>0</v>
      </c>
      <c r="Z98" s="25">
        <f t="shared" si="15"/>
        <v>2000000000</v>
      </c>
      <c r="AA98" s="34">
        <f t="shared" si="12"/>
        <v>1</v>
      </c>
    </row>
    <row r="99" spans="1:27" ht="22.5" x14ac:dyDescent="0.2">
      <c r="A99" s="283" t="s">
        <v>1210</v>
      </c>
      <c r="B99" s="25">
        <v>2135782409.8</v>
      </c>
      <c r="C99" s="25"/>
      <c r="D99" s="25"/>
      <c r="E99" s="25"/>
      <c r="F99" s="25"/>
      <c r="G99" s="25"/>
      <c r="H99" s="25"/>
      <c r="I99" s="25">
        <f t="shared" si="13"/>
        <v>2135782409.8</v>
      </c>
      <c r="J99" s="25"/>
      <c r="K99" s="25">
        <f>2135782409.8-1756788543</f>
        <v>378993866.79999995</v>
      </c>
      <c r="L99" s="25"/>
      <c r="M99" s="25"/>
      <c r="N99" s="25"/>
      <c r="O99" s="25"/>
      <c r="P99" s="25">
        <f t="shared" si="16"/>
        <v>378993866.79999995</v>
      </c>
      <c r="Q99" s="25"/>
      <c r="R99" s="25"/>
      <c r="S99" s="25"/>
      <c r="T99" s="25"/>
      <c r="U99" s="25"/>
      <c r="V99" s="25"/>
      <c r="W99" s="25"/>
      <c r="X99" s="25"/>
      <c r="Y99" s="25">
        <f t="shared" si="14"/>
        <v>0</v>
      </c>
      <c r="Z99" s="25">
        <f t="shared" si="15"/>
        <v>378993866.79999995</v>
      </c>
      <c r="AA99" s="34">
        <f t="shared" si="12"/>
        <v>0.17744966203532406</v>
      </c>
    </row>
    <row r="100" spans="1:27" ht="25.5" x14ac:dyDescent="0.2">
      <c r="A100" s="282" t="s">
        <v>363</v>
      </c>
      <c r="B100" s="25">
        <v>5454599200</v>
      </c>
      <c r="C100" s="25"/>
      <c r="D100" s="25"/>
      <c r="E100" s="25"/>
      <c r="F100" s="25"/>
      <c r="G100" s="25"/>
      <c r="H100" s="25"/>
      <c r="I100" s="25">
        <f t="shared" si="13"/>
        <v>5454599200</v>
      </c>
      <c r="J100" s="25"/>
      <c r="K100" s="25">
        <f>5454599200-4454599200</f>
        <v>1000000000</v>
      </c>
      <c r="L100" s="25"/>
      <c r="M100" s="25"/>
      <c r="N100" s="25"/>
      <c r="O100" s="25"/>
      <c r="P100" s="25">
        <f t="shared" si="16"/>
        <v>1000000000</v>
      </c>
      <c r="Q100" s="25"/>
      <c r="R100" s="25"/>
      <c r="S100" s="25"/>
      <c r="T100" s="25"/>
      <c r="U100" s="25"/>
      <c r="V100" s="25"/>
      <c r="W100" s="25"/>
      <c r="X100" s="25"/>
      <c r="Y100" s="25">
        <f t="shared" si="14"/>
        <v>0</v>
      </c>
      <c r="Z100" s="25">
        <f t="shared" si="15"/>
        <v>1000000000</v>
      </c>
      <c r="AA100" s="34">
        <f t="shared" si="12"/>
        <v>0.18333152690668822</v>
      </c>
    </row>
    <row r="101" spans="1:27" ht="25.5" x14ac:dyDescent="0.2">
      <c r="A101" s="282" t="s">
        <v>1177</v>
      </c>
      <c r="B101" s="25">
        <v>3418945954.0300002</v>
      </c>
      <c r="C101" s="25"/>
      <c r="D101" s="25"/>
      <c r="E101" s="25"/>
      <c r="F101" s="25"/>
      <c r="G101" s="25"/>
      <c r="H101" s="25"/>
      <c r="I101" s="25">
        <f t="shared" si="13"/>
        <v>3418945954.0300002</v>
      </c>
      <c r="J101" s="25"/>
      <c r="K101" s="25">
        <f>3418945954.03-2898542218.03</f>
        <v>520403736</v>
      </c>
      <c r="L101" s="25"/>
      <c r="M101" s="25"/>
      <c r="N101" s="25"/>
      <c r="O101" s="25"/>
      <c r="P101" s="25">
        <f t="shared" si="16"/>
        <v>520403736</v>
      </c>
      <c r="Q101" s="25"/>
      <c r="R101" s="25"/>
      <c r="S101" s="25"/>
      <c r="T101" s="25"/>
      <c r="U101" s="25"/>
      <c r="V101" s="25"/>
      <c r="W101" s="25"/>
      <c r="X101" s="25"/>
      <c r="Y101" s="25">
        <f t="shared" si="14"/>
        <v>0</v>
      </c>
      <c r="Z101" s="25">
        <f t="shared" si="15"/>
        <v>520403736</v>
      </c>
      <c r="AA101" s="34">
        <f t="shared" si="12"/>
        <v>0.1522117468357716</v>
      </c>
    </row>
    <row r="102" spans="1:27" ht="25.5" x14ac:dyDescent="0.2">
      <c r="A102" s="282" t="s">
        <v>362</v>
      </c>
      <c r="B102" s="25">
        <v>308185665.19999999</v>
      </c>
      <c r="C102" s="25"/>
      <c r="D102" s="25"/>
      <c r="E102" s="25"/>
      <c r="F102" s="25"/>
      <c r="G102" s="25"/>
      <c r="H102" s="25"/>
      <c r="I102" s="25">
        <f t="shared" si="13"/>
        <v>308185665.19999999</v>
      </c>
      <c r="J102" s="25"/>
      <c r="K102" s="25">
        <v>308185665.19999999</v>
      </c>
      <c r="L102" s="25"/>
      <c r="M102" s="25"/>
      <c r="N102" s="25"/>
      <c r="O102" s="25"/>
      <c r="P102" s="25">
        <f t="shared" si="16"/>
        <v>308185665.19999999</v>
      </c>
      <c r="Q102" s="25"/>
      <c r="R102" s="25"/>
      <c r="S102" s="25"/>
      <c r="T102" s="25"/>
      <c r="U102" s="25"/>
      <c r="V102" s="25"/>
      <c r="W102" s="25"/>
      <c r="X102" s="25"/>
      <c r="Y102" s="25">
        <f t="shared" si="14"/>
        <v>0</v>
      </c>
      <c r="Z102" s="25">
        <f t="shared" si="15"/>
        <v>308185665.19999999</v>
      </c>
      <c r="AA102" s="34">
        <f t="shared" si="12"/>
        <v>1</v>
      </c>
    </row>
    <row r="103" spans="1:27" ht="45" x14ac:dyDescent="0.2">
      <c r="A103" s="283" t="s">
        <v>1178</v>
      </c>
      <c r="B103" s="25">
        <v>2043204731.1700001</v>
      </c>
      <c r="C103" s="25"/>
      <c r="D103" s="25"/>
      <c r="E103" s="25"/>
      <c r="F103" s="25"/>
      <c r="G103" s="25"/>
      <c r="H103" s="25"/>
      <c r="I103" s="25">
        <f t="shared" si="13"/>
        <v>2043204731.1700001</v>
      </c>
      <c r="J103" s="25"/>
      <c r="K103" s="25">
        <f>2043204731.17-2043204731.17</f>
        <v>0</v>
      </c>
      <c r="L103" s="25">
        <v>2000000000</v>
      </c>
      <c r="M103" s="25"/>
      <c r="N103" s="25"/>
      <c r="O103" s="25"/>
      <c r="P103" s="25">
        <f t="shared" si="16"/>
        <v>2000000000</v>
      </c>
      <c r="Q103" s="25"/>
      <c r="R103" s="25"/>
      <c r="S103" s="25"/>
      <c r="T103" s="25"/>
      <c r="U103" s="25"/>
      <c r="V103" s="25"/>
      <c r="W103" s="25"/>
      <c r="X103" s="25"/>
      <c r="Y103" s="25">
        <f t="shared" si="14"/>
        <v>0</v>
      </c>
      <c r="Z103" s="25">
        <f t="shared" si="15"/>
        <v>2000000000</v>
      </c>
      <c r="AA103" s="34">
        <f t="shared" si="12"/>
        <v>0.97885442877510387</v>
      </c>
    </row>
    <row r="104" spans="1:27" ht="25.5" x14ac:dyDescent="0.2">
      <c r="A104" s="282" t="s">
        <v>1191</v>
      </c>
      <c r="B104" s="25">
        <v>18213</v>
      </c>
      <c r="C104" s="25"/>
      <c r="D104" s="25"/>
      <c r="E104" s="25"/>
      <c r="F104" s="25">
        <v>18213</v>
      </c>
      <c r="G104" s="25"/>
      <c r="H104" s="25"/>
      <c r="I104" s="25">
        <f t="shared" si="13"/>
        <v>0</v>
      </c>
      <c r="J104" s="25"/>
      <c r="K104" s="25">
        <v>18213</v>
      </c>
      <c r="L104" s="25"/>
      <c r="M104" s="25"/>
      <c r="N104" s="25"/>
      <c r="O104" s="25"/>
      <c r="P104" s="25">
        <f t="shared" si="16"/>
        <v>18213</v>
      </c>
      <c r="Q104" s="25">
        <v>-18213</v>
      </c>
      <c r="R104" s="25"/>
      <c r="S104" s="25"/>
      <c r="T104" s="25"/>
      <c r="U104" s="25"/>
      <c r="V104" s="25"/>
      <c r="W104" s="25"/>
      <c r="X104" s="25"/>
      <c r="Y104" s="25">
        <f t="shared" si="14"/>
        <v>-18213</v>
      </c>
      <c r="Z104" s="25">
        <f t="shared" si="15"/>
        <v>0</v>
      </c>
      <c r="AA104" s="34">
        <v>0</v>
      </c>
    </row>
    <row r="105" spans="1:27" ht="25.5" x14ac:dyDescent="0.2">
      <c r="A105" s="282" t="s">
        <v>1190</v>
      </c>
      <c r="B105" s="25">
        <v>37848</v>
      </c>
      <c r="C105" s="25"/>
      <c r="D105" s="25"/>
      <c r="E105" s="25"/>
      <c r="F105" s="25">
        <v>37848</v>
      </c>
      <c r="G105" s="25"/>
      <c r="H105" s="25"/>
      <c r="I105" s="25">
        <f t="shared" si="13"/>
        <v>0</v>
      </c>
      <c r="J105" s="25"/>
      <c r="K105" s="25">
        <v>37848</v>
      </c>
      <c r="L105" s="25"/>
      <c r="M105" s="25"/>
      <c r="N105" s="25"/>
      <c r="O105" s="25"/>
      <c r="P105" s="25">
        <f t="shared" si="16"/>
        <v>37848</v>
      </c>
      <c r="Q105" s="25">
        <v>-37848</v>
      </c>
      <c r="R105" s="25"/>
      <c r="S105" s="25"/>
      <c r="T105" s="25"/>
      <c r="U105" s="25"/>
      <c r="V105" s="25"/>
      <c r="W105" s="25"/>
      <c r="X105" s="25"/>
      <c r="Y105" s="25">
        <f t="shared" si="14"/>
        <v>-37848</v>
      </c>
      <c r="Z105" s="25">
        <f t="shared" si="15"/>
        <v>0</v>
      </c>
      <c r="AA105" s="34">
        <v>0</v>
      </c>
    </row>
    <row r="106" spans="1:27" ht="38.25" x14ac:dyDescent="0.2">
      <c r="A106" s="282" t="s">
        <v>1189</v>
      </c>
      <c r="B106" s="25">
        <v>320095749.81999999</v>
      </c>
      <c r="C106" s="25"/>
      <c r="D106" s="25"/>
      <c r="E106" s="25"/>
      <c r="F106" s="25">
        <v>15380.82</v>
      </c>
      <c r="G106" s="25"/>
      <c r="H106" s="25"/>
      <c r="I106" s="25">
        <f t="shared" si="13"/>
        <v>320080369</v>
      </c>
      <c r="J106" s="25"/>
      <c r="K106" s="25">
        <v>320095749.81999999</v>
      </c>
      <c r="L106" s="25"/>
      <c r="M106" s="25"/>
      <c r="N106" s="25"/>
      <c r="O106" s="25"/>
      <c r="P106" s="25">
        <f t="shared" si="16"/>
        <v>320095749.81999999</v>
      </c>
      <c r="Q106" s="25">
        <v>-15380.82</v>
      </c>
      <c r="R106" s="25"/>
      <c r="S106" s="25"/>
      <c r="T106" s="25"/>
      <c r="U106" s="25"/>
      <c r="V106" s="25"/>
      <c r="W106" s="25"/>
      <c r="X106" s="25"/>
      <c r="Y106" s="25">
        <f t="shared" si="14"/>
        <v>-15380.82</v>
      </c>
      <c r="Z106" s="25">
        <f t="shared" si="15"/>
        <v>320080369</v>
      </c>
      <c r="AA106" s="34">
        <f t="shared" si="12"/>
        <v>1</v>
      </c>
    </row>
    <row r="107" spans="1:27" x14ac:dyDescent="0.2">
      <c r="A107" s="282" t="s">
        <v>1188</v>
      </c>
      <c r="B107" s="25">
        <v>3728630074.8400002</v>
      </c>
      <c r="C107" s="25"/>
      <c r="D107" s="25"/>
      <c r="E107" s="25"/>
      <c r="F107" s="448">
        <v>0.84</v>
      </c>
      <c r="G107" s="25"/>
      <c r="H107" s="25"/>
      <c r="I107" s="25">
        <f t="shared" si="13"/>
        <v>3728630074</v>
      </c>
      <c r="J107" s="25"/>
      <c r="K107" s="25">
        <v>3728630074.8400002</v>
      </c>
      <c r="L107" s="25"/>
      <c r="M107" s="25"/>
      <c r="N107" s="25"/>
      <c r="O107" s="25"/>
      <c r="P107" s="25">
        <f t="shared" si="16"/>
        <v>3728630074.8400002</v>
      </c>
      <c r="Q107" s="449">
        <v>-0.84</v>
      </c>
      <c r="R107" s="25"/>
      <c r="S107" s="25"/>
      <c r="T107" s="25"/>
      <c r="U107" s="25"/>
      <c r="V107" s="25"/>
      <c r="W107" s="25"/>
      <c r="X107" s="25"/>
      <c r="Y107" s="25">
        <f t="shared" si="14"/>
        <v>-0.84</v>
      </c>
      <c r="Z107" s="25">
        <f t="shared" si="15"/>
        <v>3728630074</v>
      </c>
      <c r="AA107" s="34">
        <f t="shared" si="12"/>
        <v>1</v>
      </c>
    </row>
    <row r="108" spans="1:27" ht="25.5" x14ac:dyDescent="0.2">
      <c r="A108" s="282" t="s">
        <v>1187</v>
      </c>
      <c r="B108" s="25">
        <v>59423.61</v>
      </c>
      <c r="C108" s="25"/>
      <c r="D108" s="25"/>
      <c r="E108" s="25"/>
      <c r="F108" s="25">
        <v>59423.61</v>
      </c>
      <c r="G108" s="25"/>
      <c r="H108" s="25"/>
      <c r="I108" s="25">
        <f t="shared" si="13"/>
        <v>0</v>
      </c>
      <c r="J108" s="25"/>
      <c r="K108" s="25">
        <v>59423.61</v>
      </c>
      <c r="L108" s="25"/>
      <c r="M108" s="25"/>
      <c r="N108" s="25"/>
      <c r="O108" s="25"/>
      <c r="P108" s="25">
        <f t="shared" si="16"/>
        <v>59423.61</v>
      </c>
      <c r="Q108" s="25">
        <v>-59423.61</v>
      </c>
      <c r="R108" s="25"/>
      <c r="S108" s="25"/>
      <c r="T108" s="25"/>
      <c r="U108" s="25"/>
      <c r="V108" s="25"/>
      <c r="W108" s="25"/>
      <c r="X108" s="25"/>
      <c r="Y108" s="25">
        <f t="shared" si="14"/>
        <v>-59423.61</v>
      </c>
      <c r="Z108" s="25">
        <f t="shared" si="15"/>
        <v>0</v>
      </c>
      <c r="AA108" s="34">
        <v>0</v>
      </c>
    </row>
    <row r="109" spans="1:27" x14ac:dyDescent="0.2">
      <c r="A109" s="282" t="s">
        <v>1186</v>
      </c>
      <c r="B109" s="25">
        <v>85083</v>
      </c>
      <c r="C109" s="25"/>
      <c r="D109" s="25"/>
      <c r="E109" s="25"/>
      <c r="F109" s="25">
        <v>85083</v>
      </c>
      <c r="G109" s="25"/>
      <c r="H109" s="25"/>
      <c r="I109" s="25">
        <f t="shared" si="13"/>
        <v>0</v>
      </c>
      <c r="J109" s="25"/>
      <c r="K109" s="25">
        <v>85083</v>
      </c>
      <c r="L109" s="25"/>
      <c r="M109" s="25"/>
      <c r="N109" s="25"/>
      <c r="O109" s="25"/>
      <c r="P109" s="25">
        <f t="shared" si="16"/>
        <v>85083</v>
      </c>
      <c r="Q109" s="25">
        <v>-85083</v>
      </c>
      <c r="R109" s="25"/>
      <c r="S109" s="25"/>
      <c r="T109" s="25"/>
      <c r="U109" s="25"/>
      <c r="V109" s="25"/>
      <c r="W109" s="25"/>
      <c r="X109" s="25"/>
      <c r="Y109" s="25">
        <f t="shared" si="14"/>
        <v>-85083</v>
      </c>
      <c r="Z109" s="25">
        <f t="shared" si="15"/>
        <v>0</v>
      </c>
      <c r="AA109" s="34">
        <v>0</v>
      </c>
    </row>
    <row r="110" spans="1:27" ht="25.5" x14ac:dyDescent="0.2">
      <c r="A110" s="282" t="s">
        <v>1185</v>
      </c>
      <c r="B110" s="25">
        <v>2565072185.8600001</v>
      </c>
      <c r="C110" s="25"/>
      <c r="D110" s="25"/>
      <c r="E110" s="25"/>
      <c r="F110" s="25">
        <v>966707087.46000004</v>
      </c>
      <c r="G110" s="25"/>
      <c r="H110" s="25"/>
      <c r="I110" s="25">
        <f t="shared" si="13"/>
        <v>1598365098.4000001</v>
      </c>
      <c r="J110" s="25"/>
      <c r="K110" s="25">
        <v>2565072185.8600001</v>
      </c>
      <c r="L110" s="25"/>
      <c r="M110" s="25"/>
      <c r="N110" s="25"/>
      <c r="O110" s="25"/>
      <c r="P110" s="25">
        <f t="shared" si="16"/>
        <v>2565072185.8600001</v>
      </c>
      <c r="Q110" s="25">
        <v>-966707087.46000004</v>
      </c>
      <c r="R110" s="25"/>
      <c r="S110" s="25"/>
      <c r="T110" s="25"/>
      <c r="U110" s="25"/>
      <c r="V110" s="25"/>
      <c r="W110" s="25"/>
      <c r="X110" s="25"/>
      <c r="Y110" s="25">
        <f t="shared" si="14"/>
        <v>-966707087.46000004</v>
      </c>
      <c r="Z110" s="25">
        <f t="shared" si="15"/>
        <v>1598365098.4000001</v>
      </c>
      <c r="AA110" s="34">
        <f t="shared" si="12"/>
        <v>1</v>
      </c>
    </row>
    <row r="111" spans="1:27" x14ac:dyDescent="0.2">
      <c r="A111" s="56" t="s">
        <v>1184</v>
      </c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>
        <f t="shared" si="16"/>
        <v>0</v>
      </c>
      <c r="Q111" s="25"/>
      <c r="R111" s="25"/>
      <c r="S111" s="25"/>
      <c r="T111" s="25"/>
      <c r="U111" s="25"/>
      <c r="V111" s="25"/>
      <c r="W111" s="25"/>
      <c r="X111" s="25"/>
      <c r="Y111" s="25">
        <f t="shared" si="14"/>
        <v>0</v>
      </c>
      <c r="Z111" s="25"/>
      <c r="AA111" s="34"/>
    </row>
    <row r="112" spans="1:27" x14ac:dyDescent="0.2">
      <c r="A112" s="282" t="s">
        <v>1181</v>
      </c>
      <c r="B112" s="25">
        <v>84848531</v>
      </c>
      <c r="C112" s="25"/>
      <c r="D112" s="25"/>
      <c r="E112" s="25"/>
      <c r="F112" s="25"/>
      <c r="G112" s="25"/>
      <c r="H112" s="25"/>
      <c r="I112" s="25">
        <f t="shared" si="13"/>
        <v>84848531</v>
      </c>
      <c r="J112" s="25"/>
      <c r="K112" s="25">
        <v>84848531</v>
      </c>
      <c r="L112" s="25"/>
      <c r="M112" s="25"/>
      <c r="N112" s="25"/>
      <c r="O112" s="25"/>
      <c r="P112" s="25">
        <f t="shared" si="16"/>
        <v>84848531</v>
      </c>
      <c r="Q112" s="25"/>
      <c r="R112" s="25"/>
      <c r="S112" s="25"/>
      <c r="T112" s="25"/>
      <c r="U112" s="25"/>
      <c r="V112" s="25"/>
      <c r="W112" s="25"/>
      <c r="X112" s="25"/>
      <c r="Y112" s="25">
        <f t="shared" si="14"/>
        <v>0</v>
      </c>
      <c r="Z112" s="25">
        <f t="shared" si="15"/>
        <v>84848531</v>
      </c>
      <c r="AA112" s="34">
        <f t="shared" si="12"/>
        <v>1</v>
      </c>
    </row>
    <row r="113" spans="1:27" x14ac:dyDescent="0.2">
      <c r="A113" s="282" t="s">
        <v>1182</v>
      </c>
      <c r="B113" s="25">
        <v>151469</v>
      </c>
      <c r="C113" s="25"/>
      <c r="D113" s="25"/>
      <c r="E113" s="25"/>
      <c r="F113" s="25">
        <v>2607</v>
      </c>
      <c r="G113" s="25"/>
      <c r="H113" s="25"/>
      <c r="I113" s="25">
        <f t="shared" si="13"/>
        <v>148862</v>
      </c>
      <c r="J113" s="25"/>
      <c r="K113" s="25">
        <v>151469</v>
      </c>
      <c r="L113" s="25"/>
      <c r="M113" s="25"/>
      <c r="N113" s="25"/>
      <c r="O113" s="25"/>
      <c r="P113" s="25">
        <f t="shared" si="16"/>
        <v>151469</v>
      </c>
      <c r="Q113" s="25">
        <v>-2607</v>
      </c>
      <c r="R113" s="25"/>
      <c r="S113" s="25"/>
      <c r="T113" s="25"/>
      <c r="U113" s="25"/>
      <c r="V113" s="25"/>
      <c r="W113" s="25"/>
      <c r="X113" s="25"/>
      <c r="Y113" s="25">
        <f t="shared" si="14"/>
        <v>-2607</v>
      </c>
      <c r="Z113" s="25">
        <f t="shared" si="15"/>
        <v>148862</v>
      </c>
      <c r="AA113" s="34">
        <f t="shared" si="12"/>
        <v>1</v>
      </c>
    </row>
    <row r="114" spans="1:27" x14ac:dyDescent="0.2">
      <c r="A114" s="282" t="s">
        <v>1183</v>
      </c>
      <c r="B114" s="25">
        <v>147142567</v>
      </c>
      <c r="C114" s="25"/>
      <c r="D114" s="25"/>
      <c r="E114" s="25"/>
      <c r="F114" s="25"/>
      <c r="G114" s="25"/>
      <c r="H114" s="25"/>
      <c r="I114" s="25">
        <f t="shared" si="13"/>
        <v>147142567</v>
      </c>
      <c r="J114" s="25"/>
      <c r="K114" s="25">
        <v>147142567</v>
      </c>
      <c r="L114" s="25"/>
      <c r="M114" s="25"/>
      <c r="N114" s="25"/>
      <c r="O114" s="25"/>
      <c r="P114" s="25">
        <f t="shared" si="16"/>
        <v>147142567</v>
      </c>
      <c r="Q114" s="25"/>
      <c r="R114" s="25"/>
      <c r="S114" s="25"/>
      <c r="T114" s="25"/>
      <c r="U114" s="25"/>
      <c r="V114" s="25"/>
      <c r="W114" s="25"/>
      <c r="X114" s="25"/>
      <c r="Y114" s="25">
        <f t="shared" si="14"/>
        <v>0</v>
      </c>
      <c r="Z114" s="25">
        <f t="shared" si="15"/>
        <v>147142567</v>
      </c>
      <c r="AA114" s="34">
        <f t="shared" si="12"/>
        <v>1</v>
      </c>
    </row>
    <row r="115" spans="1:27" s="5" customFormat="1" ht="15" x14ac:dyDescent="0.2">
      <c r="A115" s="56" t="s">
        <v>112</v>
      </c>
      <c r="B115" s="23"/>
      <c r="C115" s="23"/>
      <c r="D115" s="23"/>
      <c r="E115" s="23"/>
      <c r="F115" s="23"/>
      <c r="G115" s="23"/>
      <c r="H115" s="23"/>
      <c r="I115" s="25"/>
      <c r="J115" s="23"/>
      <c r="K115" s="23"/>
      <c r="L115" s="23"/>
      <c r="M115" s="23"/>
      <c r="N115" s="23"/>
      <c r="O115" s="23"/>
      <c r="P115" s="25">
        <f t="shared" si="16"/>
        <v>0</v>
      </c>
      <c r="Q115" s="23"/>
      <c r="R115" s="23"/>
      <c r="S115" s="23"/>
      <c r="T115" s="23"/>
      <c r="U115" s="23"/>
      <c r="V115" s="23"/>
      <c r="W115" s="23"/>
      <c r="X115" s="23"/>
      <c r="Y115" s="25">
        <f t="shared" si="14"/>
        <v>0</v>
      </c>
      <c r="Z115" s="25"/>
      <c r="AA115" s="34"/>
    </row>
    <row r="116" spans="1:27" hidden="1" x14ac:dyDescent="0.2">
      <c r="A116" s="301" t="s">
        <v>274</v>
      </c>
      <c r="B116" s="288"/>
      <c r="C116" s="25"/>
      <c r="D116" s="25"/>
      <c r="E116" s="25"/>
      <c r="F116" s="25"/>
      <c r="G116" s="25"/>
      <c r="H116" s="25"/>
      <c r="I116" s="288">
        <f t="shared" si="13"/>
        <v>0</v>
      </c>
      <c r="J116" s="288"/>
      <c r="K116" s="304"/>
      <c r="L116" s="25"/>
      <c r="M116" s="25"/>
      <c r="N116" s="25"/>
      <c r="O116" s="25"/>
      <c r="P116" s="25">
        <f t="shared" si="16"/>
        <v>0</v>
      </c>
      <c r="Q116" s="25"/>
      <c r="R116" s="25"/>
      <c r="S116" s="25"/>
      <c r="T116" s="25"/>
      <c r="U116" s="25"/>
      <c r="V116" s="25"/>
      <c r="W116" s="25"/>
      <c r="X116" s="25"/>
      <c r="Y116" s="25">
        <f t="shared" si="14"/>
        <v>0</v>
      </c>
      <c r="Z116" s="288">
        <f t="shared" si="15"/>
        <v>0</v>
      </c>
      <c r="AA116" s="299" t="e">
        <f t="shared" si="12"/>
        <v>#DIV/0!</v>
      </c>
    </row>
    <row r="117" spans="1:27" x14ac:dyDescent="0.2">
      <c r="A117" s="57" t="s">
        <v>275</v>
      </c>
      <c r="B117" s="25">
        <v>8700000</v>
      </c>
      <c r="C117" s="25"/>
      <c r="D117" s="25"/>
      <c r="E117" s="25"/>
      <c r="F117" s="25"/>
      <c r="G117" s="25"/>
      <c r="H117" s="25"/>
      <c r="I117" s="25">
        <f t="shared" si="13"/>
        <v>8700000</v>
      </c>
      <c r="J117" s="25"/>
      <c r="K117" s="18">
        <v>8700000</v>
      </c>
      <c r="L117" s="25"/>
      <c r="M117" s="25"/>
      <c r="N117" s="25"/>
      <c r="O117" s="25"/>
      <c r="P117" s="25">
        <f t="shared" si="16"/>
        <v>8700000</v>
      </c>
      <c r="Q117" s="25"/>
      <c r="R117" s="25"/>
      <c r="S117" s="25"/>
      <c r="T117" s="25"/>
      <c r="U117" s="25"/>
      <c r="V117" s="25"/>
      <c r="W117" s="25"/>
      <c r="X117" s="25"/>
      <c r="Y117" s="25">
        <f t="shared" si="14"/>
        <v>0</v>
      </c>
      <c r="Z117" s="25">
        <f t="shared" si="15"/>
        <v>8700000</v>
      </c>
      <c r="AA117" s="34">
        <f t="shared" si="12"/>
        <v>1</v>
      </c>
    </row>
    <row r="118" spans="1:27" s="5" customFormat="1" ht="15.75" thickBot="1" x14ac:dyDescent="0.25">
      <c r="A118" s="96" t="s">
        <v>276</v>
      </c>
      <c r="B118" s="97">
        <v>6412197545.4799995</v>
      </c>
      <c r="C118" s="97"/>
      <c r="D118" s="97"/>
      <c r="E118" s="64"/>
      <c r="F118" s="97">
        <v>168938767</v>
      </c>
      <c r="G118" s="97"/>
      <c r="H118" s="97"/>
      <c r="I118" s="25">
        <f t="shared" si="13"/>
        <v>6243258778.4799995</v>
      </c>
      <c r="J118" s="97"/>
      <c r="K118" s="97">
        <v>6412197545.4799995</v>
      </c>
      <c r="L118" s="97"/>
      <c r="M118" s="97"/>
      <c r="N118" s="97"/>
      <c r="O118" s="97"/>
      <c r="P118" s="25">
        <f t="shared" si="16"/>
        <v>6412197545.4799995</v>
      </c>
      <c r="Q118" s="97">
        <v>-168938767</v>
      </c>
      <c r="R118" s="97"/>
      <c r="S118" s="97"/>
      <c r="T118" s="97"/>
      <c r="U118" s="97"/>
      <c r="V118" s="97"/>
      <c r="W118" s="97"/>
      <c r="X118" s="97"/>
      <c r="Y118" s="25">
        <f t="shared" si="14"/>
        <v>-168938767</v>
      </c>
      <c r="Z118" s="25">
        <f t="shared" si="15"/>
        <v>6243258778.4799995</v>
      </c>
      <c r="AA118" s="34">
        <f t="shared" si="12"/>
        <v>1</v>
      </c>
    </row>
    <row r="119" spans="1:27" ht="39.75" thickBot="1" x14ac:dyDescent="0.25">
      <c r="A119" s="98" t="s">
        <v>82</v>
      </c>
      <c r="B119" s="65">
        <f>+B5</f>
        <v>58764935113.12999</v>
      </c>
      <c r="C119" s="65">
        <f t="shared" ref="C119:Z119" si="17">+C5</f>
        <v>0</v>
      </c>
      <c r="D119" s="65">
        <f t="shared" si="17"/>
        <v>0</v>
      </c>
      <c r="E119" s="65">
        <f t="shared" si="17"/>
        <v>0</v>
      </c>
      <c r="F119" s="65">
        <f t="shared" si="17"/>
        <v>2645652911.5499992</v>
      </c>
      <c r="G119" s="65">
        <f t="shared" si="17"/>
        <v>0</v>
      </c>
      <c r="H119" s="65">
        <f t="shared" si="17"/>
        <v>0</v>
      </c>
      <c r="I119" s="65">
        <f t="shared" si="17"/>
        <v>56119282201.579987</v>
      </c>
      <c r="J119" s="65">
        <f t="shared" si="17"/>
        <v>0</v>
      </c>
      <c r="K119" s="65">
        <f t="shared" si="17"/>
        <v>47611800420.929993</v>
      </c>
      <c r="L119" s="65">
        <f t="shared" si="17"/>
        <v>2000000000</v>
      </c>
      <c r="M119" s="65">
        <f t="shared" si="17"/>
        <v>0</v>
      </c>
      <c r="N119" s="65">
        <f t="shared" si="17"/>
        <v>0</v>
      </c>
      <c r="O119" s="65">
        <f t="shared" si="17"/>
        <v>0</v>
      </c>
      <c r="P119" s="65">
        <f t="shared" si="17"/>
        <v>49611800420.929993</v>
      </c>
      <c r="Q119" s="65">
        <f t="shared" si="17"/>
        <v>-2645652911.5499992</v>
      </c>
      <c r="R119" s="65">
        <f t="shared" si="17"/>
        <v>0</v>
      </c>
      <c r="S119" s="65">
        <f t="shared" si="17"/>
        <v>0</v>
      </c>
      <c r="T119" s="65">
        <f t="shared" si="17"/>
        <v>0</v>
      </c>
      <c r="U119" s="65">
        <f t="shared" si="17"/>
        <v>0</v>
      </c>
      <c r="V119" s="65">
        <f t="shared" si="17"/>
        <v>0</v>
      </c>
      <c r="W119" s="65">
        <f t="shared" si="17"/>
        <v>0</v>
      </c>
      <c r="X119" s="65">
        <f t="shared" si="17"/>
        <v>0</v>
      </c>
      <c r="Y119" s="65">
        <f t="shared" si="17"/>
        <v>-2645652911.5499992</v>
      </c>
      <c r="Z119" s="65">
        <f t="shared" si="17"/>
        <v>46966147509.37999</v>
      </c>
      <c r="AA119" s="99">
        <f>+Z119/I119</f>
        <v>0.83689857865034667</v>
      </c>
    </row>
    <row r="120" spans="1:27" ht="15" x14ac:dyDescent="0.2">
      <c r="A120" s="54"/>
      <c r="B120" s="12"/>
      <c r="C120" s="12"/>
      <c r="D120" s="12"/>
      <c r="E120" s="27"/>
      <c r="F120" s="12"/>
      <c r="G120" s="13"/>
      <c r="H120" s="13"/>
      <c r="I120" s="12"/>
      <c r="J120" s="28"/>
      <c r="K120" s="13"/>
      <c r="L120" s="13"/>
      <c r="M120" s="13"/>
      <c r="N120" s="13"/>
      <c r="O120" s="13"/>
      <c r="P120" s="13"/>
      <c r="Q120" s="17"/>
      <c r="R120" s="13"/>
      <c r="S120" s="13"/>
      <c r="T120" s="13"/>
      <c r="U120" s="13"/>
      <c r="V120" s="13"/>
      <c r="W120" s="13"/>
      <c r="X120" s="13"/>
      <c r="Y120" s="13"/>
      <c r="Z120" s="3"/>
      <c r="AA120" s="35"/>
    </row>
    <row r="121" spans="1:27" ht="39" x14ac:dyDescent="0.2">
      <c r="A121" s="84" t="s">
        <v>81</v>
      </c>
      <c r="B121" s="7"/>
      <c r="C121" s="7"/>
      <c r="D121" s="7"/>
      <c r="E121" s="29"/>
      <c r="F121" s="7"/>
      <c r="G121" s="4"/>
      <c r="H121" s="4"/>
      <c r="I121" s="7"/>
      <c r="J121" s="9"/>
      <c r="K121" s="4"/>
      <c r="L121" s="4"/>
      <c r="M121" s="4"/>
      <c r="N121" s="4"/>
      <c r="O121" s="4"/>
      <c r="P121" s="4"/>
      <c r="Q121" s="18"/>
      <c r="R121" s="4"/>
      <c r="S121" s="4"/>
      <c r="T121" s="4"/>
      <c r="U121" s="4"/>
      <c r="V121" s="4"/>
      <c r="W121" s="4"/>
      <c r="X121" s="4"/>
      <c r="Y121" s="4"/>
      <c r="Z121" s="2"/>
      <c r="AA121" s="34"/>
    </row>
    <row r="122" spans="1:27" s="5" customFormat="1" ht="30" x14ac:dyDescent="0.2">
      <c r="A122" s="184" t="s">
        <v>76</v>
      </c>
      <c r="B122" s="23">
        <f>+B123</f>
        <v>18509233606.330002</v>
      </c>
      <c r="C122" s="23">
        <f t="shared" ref="C122:H122" si="18">+C123</f>
        <v>0</v>
      </c>
      <c r="D122" s="23">
        <f t="shared" si="18"/>
        <v>0</v>
      </c>
      <c r="E122" s="23">
        <f t="shared" si="18"/>
        <v>0</v>
      </c>
      <c r="F122" s="23">
        <f t="shared" si="18"/>
        <v>77456672.849999994</v>
      </c>
      <c r="G122" s="23">
        <f t="shared" si="18"/>
        <v>0</v>
      </c>
      <c r="H122" s="23">
        <f t="shared" si="18"/>
        <v>0</v>
      </c>
      <c r="I122" s="23">
        <f>+B122+C122-D122+E122-F122</f>
        <v>18431776933.480003</v>
      </c>
      <c r="J122" s="23">
        <f t="shared" ref="J122:O122" si="19">+J123</f>
        <v>0</v>
      </c>
      <c r="K122" s="23">
        <f t="shared" si="19"/>
        <v>18509233606.330002</v>
      </c>
      <c r="L122" s="23">
        <f t="shared" si="19"/>
        <v>0</v>
      </c>
      <c r="M122" s="23">
        <f t="shared" si="19"/>
        <v>0</v>
      </c>
      <c r="N122" s="23">
        <f t="shared" si="19"/>
        <v>0</v>
      </c>
      <c r="O122" s="23">
        <f t="shared" si="19"/>
        <v>0</v>
      </c>
      <c r="P122" s="23">
        <f t="shared" ref="P122:P124" si="20">SUM(J122:O122)</f>
        <v>18509233606.330002</v>
      </c>
      <c r="Q122" s="23">
        <f t="shared" ref="Q122:X122" si="21">+Q123</f>
        <v>-77456672.849999994</v>
      </c>
      <c r="R122" s="23">
        <f t="shared" si="21"/>
        <v>0</v>
      </c>
      <c r="S122" s="23">
        <f t="shared" si="21"/>
        <v>0</v>
      </c>
      <c r="T122" s="23">
        <f t="shared" si="21"/>
        <v>0</v>
      </c>
      <c r="U122" s="23">
        <f t="shared" si="21"/>
        <v>0</v>
      </c>
      <c r="V122" s="23">
        <f t="shared" si="21"/>
        <v>0</v>
      </c>
      <c r="W122" s="23">
        <f t="shared" si="21"/>
        <v>0</v>
      </c>
      <c r="X122" s="23">
        <f t="shared" si="21"/>
        <v>0</v>
      </c>
      <c r="Y122" s="23">
        <f>+Y123</f>
        <v>-77456672.849999994</v>
      </c>
      <c r="Z122" s="23">
        <f>+P122+Y122</f>
        <v>18431776933.480003</v>
      </c>
      <c r="AA122" s="33">
        <f>+Z122/I122</f>
        <v>1</v>
      </c>
    </row>
    <row r="123" spans="1:27" s="5" customFormat="1" ht="30" x14ac:dyDescent="0.2">
      <c r="A123" s="184" t="s">
        <v>77</v>
      </c>
      <c r="B123" s="23">
        <f>SUM(B125:B169)</f>
        <v>18509233606.330002</v>
      </c>
      <c r="C123" s="23">
        <f t="shared" ref="C123:H123" si="22">SUM(C125:C169)</f>
        <v>0</v>
      </c>
      <c r="D123" s="23">
        <f t="shared" si="22"/>
        <v>0</v>
      </c>
      <c r="E123" s="23">
        <f t="shared" si="22"/>
        <v>0</v>
      </c>
      <c r="F123" s="23">
        <f t="shared" si="22"/>
        <v>77456672.849999994</v>
      </c>
      <c r="G123" s="23">
        <f t="shared" si="22"/>
        <v>0</v>
      </c>
      <c r="H123" s="23">
        <f t="shared" si="22"/>
        <v>0</v>
      </c>
      <c r="I123" s="23">
        <f>+B123+C123-D123+E123-F123</f>
        <v>18431776933.480003</v>
      </c>
      <c r="J123" s="23">
        <f t="shared" ref="J123:O123" si="23">SUM(J125:J169)</f>
        <v>0</v>
      </c>
      <c r="K123" s="23">
        <f t="shared" si="23"/>
        <v>18509233606.330002</v>
      </c>
      <c r="L123" s="23">
        <f t="shared" si="23"/>
        <v>0</v>
      </c>
      <c r="M123" s="23">
        <f t="shared" si="23"/>
        <v>0</v>
      </c>
      <c r="N123" s="23">
        <f t="shared" si="23"/>
        <v>0</v>
      </c>
      <c r="O123" s="23">
        <f t="shared" si="23"/>
        <v>0</v>
      </c>
      <c r="P123" s="23">
        <f t="shared" si="20"/>
        <v>18509233606.330002</v>
      </c>
      <c r="Q123" s="23">
        <f t="shared" ref="Q123:X123" si="24">SUM(Q125:Q169)</f>
        <v>-77456672.849999994</v>
      </c>
      <c r="R123" s="23">
        <f t="shared" si="24"/>
        <v>0</v>
      </c>
      <c r="S123" s="23">
        <f t="shared" si="24"/>
        <v>0</v>
      </c>
      <c r="T123" s="23">
        <f t="shared" si="24"/>
        <v>0</v>
      </c>
      <c r="U123" s="23">
        <f t="shared" si="24"/>
        <v>0</v>
      </c>
      <c r="V123" s="23">
        <f t="shared" si="24"/>
        <v>0</v>
      </c>
      <c r="W123" s="23">
        <f t="shared" si="24"/>
        <v>0</v>
      </c>
      <c r="X123" s="23">
        <f t="shared" si="24"/>
        <v>0</v>
      </c>
      <c r="Y123" s="23">
        <f>SUM(Y125:Y169)</f>
        <v>-77456672.849999994</v>
      </c>
      <c r="Z123" s="23">
        <f t="shared" ref="Z123" si="25">+P123+Y123</f>
        <v>18431776933.480003</v>
      </c>
      <c r="AA123" s="33">
        <f t="shared" ref="AA123" si="26">+Z123/I123</f>
        <v>1</v>
      </c>
    </row>
    <row r="124" spans="1:27" s="5" customFormat="1" ht="15" x14ac:dyDescent="0.2">
      <c r="A124" s="56" t="s">
        <v>44</v>
      </c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5">
        <f t="shared" si="20"/>
        <v>0</v>
      </c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33"/>
    </row>
    <row r="125" spans="1:27" s="5" customFormat="1" ht="15" hidden="1" x14ac:dyDescent="0.2">
      <c r="A125" s="305" t="s">
        <v>45</v>
      </c>
      <c r="B125" s="293"/>
      <c r="C125" s="2"/>
      <c r="D125" s="2"/>
      <c r="E125" s="25"/>
      <c r="F125" s="4"/>
      <c r="G125" s="2"/>
      <c r="H125" s="2"/>
      <c r="I125" s="288">
        <f t="shared" ref="I125:I169" si="27">+B125+C125-D125+E125-F125</f>
        <v>0</v>
      </c>
      <c r="J125" s="291"/>
      <c r="K125" s="291"/>
      <c r="L125" s="2"/>
      <c r="M125" s="2"/>
      <c r="N125" s="2"/>
      <c r="O125" s="2"/>
      <c r="P125" s="25">
        <f t="shared" ref="P125:P169" si="28">SUM(J125:O125)</f>
        <v>0</v>
      </c>
      <c r="Q125" s="4"/>
      <c r="R125" s="2"/>
      <c r="S125" s="2"/>
      <c r="T125" s="2"/>
      <c r="U125" s="2"/>
      <c r="V125" s="4"/>
      <c r="W125" s="2"/>
      <c r="X125" s="2"/>
      <c r="Y125" s="25">
        <f>SUM(Q125:X125)</f>
        <v>0</v>
      </c>
      <c r="Z125" s="288">
        <f>+P125+Y125</f>
        <v>0</v>
      </c>
      <c r="AA125" s="299" t="e">
        <f>+Z125/I125</f>
        <v>#DIV/0!</v>
      </c>
    </row>
    <row r="126" spans="1:27" x14ac:dyDescent="0.2">
      <c r="A126" s="57" t="s">
        <v>255</v>
      </c>
      <c r="B126" s="4">
        <v>200000000</v>
      </c>
      <c r="C126" s="4"/>
      <c r="D126" s="4"/>
      <c r="E126" s="25"/>
      <c r="F126" s="4"/>
      <c r="G126" s="4"/>
      <c r="H126" s="4"/>
      <c r="I126" s="25">
        <f t="shared" si="27"/>
        <v>200000000</v>
      </c>
      <c r="J126" s="4"/>
      <c r="K126" s="4">
        <v>200000000</v>
      </c>
      <c r="L126" s="4"/>
      <c r="M126" s="4"/>
      <c r="N126" s="4"/>
      <c r="O126" s="4"/>
      <c r="P126" s="25">
        <f t="shared" si="28"/>
        <v>200000000</v>
      </c>
      <c r="Q126" s="4"/>
      <c r="R126" s="4"/>
      <c r="S126" s="4"/>
      <c r="T126" s="4"/>
      <c r="U126" s="4"/>
      <c r="V126" s="4"/>
      <c r="W126" s="4"/>
      <c r="X126" s="4"/>
      <c r="Y126" s="25">
        <f t="shared" ref="Y126:Y169" si="29">SUM(Q126:X126)</f>
        <v>0</v>
      </c>
      <c r="Z126" s="25">
        <f t="shared" ref="Z126:Z169" si="30">+P126+Y126</f>
        <v>200000000</v>
      </c>
      <c r="AA126" s="34">
        <f t="shared" ref="AA126:AA169" si="31">+Z126/I126</f>
        <v>1</v>
      </c>
    </row>
    <row r="127" spans="1:27" s="5" customFormat="1" ht="25.5" x14ac:dyDescent="0.2">
      <c r="A127" s="56" t="s">
        <v>46</v>
      </c>
      <c r="B127" s="23"/>
      <c r="C127" s="23"/>
      <c r="D127" s="23"/>
      <c r="E127" s="23"/>
      <c r="F127" s="23"/>
      <c r="G127" s="23"/>
      <c r="H127" s="23"/>
      <c r="I127" s="25"/>
      <c r="J127" s="23"/>
      <c r="K127" s="23"/>
      <c r="L127" s="23"/>
      <c r="M127" s="23"/>
      <c r="N127" s="23"/>
      <c r="O127" s="23"/>
      <c r="P127" s="25">
        <f t="shared" si="28"/>
        <v>0</v>
      </c>
      <c r="Q127" s="23"/>
      <c r="R127" s="23"/>
      <c r="S127" s="23"/>
      <c r="T127" s="23"/>
      <c r="U127" s="23"/>
      <c r="V127" s="23"/>
      <c r="W127" s="23"/>
      <c r="X127" s="23"/>
      <c r="Y127" s="25">
        <f t="shared" si="29"/>
        <v>0</v>
      </c>
      <c r="Z127" s="25"/>
      <c r="AA127" s="34"/>
    </row>
    <row r="128" spans="1:27" s="5" customFormat="1" ht="15" hidden="1" x14ac:dyDescent="0.2">
      <c r="A128" s="305" t="s">
        <v>45</v>
      </c>
      <c r="B128" s="293"/>
      <c r="C128" s="2"/>
      <c r="D128" s="2"/>
      <c r="E128" s="25"/>
      <c r="F128" s="4"/>
      <c r="G128" s="2"/>
      <c r="H128" s="2"/>
      <c r="I128" s="288">
        <f t="shared" si="27"/>
        <v>0</v>
      </c>
      <c r="J128" s="293"/>
      <c r="K128" s="291"/>
      <c r="L128" s="2"/>
      <c r="M128" s="2"/>
      <c r="N128" s="4"/>
      <c r="O128" s="2"/>
      <c r="P128" s="25">
        <f t="shared" si="28"/>
        <v>0</v>
      </c>
      <c r="Q128" s="4"/>
      <c r="R128" s="2"/>
      <c r="S128" s="2"/>
      <c r="T128" s="2"/>
      <c r="U128" s="2"/>
      <c r="V128" s="4"/>
      <c r="W128" s="2"/>
      <c r="X128" s="2"/>
      <c r="Y128" s="25">
        <f t="shared" si="29"/>
        <v>0</v>
      </c>
      <c r="Z128" s="288">
        <f t="shared" si="30"/>
        <v>0</v>
      </c>
      <c r="AA128" s="299" t="e">
        <f t="shared" si="31"/>
        <v>#DIV/0!</v>
      </c>
    </row>
    <row r="129" spans="1:27" s="5" customFormat="1" ht="25.5" x14ac:dyDescent="0.2">
      <c r="A129" s="57" t="s">
        <v>1205</v>
      </c>
      <c r="B129" s="4">
        <v>1202969458</v>
      </c>
      <c r="C129" s="2"/>
      <c r="D129" s="2"/>
      <c r="E129" s="25"/>
      <c r="F129" s="4"/>
      <c r="G129" s="2"/>
      <c r="H129" s="2"/>
      <c r="I129" s="25">
        <f t="shared" si="27"/>
        <v>1202969458</v>
      </c>
      <c r="J129" s="4"/>
      <c r="K129" s="4">
        <v>1202969458</v>
      </c>
      <c r="L129" s="2"/>
      <c r="M129" s="2"/>
      <c r="N129" s="4"/>
      <c r="O129" s="2"/>
      <c r="P129" s="25">
        <f t="shared" si="28"/>
        <v>1202969458</v>
      </c>
      <c r="Q129" s="4"/>
      <c r="R129" s="2"/>
      <c r="S129" s="2"/>
      <c r="T129" s="2"/>
      <c r="U129" s="2"/>
      <c r="V129" s="4"/>
      <c r="W129" s="2"/>
      <c r="X129" s="2"/>
      <c r="Y129" s="25">
        <f t="shared" si="29"/>
        <v>0</v>
      </c>
      <c r="Z129" s="25">
        <f t="shared" si="30"/>
        <v>1202969458</v>
      </c>
      <c r="AA129" s="34">
        <f t="shared" si="31"/>
        <v>1</v>
      </c>
    </row>
    <row r="130" spans="1:27" s="5" customFormat="1" ht="25.5" x14ac:dyDescent="0.2">
      <c r="A130" s="57" t="s">
        <v>1206</v>
      </c>
      <c r="B130" s="4">
        <v>23900000</v>
      </c>
      <c r="C130" s="2"/>
      <c r="D130" s="2"/>
      <c r="E130" s="25"/>
      <c r="F130" s="4"/>
      <c r="G130" s="2"/>
      <c r="H130" s="2"/>
      <c r="I130" s="25">
        <f t="shared" si="27"/>
        <v>23900000</v>
      </c>
      <c r="J130" s="4"/>
      <c r="K130" s="4">
        <v>23900000</v>
      </c>
      <c r="L130" s="2"/>
      <c r="M130" s="2"/>
      <c r="N130" s="4"/>
      <c r="O130" s="2"/>
      <c r="P130" s="25">
        <f t="shared" si="28"/>
        <v>23900000</v>
      </c>
      <c r="Q130" s="4"/>
      <c r="R130" s="2"/>
      <c r="S130" s="2"/>
      <c r="T130" s="2"/>
      <c r="U130" s="2"/>
      <c r="V130" s="4"/>
      <c r="W130" s="2"/>
      <c r="X130" s="2"/>
      <c r="Y130" s="25">
        <f t="shared" si="29"/>
        <v>0</v>
      </c>
      <c r="Z130" s="25">
        <f t="shared" si="30"/>
        <v>23900000</v>
      </c>
      <c r="AA130" s="34">
        <f t="shared" si="31"/>
        <v>1</v>
      </c>
    </row>
    <row r="131" spans="1:27" s="5" customFormat="1" ht="25.5" x14ac:dyDescent="0.2">
      <c r="A131" s="57" t="s">
        <v>1204</v>
      </c>
      <c r="B131" s="4">
        <v>148951050</v>
      </c>
      <c r="C131" s="2"/>
      <c r="D131" s="2"/>
      <c r="E131" s="25"/>
      <c r="F131" s="4"/>
      <c r="G131" s="2"/>
      <c r="H131" s="2"/>
      <c r="I131" s="25">
        <f t="shared" si="27"/>
        <v>148951050</v>
      </c>
      <c r="J131" s="4"/>
      <c r="K131" s="4">
        <v>148951050</v>
      </c>
      <c r="L131" s="2"/>
      <c r="M131" s="2"/>
      <c r="N131" s="4"/>
      <c r="O131" s="2"/>
      <c r="P131" s="25">
        <f t="shared" si="28"/>
        <v>148951050</v>
      </c>
      <c r="Q131" s="4"/>
      <c r="R131" s="2"/>
      <c r="S131" s="2"/>
      <c r="T131" s="2"/>
      <c r="U131" s="2"/>
      <c r="V131" s="4"/>
      <c r="W131" s="2"/>
      <c r="X131" s="2"/>
      <c r="Y131" s="25">
        <f t="shared" si="29"/>
        <v>0</v>
      </c>
      <c r="Z131" s="25">
        <f t="shared" si="30"/>
        <v>148951050</v>
      </c>
      <c r="AA131" s="34">
        <f t="shared" si="31"/>
        <v>1</v>
      </c>
    </row>
    <row r="132" spans="1:27" s="5" customFormat="1" ht="15" x14ac:dyDescent="0.2">
      <c r="A132" s="57" t="s">
        <v>253</v>
      </c>
      <c r="B132" s="4">
        <v>46766290</v>
      </c>
      <c r="C132" s="2"/>
      <c r="D132" s="2"/>
      <c r="E132" s="25"/>
      <c r="F132" s="4">
        <v>400000</v>
      </c>
      <c r="G132" s="2"/>
      <c r="H132" s="2"/>
      <c r="I132" s="25">
        <f t="shared" si="27"/>
        <v>46366290</v>
      </c>
      <c r="J132" s="4"/>
      <c r="K132" s="4">
        <v>46766290</v>
      </c>
      <c r="L132" s="2"/>
      <c r="M132" s="2"/>
      <c r="N132" s="4"/>
      <c r="O132" s="4"/>
      <c r="P132" s="25">
        <f t="shared" si="28"/>
        <v>46766290</v>
      </c>
      <c r="Q132" s="4">
        <v>-400000</v>
      </c>
      <c r="R132" s="4"/>
      <c r="S132" s="2"/>
      <c r="T132" s="2"/>
      <c r="U132" s="2"/>
      <c r="V132" s="4"/>
      <c r="W132" s="2"/>
      <c r="X132" s="2"/>
      <c r="Y132" s="25">
        <f t="shared" si="29"/>
        <v>-400000</v>
      </c>
      <c r="Z132" s="25">
        <f t="shared" si="30"/>
        <v>46366290</v>
      </c>
      <c r="AA132" s="34">
        <f t="shared" si="31"/>
        <v>1</v>
      </c>
    </row>
    <row r="133" spans="1:27" s="5" customFormat="1" ht="15" x14ac:dyDescent="0.2">
      <c r="A133" s="57" t="s">
        <v>254</v>
      </c>
      <c r="B133" s="4">
        <v>1005552681</v>
      </c>
      <c r="C133" s="2"/>
      <c r="D133" s="2"/>
      <c r="E133" s="25"/>
      <c r="F133" s="4"/>
      <c r="G133" s="2"/>
      <c r="H133" s="2"/>
      <c r="I133" s="25">
        <f t="shared" si="27"/>
        <v>1005552681</v>
      </c>
      <c r="J133" s="4"/>
      <c r="K133" s="4">
        <v>1005552681</v>
      </c>
      <c r="L133" s="2"/>
      <c r="M133" s="2"/>
      <c r="N133" s="4"/>
      <c r="O133" s="2"/>
      <c r="P133" s="25">
        <f t="shared" si="28"/>
        <v>1005552681</v>
      </c>
      <c r="Q133" s="4"/>
      <c r="R133" s="2"/>
      <c r="S133" s="2"/>
      <c r="T133" s="2"/>
      <c r="U133" s="2"/>
      <c r="V133" s="4"/>
      <c r="W133" s="2"/>
      <c r="X133" s="2"/>
      <c r="Y133" s="25">
        <f t="shared" si="29"/>
        <v>0</v>
      </c>
      <c r="Z133" s="25">
        <f t="shared" si="30"/>
        <v>1005552681</v>
      </c>
      <c r="AA133" s="34">
        <f t="shared" si="31"/>
        <v>1</v>
      </c>
    </row>
    <row r="134" spans="1:27" x14ac:dyDescent="0.2">
      <c r="A134" s="57" t="s">
        <v>118</v>
      </c>
      <c r="B134" s="4">
        <v>2677474504.25</v>
      </c>
      <c r="C134" s="4"/>
      <c r="D134" s="4"/>
      <c r="E134" s="25"/>
      <c r="F134" s="4"/>
      <c r="G134" s="4"/>
      <c r="H134" s="4"/>
      <c r="I134" s="25">
        <f t="shared" si="27"/>
        <v>2677474504.25</v>
      </c>
      <c r="J134" s="4"/>
      <c r="K134" s="4">
        <v>2677474504.25</v>
      </c>
      <c r="L134" s="4"/>
      <c r="M134" s="4"/>
      <c r="N134" s="4"/>
      <c r="O134" s="4"/>
      <c r="P134" s="25">
        <f t="shared" si="28"/>
        <v>2677474504.25</v>
      </c>
      <c r="Q134" s="4"/>
      <c r="R134" s="4"/>
      <c r="S134" s="4"/>
      <c r="T134" s="4"/>
      <c r="U134" s="4"/>
      <c r="V134" s="4"/>
      <c r="W134" s="4"/>
      <c r="X134" s="4"/>
      <c r="Y134" s="25">
        <f t="shared" si="29"/>
        <v>0</v>
      </c>
      <c r="Z134" s="25">
        <f t="shared" si="30"/>
        <v>2677474504.25</v>
      </c>
      <c r="AA134" s="34">
        <f t="shared" si="31"/>
        <v>1</v>
      </c>
    </row>
    <row r="135" spans="1:27" x14ac:dyDescent="0.2">
      <c r="A135" s="57" t="s">
        <v>252</v>
      </c>
      <c r="B135" s="4">
        <v>4893751601.8299999</v>
      </c>
      <c r="C135" s="4"/>
      <c r="D135" s="4"/>
      <c r="E135" s="25"/>
      <c r="F135" s="4">
        <v>65023334.850000001</v>
      </c>
      <c r="G135" s="4"/>
      <c r="H135" s="4"/>
      <c r="I135" s="25">
        <f t="shared" si="27"/>
        <v>4828728266.9799995</v>
      </c>
      <c r="J135" s="4"/>
      <c r="K135" s="4">
        <v>4893751601.8299999</v>
      </c>
      <c r="L135" s="4"/>
      <c r="M135" s="4"/>
      <c r="N135" s="4"/>
      <c r="O135" s="4"/>
      <c r="P135" s="25">
        <f t="shared" si="28"/>
        <v>4893751601.8299999</v>
      </c>
      <c r="Q135" s="4">
        <v>-65023334.850000001</v>
      </c>
      <c r="R135" s="4"/>
      <c r="S135" s="4"/>
      <c r="T135" s="4"/>
      <c r="U135" s="4"/>
      <c r="W135" s="4"/>
      <c r="X135" s="4"/>
      <c r="Y135" s="25">
        <f t="shared" si="29"/>
        <v>-65023334.850000001</v>
      </c>
      <c r="Z135" s="25">
        <f t="shared" si="30"/>
        <v>4828728266.9799995</v>
      </c>
      <c r="AA135" s="34">
        <f t="shared" si="31"/>
        <v>1</v>
      </c>
    </row>
    <row r="136" spans="1:27" x14ac:dyDescent="0.2">
      <c r="A136" s="57" t="s">
        <v>1179</v>
      </c>
      <c r="B136" s="4">
        <v>399999900</v>
      </c>
      <c r="C136" s="4"/>
      <c r="D136" s="4"/>
      <c r="E136" s="25"/>
      <c r="F136" s="4"/>
      <c r="G136" s="4"/>
      <c r="H136" s="4"/>
      <c r="I136" s="25">
        <f t="shared" si="27"/>
        <v>399999900</v>
      </c>
      <c r="J136" s="4"/>
      <c r="K136" s="4">
        <v>399999900</v>
      </c>
      <c r="L136" s="4"/>
      <c r="M136" s="4"/>
      <c r="N136" s="4"/>
      <c r="O136" s="4"/>
      <c r="P136" s="25">
        <f t="shared" si="28"/>
        <v>399999900</v>
      </c>
      <c r="Q136" s="4"/>
      <c r="R136" s="4"/>
      <c r="S136" s="4"/>
      <c r="T136" s="4"/>
      <c r="U136" s="4"/>
      <c r="V136" s="4"/>
      <c r="W136" s="4"/>
      <c r="X136" s="4"/>
      <c r="Y136" s="25">
        <f t="shared" si="29"/>
        <v>0</v>
      </c>
      <c r="Z136" s="25">
        <f t="shared" si="30"/>
        <v>399999900</v>
      </c>
      <c r="AA136" s="34">
        <f t="shared" si="31"/>
        <v>1</v>
      </c>
    </row>
    <row r="137" spans="1:27" x14ac:dyDescent="0.2">
      <c r="A137" s="57" t="s">
        <v>370</v>
      </c>
      <c r="B137" s="4">
        <v>6383333</v>
      </c>
      <c r="C137" s="4"/>
      <c r="D137" s="4"/>
      <c r="E137" s="25"/>
      <c r="F137" s="4"/>
      <c r="G137" s="4"/>
      <c r="H137" s="4"/>
      <c r="I137" s="25">
        <f t="shared" si="27"/>
        <v>6383333</v>
      </c>
      <c r="J137" s="4"/>
      <c r="K137" s="4">
        <v>6383333</v>
      </c>
      <c r="L137" s="4"/>
      <c r="M137" s="4"/>
      <c r="N137" s="4"/>
      <c r="O137" s="4"/>
      <c r="P137" s="25">
        <f t="shared" si="28"/>
        <v>6383333</v>
      </c>
      <c r="Q137" s="4"/>
      <c r="R137" s="4"/>
      <c r="S137" s="4"/>
      <c r="T137" s="4"/>
      <c r="U137" s="4"/>
      <c r="V137" s="4"/>
      <c r="W137" s="4"/>
      <c r="X137" s="4"/>
      <c r="Y137" s="25">
        <f t="shared" si="29"/>
        <v>0</v>
      </c>
      <c r="Z137" s="25">
        <f t="shared" si="30"/>
        <v>6383333</v>
      </c>
      <c r="AA137" s="34">
        <f t="shared" si="31"/>
        <v>1</v>
      </c>
    </row>
    <row r="138" spans="1:27" ht="25.5" x14ac:dyDescent="0.2">
      <c r="A138" s="57" t="s">
        <v>1195</v>
      </c>
      <c r="B138" s="4">
        <v>96800000</v>
      </c>
      <c r="C138" s="4"/>
      <c r="D138" s="4"/>
      <c r="E138" s="25"/>
      <c r="F138" s="4"/>
      <c r="G138" s="4"/>
      <c r="H138" s="4"/>
      <c r="I138" s="25">
        <f t="shared" si="27"/>
        <v>96800000</v>
      </c>
      <c r="J138" s="4"/>
      <c r="K138" s="4">
        <v>96800000</v>
      </c>
      <c r="L138" s="4"/>
      <c r="M138" s="4"/>
      <c r="N138" s="4"/>
      <c r="O138" s="4"/>
      <c r="P138" s="25">
        <f t="shared" si="28"/>
        <v>96800000</v>
      </c>
      <c r="Q138" s="4"/>
      <c r="R138" s="4"/>
      <c r="S138" s="4"/>
      <c r="T138" s="4"/>
      <c r="U138" s="4"/>
      <c r="V138" s="4"/>
      <c r="W138" s="4"/>
      <c r="X138" s="4"/>
      <c r="Y138" s="25">
        <f t="shared" si="29"/>
        <v>0</v>
      </c>
      <c r="Z138" s="25">
        <f t="shared" si="30"/>
        <v>96800000</v>
      </c>
      <c r="AA138" s="34">
        <f t="shared" si="31"/>
        <v>1</v>
      </c>
    </row>
    <row r="139" spans="1:27" ht="25.5" x14ac:dyDescent="0.2">
      <c r="A139" s="57" t="s">
        <v>1196</v>
      </c>
      <c r="B139" s="4">
        <v>565356762</v>
      </c>
      <c r="C139" s="4"/>
      <c r="D139" s="4"/>
      <c r="E139" s="25"/>
      <c r="F139" s="4"/>
      <c r="G139" s="4"/>
      <c r="H139" s="4"/>
      <c r="I139" s="25">
        <f t="shared" si="27"/>
        <v>565356762</v>
      </c>
      <c r="J139" s="4"/>
      <c r="K139" s="4">
        <v>565356762</v>
      </c>
      <c r="L139" s="4"/>
      <c r="M139" s="4"/>
      <c r="N139" s="4"/>
      <c r="O139" s="4"/>
      <c r="P139" s="25">
        <f t="shared" si="28"/>
        <v>565356762</v>
      </c>
      <c r="Q139" s="4"/>
      <c r="R139" s="4"/>
      <c r="S139" s="4"/>
      <c r="T139" s="4"/>
      <c r="U139" s="4"/>
      <c r="V139" s="4"/>
      <c r="W139" s="4"/>
      <c r="X139" s="4"/>
      <c r="Y139" s="25">
        <f t="shared" si="29"/>
        <v>0</v>
      </c>
      <c r="Z139" s="25">
        <f t="shared" si="30"/>
        <v>565356762</v>
      </c>
      <c r="AA139" s="34">
        <f t="shared" si="31"/>
        <v>1</v>
      </c>
    </row>
    <row r="140" spans="1:27" x14ac:dyDescent="0.2">
      <c r="A140" s="57" t="s">
        <v>1197</v>
      </c>
      <c r="B140" s="4">
        <v>12083333</v>
      </c>
      <c r="C140" s="4"/>
      <c r="D140" s="4"/>
      <c r="E140" s="25"/>
      <c r="F140" s="4">
        <v>1866667</v>
      </c>
      <c r="G140" s="4"/>
      <c r="H140" s="4"/>
      <c r="I140" s="25">
        <f t="shared" si="27"/>
        <v>10216666</v>
      </c>
      <c r="J140" s="4"/>
      <c r="K140" s="4">
        <v>12083333</v>
      </c>
      <c r="L140" s="4"/>
      <c r="M140" s="4"/>
      <c r="N140" s="4"/>
      <c r="O140" s="4"/>
      <c r="P140" s="25">
        <f t="shared" si="28"/>
        <v>12083333</v>
      </c>
      <c r="Q140" s="4">
        <v>-1866667</v>
      </c>
      <c r="R140" s="4"/>
      <c r="S140" s="4"/>
      <c r="T140" s="4"/>
      <c r="U140" s="4"/>
      <c r="V140" s="4"/>
      <c r="W140" s="4"/>
      <c r="X140" s="4"/>
      <c r="Y140" s="25">
        <f t="shared" si="29"/>
        <v>-1866667</v>
      </c>
      <c r="Z140" s="25">
        <f t="shared" si="30"/>
        <v>10216666</v>
      </c>
      <c r="AA140" s="34">
        <f t="shared" si="31"/>
        <v>1</v>
      </c>
    </row>
    <row r="141" spans="1:27" x14ac:dyDescent="0.2">
      <c r="A141" s="57" t="s">
        <v>1198</v>
      </c>
      <c r="B141" s="4">
        <v>174915306</v>
      </c>
      <c r="C141" s="4"/>
      <c r="D141" s="4"/>
      <c r="E141" s="25"/>
      <c r="F141" s="4"/>
      <c r="G141" s="4"/>
      <c r="H141" s="4"/>
      <c r="I141" s="25">
        <f t="shared" si="27"/>
        <v>174915306</v>
      </c>
      <c r="J141" s="4"/>
      <c r="K141" s="4">
        <v>174915306</v>
      </c>
      <c r="L141" s="4"/>
      <c r="M141" s="4"/>
      <c r="N141" s="4"/>
      <c r="O141" s="4"/>
      <c r="P141" s="25">
        <f t="shared" si="28"/>
        <v>174915306</v>
      </c>
      <c r="Q141" s="4"/>
      <c r="R141" s="4"/>
      <c r="S141" s="4"/>
      <c r="T141" s="4"/>
      <c r="U141" s="4"/>
      <c r="V141" s="4"/>
      <c r="W141" s="4"/>
      <c r="X141" s="4"/>
      <c r="Y141" s="25">
        <f t="shared" si="29"/>
        <v>0</v>
      </c>
      <c r="Z141" s="25">
        <f t="shared" si="30"/>
        <v>174915306</v>
      </c>
      <c r="AA141" s="34">
        <f t="shared" si="31"/>
        <v>1</v>
      </c>
    </row>
    <row r="142" spans="1:27" x14ac:dyDescent="0.2">
      <c r="A142" s="57" t="s">
        <v>1199</v>
      </c>
      <c r="B142" s="4">
        <v>39315</v>
      </c>
      <c r="C142" s="4"/>
      <c r="D142" s="4"/>
      <c r="E142" s="25"/>
      <c r="F142" s="4"/>
      <c r="G142" s="4"/>
      <c r="H142" s="4"/>
      <c r="I142" s="25">
        <f t="shared" si="27"/>
        <v>39315</v>
      </c>
      <c r="J142" s="4"/>
      <c r="K142" s="4">
        <v>39315</v>
      </c>
      <c r="L142" s="4"/>
      <c r="M142" s="4"/>
      <c r="N142" s="4"/>
      <c r="O142" s="4"/>
      <c r="P142" s="25">
        <f t="shared" si="28"/>
        <v>39315</v>
      </c>
      <c r="Q142" s="4"/>
      <c r="R142" s="4"/>
      <c r="S142" s="4"/>
      <c r="T142" s="4"/>
      <c r="U142" s="4"/>
      <c r="V142" s="4"/>
      <c r="W142" s="4"/>
      <c r="X142" s="4"/>
      <c r="Y142" s="25">
        <f t="shared" si="29"/>
        <v>0</v>
      </c>
      <c r="Z142" s="25">
        <f t="shared" si="30"/>
        <v>39315</v>
      </c>
      <c r="AA142" s="34">
        <f t="shared" si="31"/>
        <v>1</v>
      </c>
    </row>
    <row r="143" spans="1:27" x14ac:dyDescent="0.2">
      <c r="A143" s="57" t="s">
        <v>1200</v>
      </c>
      <c r="B143" s="4">
        <v>116893409.25</v>
      </c>
      <c r="C143" s="4"/>
      <c r="D143" s="4"/>
      <c r="E143" s="25"/>
      <c r="F143" s="4"/>
      <c r="G143" s="4"/>
      <c r="H143" s="4"/>
      <c r="I143" s="25">
        <f t="shared" si="27"/>
        <v>116893409.25</v>
      </c>
      <c r="J143" s="4"/>
      <c r="K143" s="4">
        <v>116893409.25</v>
      </c>
      <c r="L143" s="4"/>
      <c r="M143" s="4"/>
      <c r="N143" s="4"/>
      <c r="O143" s="4"/>
      <c r="P143" s="25">
        <f t="shared" si="28"/>
        <v>116893409.25</v>
      </c>
      <c r="Q143" s="4"/>
      <c r="R143" s="4"/>
      <c r="S143" s="4"/>
      <c r="T143" s="4"/>
      <c r="U143" s="4"/>
      <c r="V143" s="4"/>
      <c r="W143" s="4"/>
      <c r="X143" s="4"/>
      <c r="Y143" s="25">
        <f t="shared" si="29"/>
        <v>0</v>
      </c>
      <c r="Z143" s="25">
        <f t="shared" si="30"/>
        <v>116893409.25</v>
      </c>
      <c r="AA143" s="34">
        <f t="shared" si="31"/>
        <v>1</v>
      </c>
    </row>
    <row r="144" spans="1:27" x14ac:dyDescent="0.2">
      <c r="A144" s="57" t="s">
        <v>1201</v>
      </c>
      <c r="B144" s="4">
        <v>7712640</v>
      </c>
      <c r="C144" s="4"/>
      <c r="D144" s="4"/>
      <c r="E144" s="25"/>
      <c r="F144" s="4"/>
      <c r="G144" s="4"/>
      <c r="H144" s="4"/>
      <c r="I144" s="25">
        <f t="shared" si="27"/>
        <v>7712640</v>
      </c>
      <c r="J144" s="4"/>
      <c r="K144" s="4">
        <v>7712640</v>
      </c>
      <c r="L144" s="4"/>
      <c r="M144" s="4"/>
      <c r="N144" s="4"/>
      <c r="O144" s="4"/>
      <c r="P144" s="25">
        <f t="shared" si="28"/>
        <v>7712640</v>
      </c>
      <c r="Q144" s="4"/>
      <c r="R144" s="4"/>
      <c r="S144" s="4"/>
      <c r="T144" s="4"/>
      <c r="U144" s="4"/>
      <c r="V144" s="4"/>
      <c r="W144" s="4"/>
      <c r="X144" s="4"/>
      <c r="Y144" s="25">
        <f t="shared" si="29"/>
        <v>0</v>
      </c>
      <c r="Z144" s="25">
        <f t="shared" si="30"/>
        <v>7712640</v>
      </c>
      <c r="AA144" s="34">
        <f t="shared" si="31"/>
        <v>1</v>
      </c>
    </row>
    <row r="145" spans="1:27" ht="25.5" x14ac:dyDescent="0.2">
      <c r="A145" s="57" t="s">
        <v>372</v>
      </c>
      <c r="B145" s="4">
        <v>84911089.75</v>
      </c>
      <c r="C145" s="4"/>
      <c r="D145" s="4"/>
      <c r="E145" s="25"/>
      <c r="F145" s="4"/>
      <c r="G145" s="4"/>
      <c r="H145" s="4"/>
      <c r="I145" s="25">
        <f t="shared" si="27"/>
        <v>84911089.75</v>
      </c>
      <c r="J145" s="4"/>
      <c r="K145" s="4">
        <v>84911089.75</v>
      </c>
      <c r="L145" s="4"/>
      <c r="M145" s="4"/>
      <c r="N145" s="4"/>
      <c r="O145" s="4"/>
      <c r="P145" s="25">
        <f t="shared" si="28"/>
        <v>84911089.75</v>
      </c>
      <c r="Q145" s="4"/>
      <c r="R145" s="4"/>
      <c r="S145" s="4"/>
      <c r="T145" s="4"/>
      <c r="U145" s="4"/>
      <c r="V145" s="4"/>
      <c r="W145" s="4"/>
      <c r="X145" s="4"/>
      <c r="Y145" s="25">
        <f t="shared" si="29"/>
        <v>0</v>
      </c>
      <c r="Z145" s="25">
        <f t="shared" si="30"/>
        <v>84911089.75</v>
      </c>
      <c r="AA145" s="34">
        <f t="shared" si="31"/>
        <v>1</v>
      </c>
    </row>
    <row r="146" spans="1:27" ht="25.5" x14ac:dyDescent="0.2">
      <c r="A146" s="57" t="s">
        <v>1202</v>
      </c>
      <c r="B146" s="4">
        <v>124381967</v>
      </c>
      <c r="C146" s="4"/>
      <c r="D146" s="4"/>
      <c r="E146" s="25"/>
      <c r="F146" s="4">
        <v>5366671</v>
      </c>
      <c r="G146" s="4"/>
      <c r="H146" s="4"/>
      <c r="I146" s="25">
        <f t="shared" si="27"/>
        <v>119015296</v>
      </c>
      <c r="J146" s="4"/>
      <c r="K146" s="4">
        <v>124381967</v>
      </c>
      <c r="L146" s="4"/>
      <c r="M146" s="4"/>
      <c r="N146" s="4"/>
      <c r="O146" s="4"/>
      <c r="P146" s="25">
        <f t="shared" si="28"/>
        <v>124381967</v>
      </c>
      <c r="Q146" s="4">
        <v>-5366671</v>
      </c>
      <c r="R146" s="4"/>
      <c r="S146" s="4"/>
      <c r="T146" s="4"/>
      <c r="U146" s="4"/>
      <c r="V146" s="4"/>
      <c r="W146" s="4"/>
      <c r="X146" s="4"/>
      <c r="Y146" s="25">
        <f t="shared" si="29"/>
        <v>-5366671</v>
      </c>
      <c r="Z146" s="25">
        <f t="shared" si="30"/>
        <v>119015296</v>
      </c>
      <c r="AA146" s="34">
        <f t="shared" si="31"/>
        <v>1</v>
      </c>
    </row>
    <row r="147" spans="1:27" x14ac:dyDescent="0.2">
      <c r="A147" s="57" t="s">
        <v>1203</v>
      </c>
      <c r="B147" s="4">
        <v>2159340</v>
      </c>
      <c r="C147" s="4"/>
      <c r="D147" s="4"/>
      <c r="E147" s="25"/>
      <c r="F147" s="4"/>
      <c r="G147" s="4"/>
      <c r="H147" s="4"/>
      <c r="I147" s="25">
        <f t="shared" si="27"/>
        <v>2159340</v>
      </c>
      <c r="J147" s="4"/>
      <c r="K147" s="4">
        <v>2159340</v>
      </c>
      <c r="L147" s="4"/>
      <c r="M147" s="4"/>
      <c r="N147" s="4"/>
      <c r="O147" s="4"/>
      <c r="P147" s="25">
        <f t="shared" si="28"/>
        <v>2159340</v>
      </c>
      <c r="Q147" s="4"/>
      <c r="R147" s="4"/>
      <c r="S147" s="4"/>
      <c r="T147" s="4"/>
      <c r="U147" s="4"/>
      <c r="V147" s="4"/>
      <c r="W147" s="4"/>
      <c r="X147" s="4"/>
      <c r="Y147" s="25">
        <f t="shared" si="29"/>
        <v>0</v>
      </c>
      <c r="Z147" s="25">
        <f t="shared" si="30"/>
        <v>2159340</v>
      </c>
      <c r="AA147" s="34">
        <f t="shared" si="31"/>
        <v>1</v>
      </c>
    </row>
    <row r="148" spans="1:27" ht="25.5" hidden="1" x14ac:dyDescent="0.2">
      <c r="A148" s="301" t="s">
        <v>278</v>
      </c>
      <c r="B148" s="291"/>
      <c r="C148" s="4"/>
      <c r="D148" s="4"/>
      <c r="E148" s="25"/>
      <c r="F148" s="4"/>
      <c r="G148" s="4"/>
      <c r="H148" s="4"/>
      <c r="I148" s="288">
        <f t="shared" si="27"/>
        <v>0</v>
      </c>
      <c r="J148" s="291"/>
      <c r="K148" s="291"/>
      <c r="L148" s="4"/>
      <c r="M148" s="4"/>
      <c r="N148" s="4"/>
      <c r="O148" s="4"/>
      <c r="P148" s="25">
        <f t="shared" si="28"/>
        <v>0</v>
      </c>
      <c r="Q148" s="4"/>
      <c r="R148" s="4"/>
      <c r="S148" s="4"/>
      <c r="T148" s="4"/>
      <c r="U148" s="4"/>
      <c r="V148" s="4"/>
      <c r="W148" s="4"/>
      <c r="X148" s="4"/>
      <c r="Y148" s="25">
        <f t="shared" si="29"/>
        <v>0</v>
      </c>
      <c r="Z148" s="288">
        <f t="shared" si="30"/>
        <v>0</v>
      </c>
      <c r="AA148" s="299" t="e">
        <f t="shared" si="31"/>
        <v>#DIV/0!</v>
      </c>
    </row>
    <row r="149" spans="1:27" ht="25.5" x14ac:dyDescent="0.2">
      <c r="A149" s="57" t="s">
        <v>256</v>
      </c>
      <c r="B149" s="4">
        <v>105989181</v>
      </c>
      <c r="C149" s="4"/>
      <c r="D149" s="4"/>
      <c r="E149" s="25"/>
      <c r="F149" s="4"/>
      <c r="G149" s="4"/>
      <c r="H149" s="4"/>
      <c r="I149" s="25">
        <f t="shared" si="27"/>
        <v>105989181</v>
      </c>
      <c r="J149" s="4"/>
      <c r="K149" s="4">
        <v>105989181</v>
      </c>
      <c r="L149" s="4"/>
      <c r="M149" s="4"/>
      <c r="N149" s="4"/>
      <c r="O149" s="4"/>
      <c r="P149" s="25">
        <f t="shared" si="28"/>
        <v>105989181</v>
      </c>
      <c r="Q149" s="4"/>
      <c r="R149" s="4"/>
      <c r="S149" s="4"/>
      <c r="T149" s="4"/>
      <c r="U149" s="4"/>
      <c r="V149" s="4"/>
      <c r="W149" s="4"/>
      <c r="X149" s="4"/>
      <c r="Y149" s="25">
        <f t="shared" si="29"/>
        <v>0</v>
      </c>
      <c r="Z149" s="25">
        <f t="shared" si="30"/>
        <v>105989181</v>
      </c>
      <c r="AA149" s="34">
        <f t="shared" si="31"/>
        <v>1</v>
      </c>
    </row>
    <row r="150" spans="1:27" s="5" customFormat="1" ht="15" x14ac:dyDescent="0.2">
      <c r="A150" s="56" t="s">
        <v>78</v>
      </c>
      <c r="B150" s="23"/>
      <c r="C150" s="23"/>
      <c r="D150" s="23"/>
      <c r="E150" s="23"/>
      <c r="F150" s="23"/>
      <c r="G150" s="23"/>
      <c r="H150" s="23"/>
      <c r="I150" s="25"/>
      <c r="J150" s="23"/>
      <c r="K150" s="23"/>
      <c r="L150" s="23"/>
      <c r="M150" s="23"/>
      <c r="N150" s="23"/>
      <c r="O150" s="23"/>
      <c r="P150" s="25">
        <f t="shared" si="28"/>
        <v>0</v>
      </c>
      <c r="Q150" s="23"/>
      <c r="R150" s="23"/>
      <c r="S150" s="23"/>
      <c r="T150" s="23"/>
      <c r="U150" s="23"/>
      <c r="V150" s="23"/>
      <c r="W150" s="23"/>
      <c r="X150" s="23"/>
      <c r="Y150" s="25">
        <f t="shared" si="29"/>
        <v>0</v>
      </c>
      <c r="Z150" s="25"/>
      <c r="AA150" s="34"/>
    </row>
    <row r="151" spans="1:27" s="5" customFormat="1" ht="25.5" x14ac:dyDescent="0.2">
      <c r="A151" s="56" t="s">
        <v>79</v>
      </c>
      <c r="B151" s="23"/>
      <c r="C151" s="23"/>
      <c r="D151" s="23"/>
      <c r="E151" s="23"/>
      <c r="F151" s="23"/>
      <c r="G151" s="23"/>
      <c r="H151" s="23"/>
      <c r="I151" s="25"/>
      <c r="J151" s="23"/>
      <c r="K151" s="23"/>
      <c r="L151" s="23"/>
      <c r="M151" s="23"/>
      <c r="N151" s="23"/>
      <c r="O151" s="23"/>
      <c r="P151" s="25">
        <f t="shared" si="28"/>
        <v>0</v>
      </c>
      <c r="Q151" s="23"/>
      <c r="R151" s="23"/>
      <c r="S151" s="23"/>
      <c r="T151" s="23"/>
      <c r="U151" s="23"/>
      <c r="V151" s="23"/>
      <c r="W151" s="23"/>
      <c r="X151" s="23"/>
      <c r="Y151" s="25">
        <f t="shared" si="29"/>
        <v>0</v>
      </c>
      <c r="Z151" s="25"/>
      <c r="AA151" s="34"/>
    </row>
    <row r="152" spans="1:27" s="5" customFormat="1" ht="15" x14ac:dyDescent="0.2">
      <c r="A152" s="183" t="s">
        <v>109</v>
      </c>
      <c r="B152" s="4">
        <v>2999760</v>
      </c>
      <c r="C152" s="2"/>
      <c r="D152" s="2"/>
      <c r="E152" s="25"/>
      <c r="F152" s="4"/>
      <c r="G152" s="2"/>
      <c r="H152" s="2"/>
      <c r="I152" s="25">
        <f t="shared" si="27"/>
        <v>2999760</v>
      </c>
      <c r="J152" s="4"/>
      <c r="K152" s="4">
        <v>2999760</v>
      </c>
      <c r="L152" s="2"/>
      <c r="M152" s="2"/>
      <c r="N152" s="4"/>
      <c r="O152" s="2"/>
      <c r="P152" s="25">
        <f t="shared" si="28"/>
        <v>2999760</v>
      </c>
      <c r="Q152" s="2"/>
      <c r="R152" s="4"/>
      <c r="S152" s="2"/>
      <c r="T152" s="2"/>
      <c r="U152" s="2"/>
      <c r="V152" s="4"/>
      <c r="W152" s="2"/>
      <c r="X152" s="2"/>
      <c r="Y152" s="25">
        <f t="shared" si="29"/>
        <v>0</v>
      </c>
      <c r="Z152" s="25">
        <f t="shared" si="30"/>
        <v>2999760</v>
      </c>
      <c r="AA152" s="34">
        <f t="shared" si="31"/>
        <v>1</v>
      </c>
    </row>
    <row r="153" spans="1:27" s="5" customFormat="1" ht="15" x14ac:dyDescent="0.2">
      <c r="A153" s="57" t="s">
        <v>365</v>
      </c>
      <c r="B153" s="4">
        <v>109164816</v>
      </c>
      <c r="C153" s="2"/>
      <c r="D153" s="2"/>
      <c r="E153" s="25"/>
      <c r="F153" s="4"/>
      <c r="G153" s="2"/>
      <c r="H153" s="2"/>
      <c r="I153" s="25">
        <f t="shared" si="27"/>
        <v>109164816</v>
      </c>
      <c r="J153" s="4"/>
      <c r="K153" s="4">
        <v>109164816</v>
      </c>
      <c r="L153" s="2"/>
      <c r="M153" s="2"/>
      <c r="N153" s="4"/>
      <c r="O153" s="2"/>
      <c r="P153" s="25">
        <f t="shared" si="28"/>
        <v>109164816</v>
      </c>
      <c r="Q153" s="2"/>
      <c r="R153" s="4"/>
      <c r="S153" s="2"/>
      <c r="T153" s="2"/>
      <c r="U153" s="2"/>
      <c r="V153" s="4"/>
      <c r="W153" s="2"/>
      <c r="X153" s="2"/>
      <c r="Y153" s="25">
        <f t="shared" si="29"/>
        <v>0</v>
      </c>
      <c r="Z153" s="25">
        <f t="shared" si="30"/>
        <v>109164816</v>
      </c>
      <c r="AA153" s="34">
        <f t="shared" si="31"/>
        <v>1</v>
      </c>
    </row>
    <row r="154" spans="1:27" s="5" customFormat="1" ht="25.5" hidden="1" x14ac:dyDescent="0.2">
      <c r="A154" s="301" t="s">
        <v>122</v>
      </c>
      <c r="B154" s="291"/>
      <c r="C154" s="4"/>
      <c r="D154" s="4"/>
      <c r="E154" s="25"/>
      <c r="F154" s="4"/>
      <c r="G154" s="4"/>
      <c r="H154" s="4"/>
      <c r="I154" s="288">
        <f t="shared" si="27"/>
        <v>0</v>
      </c>
      <c r="J154" s="291"/>
      <c r="K154" s="291"/>
      <c r="L154" s="4"/>
      <c r="M154" s="4"/>
      <c r="N154" s="4"/>
      <c r="O154" s="4"/>
      <c r="P154" s="25">
        <f t="shared" si="28"/>
        <v>0</v>
      </c>
      <c r="Q154" s="4"/>
      <c r="R154" s="4"/>
      <c r="S154" s="4"/>
      <c r="T154" s="4"/>
      <c r="U154" s="4"/>
      <c r="V154" s="4"/>
      <c r="W154" s="4"/>
      <c r="X154" s="4"/>
      <c r="Y154" s="25">
        <f t="shared" si="29"/>
        <v>0</v>
      </c>
      <c r="Z154" s="288">
        <f t="shared" si="30"/>
        <v>0</v>
      </c>
      <c r="AA154" s="299" t="e">
        <f t="shared" si="31"/>
        <v>#DIV/0!</v>
      </c>
    </row>
    <row r="155" spans="1:27" s="5" customFormat="1" ht="25.5" x14ac:dyDescent="0.2">
      <c r="A155" s="57" t="s">
        <v>257</v>
      </c>
      <c r="B155" s="4">
        <v>37707521.490000002</v>
      </c>
      <c r="C155" s="4"/>
      <c r="D155" s="4"/>
      <c r="E155" s="25"/>
      <c r="F155" s="4">
        <v>3500000</v>
      </c>
      <c r="G155" s="4"/>
      <c r="H155" s="4"/>
      <c r="I155" s="25">
        <f t="shared" si="27"/>
        <v>34207521.490000002</v>
      </c>
      <c r="J155" s="4"/>
      <c r="K155" s="4">
        <v>37707521.490000002</v>
      </c>
      <c r="L155" s="4"/>
      <c r="M155" s="4"/>
      <c r="N155" s="4"/>
      <c r="O155" s="4"/>
      <c r="P155" s="25">
        <f t="shared" si="28"/>
        <v>37707521.490000002</v>
      </c>
      <c r="Q155" s="4">
        <v>-3500000</v>
      </c>
      <c r="R155" s="4"/>
      <c r="S155" s="4"/>
      <c r="T155" s="4"/>
      <c r="U155" s="4"/>
      <c r="V155" s="4"/>
      <c r="W155" s="4"/>
      <c r="X155" s="4"/>
      <c r="Y155" s="25">
        <f t="shared" si="29"/>
        <v>-3500000</v>
      </c>
      <c r="Z155" s="25">
        <f t="shared" si="30"/>
        <v>34207521.490000002</v>
      </c>
      <c r="AA155" s="34">
        <f t="shared" si="31"/>
        <v>1</v>
      </c>
    </row>
    <row r="156" spans="1:27" s="5" customFormat="1" ht="15" hidden="1" x14ac:dyDescent="0.2">
      <c r="A156" s="301" t="s">
        <v>369</v>
      </c>
      <c r="B156" s="291"/>
      <c r="C156" s="4"/>
      <c r="D156" s="4"/>
      <c r="E156" s="25"/>
      <c r="F156" s="4"/>
      <c r="G156" s="4"/>
      <c r="H156" s="4"/>
      <c r="I156" s="288">
        <f t="shared" si="27"/>
        <v>0</v>
      </c>
      <c r="J156" s="291"/>
      <c r="K156" s="291"/>
      <c r="L156" s="4"/>
      <c r="M156" s="4"/>
      <c r="N156" s="4"/>
      <c r="O156" s="4"/>
      <c r="P156" s="25">
        <f t="shared" si="28"/>
        <v>0</v>
      </c>
      <c r="Q156" s="4"/>
      <c r="R156" s="4"/>
      <c r="S156" s="4"/>
      <c r="T156" s="4"/>
      <c r="U156" s="4"/>
      <c r="V156" s="4"/>
      <c r="W156" s="4"/>
      <c r="X156" s="4"/>
      <c r="Y156" s="25">
        <f t="shared" si="29"/>
        <v>0</v>
      </c>
      <c r="Z156" s="288">
        <f t="shared" si="30"/>
        <v>0</v>
      </c>
      <c r="AA156" s="299" t="e">
        <f t="shared" si="31"/>
        <v>#DIV/0!</v>
      </c>
    </row>
    <row r="157" spans="1:27" s="5" customFormat="1" ht="25.5" hidden="1" x14ac:dyDescent="0.2">
      <c r="A157" s="301" t="s">
        <v>372</v>
      </c>
      <c r="B157" s="291"/>
      <c r="C157" s="4"/>
      <c r="D157" s="4"/>
      <c r="E157" s="25"/>
      <c r="F157" s="4"/>
      <c r="G157" s="4"/>
      <c r="H157" s="4"/>
      <c r="I157" s="288">
        <f t="shared" si="27"/>
        <v>0</v>
      </c>
      <c r="J157" s="291"/>
      <c r="K157" s="291"/>
      <c r="L157" s="4"/>
      <c r="M157" s="4"/>
      <c r="N157" s="4"/>
      <c r="O157" s="4"/>
      <c r="P157" s="25">
        <f t="shared" si="28"/>
        <v>0</v>
      </c>
      <c r="Q157" s="4"/>
      <c r="R157" s="4"/>
      <c r="S157" s="4"/>
      <c r="T157" s="4"/>
      <c r="U157" s="4"/>
      <c r="V157" s="4"/>
      <c r="W157" s="4"/>
      <c r="X157" s="4"/>
      <c r="Y157" s="25">
        <f t="shared" si="29"/>
        <v>0</v>
      </c>
      <c r="Z157" s="288">
        <f t="shared" si="30"/>
        <v>0</v>
      </c>
      <c r="AA157" s="299" t="e">
        <f t="shared" si="31"/>
        <v>#DIV/0!</v>
      </c>
    </row>
    <row r="158" spans="1:27" s="5" customFormat="1" ht="15" hidden="1" x14ac:dyDescent="0.2">
      <c r="A158" s="301" t="s">
        <v>366</v>
      </c>
      <c r="B158" s="291"/>
      <c r="C158" s="4"/>
      <c r="D158" s="4"/>
      <c r="E158" s="25"/>
      <c r="F158" s="4"/>
      <c r="G158" s="4"/>
      <c r="H158" s="4"/>
      <c r="I158" s="288">
        <f t="shared" si="27"/>
        <v>0</v>
      </c>
      <c r="J158" s="291"/>
      <c r="K158" s="291"/>
      <c r="L158" s="4"/>
      <c r="M158" s="4"/>
      <c r="N158" s="4"/>
      <c r="O158" s="4"/>
      <c r="P158" s="25">
        <f t="shared" si="28"/>
        <v>0</v>
      </c>
      <c r="Q158" s="4"/>
      <c r="R158" s="4"/>
      <c r="S158" s="4"/>
      <c r="T158" s="4"/>
      <c r="U158" s="4"/>
      <c r="V158" s="4"/>
      <c r="W158" s="4"/>
      <c r="X158" s="4"/>
      <c r="Y158" s="25">
        <f t="shared" si="29"/>
        <v>0</v>
      </c>
      <c r="Z158" s="288">
        <f t="shared" si="30"/>
        <v>0</v>
      </c>
      <c r="AA158" s="299" t="e">
        <f t="shared" si="31"/>
        <v>#DIV/0!</v>
      </c>
    </row>
    <row r="159" spans="1:27" s="5" customFormat="1" ht="25.5" hidden="1" x14ac:dyDescent="0.2">
      <c r="A159" s="301" t="s">
        <v>368</v>
      </c>
      <c r="B159" s="291"/>
      <c r="C159" s="4"/>
      <c r="D159" s="4"/>
      <c r="E159" s="25"/>
      <c r="F159" s="4"/>
      <c r="G159" s="4"/>
      <c r="H159" s="4"/>
      <c r="I159" s="288">
        <f t="shared" si="27"/>
        <v>0</v>
      </c>
      <c r="J159" s="291"/>
      <c r="K159" s="291"/>
      <c r="L159" s="4"/>
      <c r="M159" s="4"/>
      <c r="N159" s="4"/>
      <c r="O159" s="4"/>
      <c r="P159" s="25">
        <f t="shared" si="28"/>
        <v>0</v>
      </c>
      <c r="Q159" s="4"/>
      <c r="R159" s="4"/>
      <c r="S159" s="4"/>
      <c r="T159" s="4"/>
      <c r="U159" s="4"/>
      <c r="V159" s="4"/>
      <c r="W159" s="4"/>
      <c r="X159" s="4"/>
      <c r="Y159" s="25">
        <f t="shared" si="29"/>
        <v>0</v>
      </c>
      <c r="Z159" s="288">
        <f t="shared" si="30"/>
        <v>0</v>
      </c>
      <c r="AA159" s="299" t="e">
        <f t="shared" si="31"/>
        <v>#DIV/0!</v>
      </c>
    </row>
    <row r="160" spans="1:27" s="5" customFormat="1" ht="15" x14ac:dyDescent="0.2">
      <c r="A160" s="57" t="s">
        <v>1209</v>
      </c>
      <c r="B160" s="4">
        <v>22719141.93</v>
      </c>
      <c r="C160" s="4"/>
      <c r="D160" s="4"/>
      <c r="E160" s="25"/>
      <c r="F160" s="4"/>
      <c r="G160" s="4"/>
      <c r="H160" s="4"/>
      <c r="I160" s="25">
        <f t="shared" si="27"/>
        <v>22719141.93</v>
      </c>
      <c r="J160" s="4"/>
      <c r="K160" s="4">
        <v>22719141.93</v>
      </c>
      <c r="L160" s="4"/>
      <c r="M160" s="4"/>
      <c r="N160" s="4"/>
      <c r="O160" s="4"/>
      <c r="P160" s="25">
        <f t="shared" si="28"/>
        <v>22719141.93</v>
      </c>
      <c r="Q160" s="4"/>
      <c r="R160" s="4"/>
      <c r="S160" s="4"/>
      <c r="T160" s="4"/>
      <c r="U160" s="4"/>
      <c r="V160" s="4"/>
      <c r="W160" s="4"/>
      <c r="X160" s="4"/>
      <c r="Y160" s="25">
        <f t="shared" si="29"/>
        <v>0</v>
      </c>
      <c r="Z160" s="25">
        <f t="shared" si="30"/>
        <v>22719141.93</v>
      </c>
      <c r="AA160" s="34">
        <f t="shared" si="31"/>
        <v>1</v>
      </c>
    </row>
    <row r="161" spans="1:27" s="5" customFormat="1" ht="25.5" x14ac:dyDescent="0.2">
      <c r="A161" s="57" t="s">
        <v>123</v>
      </c>
      <c r="B161" s="4">
        <v>17086</v>
      </c>
      <c r="C161" s="4"/>
      <c r="D161" s="4"/>
      <c r="E161" s="25"/>
      <c r="F161" s="4"/>
      <c r="G161" s="4"/>
      <c r="H161" s="4"/>
      <c r="I161" s="25">
        <f t="shared" si="27"/>
        <v>17086</v>
      </c>
      <c r="J161" s="4"/>
      <c r="K161" s="4">
        <v>17086</v>
      </c>
      <c r="L161" s="4"/>
      <c r="M161" s="4"/>
      <c r="N161" s="4"/>
      <c r="O161" s="4"/>
      <c r="P161" s="25">
        <f t="shared" si="28"/>
        <v>17086</v>
      </c>
      <c r="Q161" s="4"/>
      <c r="R161" s="4"/>
      <c r="S161" s="4"/>
      <c r="T161" s="4"/>
      <c r="U161" s="4"/>
      <c r="V161" s="4"/>
      <c r="W161" s="4"/>
      <c r="X161" s="4"/>
      <c r="Y161" s="25">
        <f t="shared" si="29"/>
        <v>0</v>
      </c>
      <c r="Z161" s="25">
        <f t="shared" si="30"/>
        <v>17086</v>
      </c>
      <c r="AA161" s="34">
        <f t="shared" si="31"/>
        <v>1</v>
      </c>
    </row>
    <row r="162" spans="1:27" s="5" customFormat="1" ht="15" x14ac:dyDescent="0.2">
      <c r="A162" s="57" t="s">
        <v>277</v>
      </c>
      <c r="B162" s="4">
        <v>5418391443.46</v>
      </c>
      <c r="C162" s="4"/>
      <c r="D162" s="4"/>
      <c r="E162" s="25"/>
      <c r="F162" s="4">
        <v>1300000</v>
      </c>
      <c r="G162" s="4"/>
      <c r="H162" s="4"/>
      <c r="I162" s="25">
        <f t="shared" si="27"/>
        <v>5417091443.46</v>
      </c>
      <c r="J162" s="4"/>
      <c r="K162" s="4">
        <v>5418391443.46</v>
      </c>
      <c r="L162" s="4"/>
      <c r="M162" s="4"/>
      <c r="N162" s="4"/>
      <c r="O162" s="4"/>
      <c r="P162" s="25">
        <f t="shared" si="28"/>
        <v>5418391443.46</v>
      </c>
      <c r="Q162" s="4">
        <v>-1300000</v>
      </c>
      <c r="R162" s="4"/>
      <c r="S162" s="4"/>
      <c r="T162" s="4"/>
      <c r="U162" s="4"/>
      <c r="V162" s="4"/>
      <c r="W162" s="4"/>
      <c r="X162" s="4"/>
      <c r="Y162" s="25">
        <f t="shared" si="29"/>
        <v>-1300000</v>
      </c>
      <c r="Z162" s="25">
        <f t="shared" si="30"/>
        <v>5417091443.46</v>
      </c>
      <c r="AA162" s="34">
        <f t="shared" si="31"/>
        <v>1</v>
      </c>
    </row>
    <row r="163" spans="1:27" s="5" customFormat="1" ht="15" x14ac:dyDescent="0.2">
      <c r="A163" s="56" t="s">
        <v>47</v>
      </c>
      <c r="B163" s="23"/>
      <c r="C163" s="23"/>
      <c r="D163" s="23"/>
      <c r="E163" s="23"/>
      <c r="F163" s="23"/>
      <c r="G163" s="23"/>
      <c r="H163" s="23"/>
      <c r="I163" s="25"/>
      <c r="J163" s="23"/>
      <c r="K163" s="23"/>
      <c r="L163" s="23"/>
      <c r="M163" s="23"/>
      <c r="N163" s="23"/>
      <c r="O163" s="23"/>
      <c r="P163" s="25">
        <f t="shared" si="28"/>
        <v>0</v>
      </c>
      <c r="Q163" s="23"/>
      <c r="R163" s="23"/>
      <c r="S163" s="23"/>
      <c r="T163" s="23"/>
      <c r="U163" s="23"/>
      <c r="V163" s="23"/>
      <c r="W163" s="23"/>
      <c r="X163" s="23"/>
      <c r="Y163" s="25">
        <f t="shared" si="29"/>
        <v>0</v>
      </c>
      <c r="Z163" s="25"/>
      <c r="AA163" s="34"/>
    </row>
    <row r="164" spans="1:27" hidden="1" x14ac:dyDescent="0.2">
      <c r="A164" s="301" t="s">
        <v>258</v>
      </c>
      <c r="B164" s="291"/>
      <c r="C164" s="4"/>
      <c r="D164" s="4"/>
      <c r="E164" s="25"/>
      <c r="F164" s="4"/>
      <c r="G164" s="4"/>
      <c r="H164" s="4"/>
      <c r="I164" s="288">
        <f t="shared" si="27"/>
        <v>0</v>
      </c>
      <c r="J164" s="291"/>
      <c r="K164" s="291"/>
      <c r="L164" s="4"/>
      <c r="M164" s="4"/>
      <c r="N164" s="4"/>
      <c r="O164" s="4"/>
      <c r="P164" s="25">
        <f t="shared" si="28"/>
        <v>0</v>
      </c>
      <c r="Q164" s="4"/>
      <c r="R164" s="4"/>
      <c r="S164" s="4"/>
      <c r="T164" s="4"/>
      <c r="U164" s="4"/>
      <c r="V164" s="4"/>
      <c r="W164" s="4"/>
      <c r="X164" s="4"/>
      <c r="Y164" s="25">
        <f t="shared" si="29"/>
        <v>0</v>
      </c>
      <c r="Z164" s="288">
        <f t="shared" si="30"/>
        <v>0</v>
      </c>
      <c r="AA164" s="299" t="e">
        <f t="shared" si="31"/>
        <v>#DIV/0!</v>
      </c>
    </row>
    <row r="165" spans="1:27" x14ac:dyDescent="0.2">
      <c r="A165" s="57" t="s">
        <v>367</v>
      </c>
      <c r="B165" s="4">
        <v>108182334.59999999</v>
      </c>
      <c r="C165" s="4"/>
      <c r="D165" s="4"/>
      <c r="E165" s="25"/>
      <c r="F165" s="4"/>
      <c r="G165" s="4"/>
      <c r="H165" s="4"/>
      <c r="I165" s="25">
        <f t="shared" si="27"/>
        <v>108182334.59999999</v>
      </c>
      <c r="J165" s="4"/>
      <c r="K165" s="4">
        <v>108182334.59999999</v>
      </c>
      <c r="L165" s="4"/>
      <c r="M165" s="4"/>
      <c r="N165" s="4"/>
      <c r="O165" s="4"/>
      <c r="P165" s="25">
        <f t="shared" si="28"/>
        <v>108182334.59999999</v>
      </c>
      <c r="Q165" s="4"/>
      <c r="R165" s="4"/>
      <c r="S165" s="4"/>
      <c r="T165" s="4"/>
      <c r="U165" s="4"/>
      <c r="V165" s="4"/>
      <c r="W165" s="4"/>
      <c r="X165" s="4"/>
      <c r="Y165" s="25">
        <f t="shared" si="29"/>
        <v>0</v>
      </c>
      <c r="Z165" s="25">
        <f t="shared" si="30"/>
        <v>108182334.59999999</v>
      </c>
      <c r="AA165" s="34">
        <f t="shared" si="31"/>
        <v>1</v>
      </c>
    </row>
    <row r="166" spans="1:27" s="5" customFormat="1" ht="25.5" x14ac:dyDescent="0.2">
      <c r="A166" s="57" t="s">
        <v>1207</v>
      </c>
      <c r="B166" s="4">
        <v>1271.97</v>
      </c>
      <c r="C166" s="2"/>
      <c r="D166" s="2"/>
      <c r="E166" s="25"/>
      <c r="F166" s="94"/>
      <c r="G166" s="2"/>
      <c r="H166" s="2"/>
      <c r="I166" s="25">
        <f t="shared" si="27"/>
        <v>1271.97</v>
      </c>
      <c r="J166" s="2"/>
      <c r="K166" s="4">
        <v>1271.97</v>
      </c>
      <c r="L166" s="2"/>
      <c r="M166" s="2"/>
      <c r="N166" s="4"/>
      <c r="O166" s="2"/>
      <c r="P166" s="25">
        <f t="shared" si="28"/>
        <v>1271.97</v>
      </c>
      <c r="Q166" s="2"/>
      <c r="R166" s="94"/>
      <c r="S166" s="2"/>
      <c r="T166" s="2"/>
      <c r="U166" s="2"/>
      <c r="V166" s="2"/>
      <c r="W166" s="2"/>
      <c r="X166" s="2"/>
      <c r="Y166" s="25">
        <f t="shared" si="29"/>
        <v>0</v>
      </c>
      <c r="Z166" s="25">
        <f t="shared" si="30"/>
        <v>1271.97</v>
      </c>
      <c r="AA166" s="34">
        <f t="shared" si="31"/>
        <v>1</v>
      </c>
    </row>
    <row r="167" spans="1:27" s="5" customFormat="1" ht="25.5" x14ac:dyDescent="0.2">
      <c r="A167" s="57" t="s">
        <v>1208</v>
      </c>
      <c r="B167" s="4">
        <v>14280000</v>
      </c>
      <c r="C167" s="2"/>
      <c r="D167" s="2"/>
      <c r="E167" s="25"/>
      <c r="F167" s="94"/>
      <c r="G167" s="2"/>
      <c r="H167" s="2"/>
      <c r="I167" s="25">
        <f t="shared" si="27"/>
        <v>14280000</v>
      </c>
      <c r="J167" s="2"/>
      <c r="K167" s="4">
        <v>14280000</v>
      </c>
      <c r="L167" s="2"/>
      <c r="M167" s="2"/>
      <c r="N167" s="4"/>
      <c r="O167" s="2"/>
      <c r="P167" s="25">
        <f t="shared" si="28"/>
        <v>14280000</v>
      </c>
      <c r="Q167" s="2"/>
      <c r="R167" s="94"/>
      <c r="S167" s="2"/>
      <c r="T167" s="2"/>
      <c r="U167" s="2"/>
      <c r="V167" s="2"/>
      <c r="W167" s="2"/>
      <c r="X167" s="2"/>
      <c r="Y167" s="25">
        <f t="shared" si="29"/>
        <v>0</v>
      </c>
      <c r="Z167" s="25">
        <f t="shared" si="30"/>
        <v>14280000</v>
      </c>
      <c r="AA167" s="34">
        <f t="shared" si="31"/>
        <v>1</v>
      </c>
    </row>
    <row r="168" spans="1:27" s="5" customFormat="1" ht="25.5" x14ac:dyDescent="0.2">
      <c r="A168" s="59" t="s">
        <v>373</v>
      </c>
      <c r="B168" s="4">
        <v>179370297.40000001</v>
      </c>
      <c r="C168" s="2"/>
      <c r="D168" s="2"/>
      <c r="E168" s="25"/>
      <c r="F168" s="4"/>
      <c r="G168" s="2"/>
      <c r="H168" s="2"/>
      <c r="I168" s="25">
        <f t="shared" si="27"/>
        <v>179370297.40000001</v>
      </c>
      <c r="J168" s="2"/>
      <c r="K168" s="4">
        <v>179370297.40000001</v>
      </c>
      <c r="L168" s="2"/>
      <c r="M168" s="2"/>
      <c r="N168" s="4"/>
      <c r="O168" s="2"/>
      <c r="P168" s="25">
        <f t="shared" si="28"/>
        <v>179370297.40000001</v>
      </c>
      <c r="Q168" s="2"/>
      <c r="R168" s="2"/>
      <c r="S168" s="2"/>
      <c r="T168" s="2"/>
      <c r="U168" s="2"/>
      <c r="V168" s="2"/>
      <c r="W168" s="2"/>
      <c r="X168" s="2"/>
      <c r="Y168" s="25">
        <f t="shared" si="29"/>
        <v>0</v>
      </c>
      <c r="Z168" s="25">
        <f t="shared" si="30"/>
        <v>179370297.40000001</v>
      </c>
      <c r="AA168" s="34">
        <f t="shared" si="31"/>
        <v>1</v>
      </c>
    </row>
    <row r="169" spans="1:27" s="5" customFormat="1" ht="15.75" thickBot="1" x14ac:dyDescent="0.25">
      <c r="A169" s="60" t="s">
        <v>371</v>
      </c>
      <c r="B169" s="4">
        <v>719408772.39999998</v>
      </c>
      <c r="C169" s="10"/>
      <c r="D169" s="10"/>
      <c r="E169" s="39"/>
      <c r="F169" s="10"/>
      <c r="G169" s="10"/>
      <c r="H169" s="10"/>
      <c r="I169" s="25">
        <f t="shared" si="27"/>
        <v>719408772.39999998</v>
      </c>
      <c r="J169" s="10"/>
      <c r="K169" s="11">
        <v>719408772.39999998</v>
      </c>
      <c r="L169" s="10"/>
      <c r="M169" s="10"/>
      <c r="N169" s="11"/>
      <c r="O169" s="10"/>
      <c r="P169" s="25">
        <f t="shared" si="28"/>
        <v>719408772.39999998</v>
      </c>
      <c r="Q169" s="10"/>
      <c r="R169" s="10"/>
      <c r="S169" s="10"/>
      <c r="T169" s="10"/>
      <c r="U169" s="10"/>
      <c r="V169" s="10"/>
      <c r="W169" s="10"/>
      <c r="X169" s="10"/>
      <c r="Y169" s="25">
        <f t="shared" si="29"/>
        <v>0</v>
      </c>
      <c r="Z169" s="25">
        <f t="shared" si="30"/>
        <v>719408772.39999998</v>
      </c>
      <c r="AA169" s="34">
        <f t="shared" si="31"/>
        <v>1</v>
      </c>
    </row>
    <row r="170" spans="1:27" ht="41.25" thickBot="1" x14ac:dyDescent="0.25">
      <c r="A170" s="43" t="s">
        <v>81</v>
      </c>
      <c r="B170" s="65">
        <f t="shared" ref="B170:Z170" si="32">+B122</f>
        <v>18509233606.330002</v>
      </c>
      <c r="C170" s="65">
        <f t="shared" si="32"/>
        <v>0</v>
      </c>
      <c r="D170" s="65">
        <f t="shared" si="32"/>
        <v>0</v>
      </c>
      <c r="E170" s="65">
        <f t="shared" si="32"/>
        <v>0</v>
      </c>
      <c r="F170" s="65">
        <f t="shared" si="32"/>
        <v>77456672.849999994</v>
      </c>
      <c r="G170" s="65">
        <f t="shared" si="32"/>
        <v>0</v>
      </c>
      <c r="H170" s="65">
        <f t="shared" si="32"/>
        <v>0</v>
      </c>
      <c r="I170" s="65">
        <f t="shared" si="32"/>
        <v>18431776933.480003</v>
      </c>
      <c r="J170" s="65">
        <f t="shared" si="32"/>
        <v>0</v>
      </c>
      <c r="K170" s="65">
        <f t="shared" si="32"/>
        <v>18509233606.330002</v>
      </c>
      <c r="L170" s="65">
        <f t="shared" si="32"/>
        <v>0</v>
      </c>
      <c r="M170" s="65">
        <f t="shared" si="32"/>
        <v>0</v>
      </c>
      <c r="N170" s="65">
        <f t="shared" si="32"/>
        <v>0</v>
      </c>
      <c r="O170" s="65">
        <f t="shared" si="32"/>
        <v>0</v>
      </c>
      <c r="P170" s="65">
        <f t="shared" si="32"/>
        <v>18509233606.330002</v>
      </c>
      <c r="Q170" s="65">
        <f t="shared" si="32"/>
        <v>-77456672.849999994</v>
      </c>
      <c r="R170" s="65">
        <f t="shared" si="32"/>
        <v>0</v>
      </c>
      <c r="S170" s="65">
        <f t="shared" si="32"/>
        <v>0</v>
      </c>
      <c r="T170" s="65">
        <f t="shared" si="32"/>
        <v>0</v>
      </c>
      <c r="U170" s="65">
        <f t="shared" si="32"/>
        <v>0</v>
      </c>
      <c r="V170" s="65">
        <f t="shared" si="32"/>
        <v>0</v>
      </c>
      <c r="W170" s="65">
        <f t="shared" si="32"/>
        <v>0</v>
      </c>
      <c r="X170" s="65">
        <f t="shared" si="32"/>
        <v>0</v>
      </c>
      <c r="Y170" s="65">
        <f t="shared" si="32"/>
        <v>-77456672.849999994</v>
      </c>
      <c r="Z170" s="65">
        <f t="shared" si="32"/>
        <v>18431776933.480003</v>
      </c>
      <c r="AA170" s="99">
        <f>+Z170/I170</f>
        <v>1</v>
      </c>
    </row>
    <row r="171" spans="1:27" ht="15" hidden="1" x14ac:dyDescent="0.2">
      <c r="A171" s="44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50"/>
    </row>
    <row r="172" spans="1:27" s="5" customFormat="1" ht="41.25" hidden="1" thickBot="1" x14ac:dyDescent="0.25">
      <c r="A172" s="47" t="s">
        <v>259</v>
      </c>
      <c r="B172" s="48"/>
      <c r="C172" s="48"/>
      <c r="D172" s="48"/>
      <c r="E172" s="66"/>
      <c r="F172" s="66"/>
      <c r="G172" s="48"/>
      <c r="H172" s="48"/>
      <c r="I172" s="48"/>
      <c r="J172" s="48"/>
      <c r="K172" s="66"/>
      <c r="L172" s="48"/>
      <c r="M172" s="48"/>
      <c r="N172" s="48"/>
      <c r="O172" s="48"/>
      <c r="P172" s="49">
        <f>SUM(J172:O172)</f>
        <v>0</v>
      </c>
      <c r="Q172" s="48"/>
      <c r="R172" s="66"/>
      <c r="S172" s="48"/>
      <c r="T172" s="48"/>
      <c r="U172" s="48"/>
      <c r="V172" s="48"/>
      <c r="W172" s="48"/>
      <c r="X172" s="48"/>
      <c r="Y172" s="49">
        <f>SUM(Q172:X172)</f>
        <v>0</v>
      </c>
      <c r="Z172" s="49">
        <f>+P172+Y172</f>
        <v>0</v>
      </c>
      <c r="AA172" s="51">
        <v>0</v>
      </c>
    </row>
    <row r="173" spans="1:27" ht="15.75" thickBot="1" x14ac:dyDescent="0.25">
      <c r="A173" s="8"/>
      <c r="B173" s="46"/>
      <c r="C173" s="46"/>
      <c r="D173" s="46"/>
      <c r="E173" s="46"/>
      <c r="F173" s="294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52"/>
    </row>
    <row r="174" spans="1:27" ht="61.5" thickBot="1" x14ac:dyDescent="0.25">
      <c r="A174" s="95" t="s">
        <v>260</v>
      </c>
      <c r="B174" s="48">
        <v>2181407370.0999999</v>
      </c>
      <c r="C174" s="48"/>
      <c r="D174" s="48"/>
      <c r="E174" s="48"/>
      <c r="F174" s="295"/>
      <c r="G174" s="48"/>
      <c r="H174" s="48"/>
      <c r="I174" s="48">
        <f>+B174+C174-D174+E174-F174</f>
        <v>2181407370.0999999</v>
      </c>
      <c r="J174" s="48"/>
      <c r="K174" s="48">
        <v>2181407370.0999999</v>
      </c>
      <c r="L174" s="48"/>
      <c r="M174" s="48"/>
      <c r="N174" s="48"/>
      <c r="O174" s="66"/>
      <c r="P174" s="49">
        <f>SUM(J174:O174)</f>
        <v>2181407370.0999999</v>
      </c>
      <c r="Q174" s="48"/>
      <c r="R174" s="48"/>
      <c r="S174" s="48"/>
      <c r="T174" s="48"/>
      <c r="U174" s="48"/>
      <c r="V174" s="48"/>
      <c r="W174" s="48"/>
      <c r="X174" s="48"/>
      <c r="Y174" s="49">
        <f>SUM(Q174:X174)</f>
        <v>0</v>
      </c>
      <c r="Z174" s="49">
        <f>+P174+Y174</f>
        <v>2181407370.0999999</v>
      </c>
      <c r="AA174" s="51">
        <f>+Z174/I174</f>
        <v>1</v>
      </c>
    </row>
    <row r="175" spans="1:27" ht="15.75" thickBot="1" x14ac:dyDescent="0.25">
      <c r="A175" s="8"/>
      <c r="B175" s="46"/>
      <c r="C175" s="46"/>
      <c r="D175" s="46"/>
      <c r="E175" s="46"/>
      <c r="F175" s="29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52"/>
    </row>
    <row r="176" spans="1:27" s="19" customFormat="1" ht="41.25" thickBot="1" x14ac:dyDescent="0.25">
      <c r="A176" s="43" t="s">
        <v>113</v>
      </c>
      <c r="B176" s="26">
        <f>+B119+B170+B172</f>
        <v>77274168719.459991</v>
      </c>
      <c r="C176" s="26">
        <f t="shared" ref="C176:Z176" si="33">+C119+C170+C172</f>
        <v>0</v>
      </c>
      <c r="D176" s="26">
        <f t="shared" si="33"/>
        <v>0</v>
      </c>
      <c r="E176" s="26">
        <f t="shared" si="33"/>
        <v>0</v>
      </c>
      <c r="F176" s="26">
        <f t="shared" si="33"/>
        <v>2723109584.3999991</v>
      </c>
      <c r="G176" s="26">
        <f t="shared" si="33"/>
        <v>0</v>
      </c>
      <c r="H176" s="26">
        <f t="shared" si="33"/>
        <v>0</v>
      </c>
      <c r="I176" s="26">
        <f t="shared" si="33"/>
        <v>74551059135.059998</v>
      </c>
      <c r="J176" s="26">
        <f t="shared" si="33"/>
        <v>0</v>
      </c>
      <c r="K176" s="26">
        <f t="shared" si="33"/>
        <v>66121034027.259995</v>
      </c>
      <c r="L176" s="26">
        <f t="shared" si="33"/>
        <v>2000000000</v>
      </c>
      <c r="M176" s="26">
        <f t="shared" si="33"/>
        <v>0</v>
      </c>
      <c r="N176" s="26">
        <f t="shared" si="33"/>
        <v>0</v>
      </c>
      <c r="O176" s="26">
        <f t="shared" si="33"/>
        <v>0</v>
      </c>
      <c r="P176" s="26">
        <f t="shared" si="33"/>
        <v>68121034027.259995</v>
      </c>
      <c r="Q176" s="26">
        <f t="shared" si="33"/>
        <v>-2723109584.3999991</v>
      </c>
      <c r="R176" s="26">
        <f t="shared" si="33"/>
        <v>0</v>
      </c>
      <c r="S176" s="26">
        <f t="shared" si="33"/>
        <v>0</v>
      </c>
      <c r="T176" s="26">
        <f t="shared" si="33"/>
        <v>0</v>
      </c>
      <c r="U176" s="26">
        <f t="shared" si="33"/>
        <v>0</v>
      </c>
      <c r="V176" s="26">
        <f t="shared" si="33"/>
        <v>0</v>
      </c>
      <c r="W176" s="26">
        <f t="shared" si="33"/>
        <v>0</v>
      </c>
      <c r="X176" s="26">
        <f t="shared" si="33"/>
        <v>0</v>
      </c>
      <c r="Y176" s="26">
        <f t="shared" si="33"/>
        <v>-2723109584.3999991</v>
      </c>
      <c r="Z176" s="26">
        <f t="shared" si="33"/>
        <v>65397924442.859993</v>
      </c>
      <c r="AA176" s="53">
        <f>+Z176/I176</f>
        <v>0.87722327759800456</v>
      </c>
    </row>
    <row r="177" spans="1:27" x14ac:dyDescent="0.2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</row>
    <row r="178" spans="1:27" x14ac:dyDescent="0.2">
      <c r="A178" s="40"/>
      <c r="B178" s="143"/>
      <c r="C178" s="22"/>
      <c r="D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37"/>
    </row>
    <row r="179" spans="1:27" x14ac:dyDescent="0.2">
      <c r="A179" s="40"/>
      <c r="B179" s="40"/>
      <c r="C179" s="40"/>
      <c r="D179" s="40"/>
      <c r="F179" s="22"/>
      <c r="G179" s="40"/>
      <c r="H179" s="40"/>
      <c r="I179" s="22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22"/>
      <c r="AA179" s="38"/>
    </row>
    <row r="180" spans="1:27" x14ac:dyDescent="0.2">
      <c r="A180" s="40"/>
      <c r="B180" s="40"/>
      <c r="C180" s="40"/>
      <c r="D180" s="40"/>
      <c r="F180" s="30"/>
      <c r="G180" s="30"/>
      <c r="H180" s="30"/>
      <c r="I180" s="3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38"/>
    </row>
    <row r="181" spans="1:27" x14ac:dyDescent="0.2">
      <c r="A181" s="40"/>
      <c r="B181" s="40"/>
      <c r="C181" s="40"/>
      <c r="D181" s="40"/>
      <c r="F181" s="30"/>
      <c r="G181" s="30"/>
      <c r="H181" s="30"/>
      <c r="I181" s="3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38"/>
    </row>
    <row r="182" spans="1:27" ht="15.75" x14ac:dyDescent="0.2">
      <c r="A182" s="466" t="s">
        <v>53</v>
      </c>
      <c r="B182" s="466"/>
      <c r="C182" s="466"/>
      <c r="D182" s="466"/>
      <c r="E182" s="466"/>
      <c r="F182" s="466"/>
      <c r="G182" s="466"/>
      <c r="H182" s="466"/>
      <c r="I182" s="466"/>
      <c r="J182" s="466"/>
      <c r="K182" s="466"/>
      <c r="L182" s="466"/>
      <c r="M182" s="466"/>
      <c r="N182" s="466"/>
      <c r="O182" s="466"/>
      <c r="P182" s="466"/>
      <c r="Q182" s="466"/>
      <c r="R182" s="466"/>
      <c r="S182" s="466"/>
      <c r="T182" s="466"/>
      <c r="U182" s="466"/>
      <c r="V182" s="466"/>
      <c r="W182" s="466"/>
      <c r="X182" s="466"/>
      <c r="Y182" s="466"/>
      <c r="Z182" s="466"/>
      <c r="AA182" s="466"/>
    </row>
    <row r="183" spans="1:27" x14ac:dyDescent="0.2">
      <c r="A183" s="456" t="s">
        <v>83</v>
      </c>
      <c r="B183" s="456"/>
      <c r="C183" s="456"/>
      <c r="D183" s="456"/>
      <c r="E183" s="456"/>
      <c r="F183" s="456"/>
      <c r="G183" s="456"/>
      <c r="H183" s="456"/>
      <c r="I183" s="456"/>
      <c r="J183" s="456"/>
      <c r="K183" s="456"/>
      <c r="L183" s="456"/>
      <c r="M183" s="456"/>
      <c r="N183" s="456"/>
      <c r="O183" s="456"/>
      <c r="P183" s="456"/>
      <c r="Q183" s="456"/>
      <c r="R183" s="456"/>
      <c r="S183" s="456"/>
      <c r="T183" s="456"/>
      <c r="U183" s="456"/>
      <c r="V183" s="456"/>
      <c r="W183" s="456"/>
      <c r="X183" s="456"/>
      <c r="Y183" s="456"/>
      <c r="Z183" s="456"/>
      <c r="AA183" s="456"/>
    </row>
  </sheetData>
  <sheetProtection algorithmName="SHA-512" hashValue="UBO0EYU/dQtwcXCc+IvcF4qjOh6t8DksgTfHf/X/PpLNIw52SVq+susLCaNIit7X5N9JGk11zqJ88Sk+AOxL1g==" saltValue="GTIGz5rghzGzDRzCYHU9Dg==" spinCount="100000" sheet="1" objects="1" scenarios="1"/>
  <mergeCells count="23">
    <mergeCell ref="A183:AA183"/>
    <mergeCell ref="T2:T3"/>
    <mergeCell ref="U2:U3"/>
    <mergeCell ref="V2:V3"/>
    <mergeCell ref="W2:W3"/>
    <mergeCell ref="X2:X3"/>
    <mergeCell ref="A182:AA182"/>
    <mergeCell ref="M2:M3"/>
    <mergeCell ref="N2:N3"/>
    <mergeCell ref="O2:O3"/>
    <mergeCell ref="Q2:Q3"/>
    <mergeCell ref="R2:R3"/>
    <mergeCell ref="S2:S3"/>
    <mergeCell ref="A1:AA1"/>
    <mergeCell ref="C2:C3"/>
    <mergeCell ref="D2:D3"/>
    <mergeCell ref="E2:E3"/>
    <mergeCell ref="F2:F3"/>
    <mergeCell ref="G2:G3"/>
    <mergeCell ref="H2:H3"/>
    <mergeCell ref="J2:J3"/>
    <mergeCell ref="K2:K3"/>
    <mergeCell ref="L2:L3"/>
  </mergeCells>
  <printOptions gridLines="1"/>
  <pageMargins left="1.3779527559055118" right="0" top="0.59055118110236227" bottom="0.98425196850393704" header="0.27559055118110237" footer="0.39370078740157483"/>
  <pageSetup paperSize="5" scale="73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FECHA: JULIO  2021  -  ELABORO: JOSE LUNA DURAN.
                       FUENTE: SISTEMA INTEGRADO GUANE (FUENTE GASTOS)
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JULIO  2021</vt:lpstr>
      <vt:lpstr>ADICIONES  2021</vt:lpstr>
      <vt:lpstr>SISTEMA GENERAL REGALIAS JULIO</vt:lpstr>
      <vt:lpstr>EJECUTIVO JULIO  2021</vt:lpstr>
      <vt:lpstr>RESERVA  JULIO DTO 83  </vt:lpstr>
      <vt:lpstr>'EJECUTIVO JULIO  2021'!Títulos_a_imprimir</vt:lpstr>
      <vt:lpstr>'JULIO  2021'!Títulos_a_imprimir</vt:lpstr>
      <vt:lpstr>'RESERVA  JULIO DTO 83  '!Títulos_a_imprimir</vt:lpstr>
      <vt:lpstr>'SISTEMA GENERAL REGALIAS JULIO'!Títulos_a_imprimir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desconocido</dc:creator>
  <cp:lastModifiedBy>Gabriel Fernando Anaya Blanco</cp:lastModifiedBy>
  <cp:lastPrinted>2021-08-24T23:53:20Z</cp:lastPrinted>
  <dcterms:created xsi:type="dcterms:W3CDTF">1999-08-24T16:07:02Z</dcterms:created>
  <dcterms:modified xsi:type="dcterms:W3CDTF">2021-08-30T13:57:32Z</dcterms:modified>
</cp:coreProperties>
</file>